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Pavel\Desktop\TestingConsole\bin\Debug\"/>
    </mc:Choice>
  </mc:AlternateContent>
  <xr:revisionPtr revIDLastSave="0" documentId="13_ncr:1_{2F136BDF-4322-4840-8F44-8325C8AC4EB0}" xr6:coauthVersionLast="43" xr6:coauthVersionMax="43" xr10:uidLastSave="{00000000-0000-0000-0000-000000000000}"/>
  <bookViews>
    <workbookView xWindow="-120" yWindow="-120" windowWidth="29040" windowHeight="15840" tabRatio="759" activeTab="2" xr2:uid="{00000000-000D-0000-FFFF-FFFF00000000}"/>
  </bookViews>
  <sheets>
    <sheet name="Диаграмма2" sheetId="14" r:id="rId1"/>
    <sheet name="Диаграмма1" sheetId="13" r:id="rId2"/>
    <sheet name="2019" sheetId="12" r:id="rId3"/>
  </sheets>
  <definedNames>
    <definedName name="_295_14">#REF!</definedName>
    <definedName name="_xlnm._FilterDatabase" localSheetId="2" hidden="1">'2019'!$A$3:$IU$1484</definedName>
  </definedNames>
  <calcPr calcId="191029"/>
</workbook>
</file>

<file path=xl/calcChain.xml><?xml version="1.0" encoding="utf-8"?>
<calcChain xmlns="http://schemas.openxmlformats.org/spreadsheetml/2006/main">
  <c r="E1065" i="12" l="1"/>
  <c r="D1188" i="12"/>
  <c r="E996" i="12"/>
  <c r="E1139" i="12"/>
  <c r="E1289" i="12"/>
  <c r="E1137" i="12"/>
  <c r="E1303" i="12"/>
  <c r="E1472" i="12"/>
  <c r="E1473" i="12"/>
  <c r="E1471" i="12"/>
  <c r="E1143" i="12"/>
  <c r="E1304" i="12"/>
  <c r="M1477" i="12"/>
  <c r="N1477" i="12" s="1"/>
  <c r="M1473" i="12"/>
  <c r="M1472" i="12"/>
  <c r="N1472" i="12" s="1"/>
  <c r="M1471" i="12"/>
  <c r="N1471" i="12" s="1"/>
  <c r="M1452" i="12"/>
  <c r="N1452" i="12" s="1"/>
  <c r="M1451" i="12"/>
  <c r="N1451" i="12" s="1"/>
  <c r="M1437" i="12"/>
  <c r="N1437" i="12" s="1"/>
  <c r="M1436" i="12"/>
  <c r="N1436" i="12" s="1"/>
  <c r="M1435" i="12"/>
  <c r="N1435" i="12" s="1"/>
  <c r="M1434" i="12"/>
  <c r="N1434" i="12" s="1"/>
  <c r="M1433" i="12"/>
  <c r="N1433" i="12" s="1"/>
  <c r="M1424" i="12"/>
  <c r="M1423" i="12"/>
  <c r="N1423" i="12" s="1"/>
  <c r="M1422" i="12"/>
  <c r="N1422" i="12" s="1"/>
  <c r="M1421" i="12"/>
  <c r="N1421" i="12" s="1"/>
  <c r="E1426" i="12"/>
  <c r="E1242" i="12"/>
  <c r="E1427" i="12"/>
  <c r="E1457" i="12"/>
  <c r="E1399" i="12"/>
  <c r="E1058" i="12"/>
  <c r="E1371" i="12"/>
  <c r="E1456" i="12"/>
  <c r="E1398" i="12"/>
  <c r="E1282" i="12"/>
  <c r="N1282" i="12" s="1"/>
  <c r="E1397" i="12"/>
  <c r="M1470" i="12"/>
  <c r="M1469" i="12"/>
  <c r="M1468" i="12"/>
  <c r="M1467" i="12"/>
  <c r="M1466" i="12"/>
  <c r="M1465" i="12"/>
  <c r="M1464" i="12"/>
  <c r="M1463" i="12"/>
  <c r="M1462" i="12"/>
  <c r="M1461" i="12"/>
  <c r="M1460" i="12"/>
  <c r="M1459" i="12"/>
  <c r="M1457" i="12"/>
  <c r="M1456" i="12"/>
  <c r="M1455" i="12"/>
  <c r="M1450" i="12"/>
  <c r="N1450" i="12" s="1"/>
  <c r="M1449" i="12"/>
  <c r="N1449" i="12" s="1"/>
  <c r="M1448" i="12"/>
  <c r="N1448" i="12" s="1"/>
  <c r="M1427" i="12"/>
  <c r="M1426" i="12"/>
  <c r="N1426" i="12" s="1"/>
  <c r="M1399" i="12"/>
  <c r="M1398" i="12"/>
  <c r="N1398" i="12" s="1"/>
  <c r="M1397" i="12"/>
  <c r="M1371" i="12"/>
  <c r="M1282" i="12"/>
  <c r="M1242" i="12"/>
  <c r="M1064" i="12"/>
  <c r="M1063" i="12"/>
  <c r="M1058" i="12"/>
  <c r="N1461" i="12"/>
  <c r="N1460" i="12"/>
  <c r="N1459" i="12"/>
  <c r="N1457" i="12"/>
  <c r="N1456" i="12"/>
  <c r="E1455" i="12"/>
  <c r="E1376" i="12"/>
  <c r="E1372" i="12"/>
  <c r="E1375" i="12"/>
  <c r="E1291" i="12"/>
  <c r="E1400" i="12"/>
  <c r="E1161" i="12"/>
  <c r="E1283" i="12"/>
  <c r="E1374" i="12"/>
  <c r="E1055" i="12"/>
  <c r="E1373" i="12"/>
  <c r="E1224" i="12"/>
  <c r="N1454" i="12"/>
  <c r="N1453" i="12"/>
  <c r="N1447" i="12"/>
  <c r="N1446" i="12"/>
  <c r="N1445" i="12"/>
  <c r="N1444" i="12"/>
  <c r="N1443" i="12"/>
  <c r="N1442" i="12"/>
  <c r="N1441" i="12"/>
  <c r="N1440" i="12"/>
  <c r="N1439" i="12"/>
  <c r="N1438" i="12"/>
  <c r="N1432" i="12"/>
  <c r="N1431" i="12"/>
  <c r="N1430" i="12"/>
  <c r="N1429" i="12"/>
  <c r="N1428" i="12"/>
  <c r="N1425" i="12"/>
  <c r="N1420" i="12"/>
  <c r="N1419" i="12"/>
  <c r="N1418" i="12"/>
  <c r="M1416" i="12"/>
  <c r="M1404" i="12"/>
  <c r="M1403" i="12"/>
  <c r="M1401" i="12"/>
  <c r="N1401" i="12" s="1"/>
  <c r="M1386" i="12"/>
  <c r="N1386" i="12" s="1"/>
  <c r="M1385" i="12"/>
  <c r="M1384" i="12"/>
  <c r="M1377" i="12"/>
  <c r="N1377" i="12" s="1"/>
  <c r="M1352" i="12"/>
  <c r="N1352" i="12" s="1"/>
  <c r="M1351" i="12"/>
  <c r="N1351" i="12" s="1"/>
  <c r="M1350" i="12"/>
  <c r="N1350" i="12" s="1"/>
  <c r="M1349" i="12"/>
  <c r="N1349" i="12" s="1"/>
  <c r="M1348" i="12"/>
  <c r="N1348" i="12" s="1"/>
  <c r="M1347" i="12"/>
  <c r="N1347" i="12" s="1"/>
  <c r="M1346" i="12"/>
  <c r="N1346" i="12" s="1"/>
  <c r="M1345" i="12"/>
  <c r="N1345" i="12" s="1"/>
  <c r="M1344" i="12"/>
  <c r="N1344" i="12" s="1"/>
  <c r="M1343" i="12"/>
  <c r="N1343" i="12" s="1"/>
  <c r="M1342" i="12"/>
  <c r="M1341" i="12"/>
  <c r="N1341" i="12" s="1"/>
  <c r="M1333" i="12"/>
  <c r="N1333" i="12" s="1"/>
  <c r="M1332" i="12"/>
  <c r="N1332" i="12" s="1"/>
  <c r="M1331" i="12"/>
  <c r="N1331" i="12" s="1"/>
  <c r="M1330" i="12"/>
  <c r="N1330" i="12" s="1"/>
  <c r="M1329" i="12"/>
  <c r="N1329" i="12" s="1"/>
  <c r="M1328" i="12"/>
  <c r="N1328" i="12" s="1"/>
  <c r="M1327" i="12"/>
  <c r="M1306" i="12"/>
  <c r="N1306" i="12" s="1"/>
  <c r="M1305" i="12"/>
  <c r="N1305" i="12" s="1"/>
  <c r="M1304" i="12"/>
  <c r="N1304" i="12" s="1"/>
  <c r="M1303" i="12"/>
  <c r="M1302" i="12"/>
  <c r="N1302" i="12" s="1"/>
  <c r="M1289" i="12"/>
  <c r="N1289" i="12" s="1"/>
  <c r="M1265" i="12"/>
  <c r="N1265" i="12" s="1"/>
  <c r="M1264" i="12"/>
  <c r="M1263" i="12"/>
  <c r="N1263" i="12" s="1"/>
  <c r="M1262" i="12"/>
  <c r="N1262" i="12" s="1"/>
  <c r="M1261" i="12"/>
  <c r="N1261" i="12" s="1"/>
  <c r="M1251" i="12"/>
  <c r="N1251" i="12" s="1"/>
  <c r="M1250" i="12"/>
  <c r="M1249" i="12"/>
  <c r="N1249" i="12" s="1"/>
  <c r="M1248" i="12"/>
  <c r="N1248" i="12" s="1"/>
  <c r="M1246" i="12"/>
  <c r="M1245" i="12"/>
  <c r="N1245" i="12" s="1"/>
  <c r="M1216" i="12"/>
  <c r="N1216" i="12" s="1"/>
  <c r="M1209" i="12"/>
  <c r="N1209" i="12" s="1"/>
  <c r="M1208" i="12"/>
  <c r="M1207" i="12"/>
  <c r="N1207" i="12" s="1"/>
  <c r="M1206" i="12"/>
  <c r="N1206" i="12" s="1"/>
  <c r="M1205" i="12"/>
  <c r="N1205" i="12" s="1"/>
  <c r="M1204" i="12"/>
  <c r="M1203" i="12"/>
  <c r="N1203" i="12" s="1"/>
  <c r="M1202" i="12"/>
  <c r="N1202" i="12" s="1"/>
  <c r="M1201" i="12"/>
  <c r="N1201" i="12" s="1"/>
  <c r="M1199" i="12"/>
  <c r="N1199" i="12" s="1"/>
  <c r="M1198" i="12"/>
  <c r="N1198" i="12" s="1"/>
  <c r="M1197" i="12"/>
  <c r="N1197" i="12" s="1"/>
  <c r="M1196" i="12"/>
  <c r="N1196" i="12" s="1"/>
  <c r="M1193" i="12"/>
  <c r="N1193" i="12" s="1"/>
  <c r="M1192" i="12"/>
  <c r="N1192" i="12" s="1"/>
  <c r="M1191" i="12"/>
  <c r="N1191" i="12" s="1"/>
  <c r="M1190" i="12"/>
  <c r="N1190" i="12" s="1"/>
  <c r="M1189" i="12"/>
  <c r="N1189" i="12" s="1"/>
  <c r="M1188" i="12"/>
  <c r="N1188" i="12" s="1"/>
  <c r="M1174" i="12"/>
  <c r="N1174" i="12" s="1"/>
  <c r="M1173" i="12"/>
  <c r="N1173" i="12" s="1"/>
  <c r="M1172" i="12"/>
  <c r="N1172" i="12" s="1"/>
  <c r="M1171" i="12"/>
  <c r="N1171" i="12" s="1"/>
  <c r="M1170" i="12"/>
  <c r="N1170" i="12" s="1"/>
  <c r="M1169" i="12"/>
  <c r="N1169" i="12" s="1"/>
  <c r="M1168" i="12"/>
  <c r="N1168" i="12" s="1"/>
  <c r="M1150" i="12"/>
  <c r="N1150" i="12" s="1"/>
  <c r="M1149" i="12"/>
  <c r="N1149" i="12" s="1"/>
  <c r="M1143" i="12"/>
  <c r="N1143" i="12" s="1"/>
  <c r="M1141" i="12"/>
  <c r="N1141" i="12" s="1"/>
  <c r="M1139" i="12"/>
  <c r="N1139" i="12" s="1"/>
  <c r="M1138" i="12"/>
  <c r="N1138" i="12" s="1"/>
  <c r="M1137" i="12"/>
  <c r="N1137" i="12" s="1"/>
  <c r="M1133" i="12"/>
  <c r="N1133" i="12" s="1"/>
  <c r="M1132" i="12"/>
  <c r="N1132" i="12" s="1"/>
  <c r="M1125" i="12"/>
  <c r="N1125" i="12" s="1"/>
  <c r="M1124" i="12"/>
  <c r="N1124" i="12" s="1"/>
  <c r="M1123" i="12"/>
  <c r="N1123" i="12" s="1"/>
  <c r="M1122" i="12"/>
  <c r="N1122" i="12" s="1"/>
  <c r="M1121" i="12"/>
  <c r="N1121" i="12" s="1"/>
  <c r="M1120" i="12"/>
  <c r="N1120" i="12" s="1"/>
  <c r="M1119" i="12"/>
  <c r="N1119" i="12" s="1"/>
  <c r="M1118" i="12"/>
  <c r="N1118" i="12" s="1"/>
  <c r="M1415" i="12"/>
  <c r="N1415" i="12" s="1"/>
  <c r="M1414" i="12"/>
  <c r="M1413" i="12"/>
  <c r="N1417" i="12"/>
  <c r="N1416" i="12"/>
  <c r="N1414" i="12"/>
  <c r="N1413" i="12"/>
  <c r="N1404" i="12"/>
  <c r="N1403" i="12"/>
  <c r="N1385" i="12"/>
  <c r="N1384" i="12"/>
  <c r="N1246" i="12"/>
  <c r="N1250" i="12"/>
  <c r="N1264" i="12"/>
  <c r="N1303" i="12"/>
  <c r="N1327" i="12"/>
  <c r="D1322" i="12"/>
  <c r="N1409" i="12"/>
  <c r="M1408" i="12"/>
  <c r="M1407" i="12"/>
  <c r="M1406" i="12"/>
  <c r="M1405" i="12"/>
  <c r="E1059" i="12"/>
  <c r="E1284" i="12"/>
  <c r="E1178" i="12"/>
  <c r="E1281" i="12"/>
  <c r="E1162" i="12"/>
  <c r="E1157" i="12"/>
  <c r="E1060" i="12"/>
  <c r="E1061" i="12"/>
  <c r="E1062" i="12"/>
  <c r="E1273" i="12"/>
  <c r="E1156" i="12"/>
  <c r="E1278" i="12"/>
  <c r="E1258" i="12"/>
  <c r="E1237" i="12"/>
  <c r="N1237" i="12" s="1"/>
  <c r="E1271" i="12"/>
  <c r="E1279" i="12"/>
  <c r="E1276" i="12"/>
  <c r="M1402" i="12"/>
  <c r="M1400" i="12"/>
  <c r="N1399" i="12"/>
  <c r="M1396" i="12"/>
  <c r="M1395" i="12"/>
  <c r="M1394" i="12"/>
  <c r="M1393" i="12"/>
  <c r="M1392" i="12"/>
  <c r="M1391" i="12"/>
  <c r="M1390" i="12"/>
  <c r="M1389" i="12"/>
  <c r="M1388" i="12"/>
  <c r="M1387" i="12"/>
  <c r="M1383" i="12"/>
  <c r="N1383" i="12" s="1"/>
  <c r="M1382" i="12"/>
  <c r="N1382" i="12" s="1"/>
  <c r="M1381" i="12"/>
  <c r="N1381" i="12" s="1"/>
  <c r="M1380" i="12"/>
  <c r="N1380" i="12" s="1"/>
  <c r="M1379" i="12"/>
  <c r="N1379" i="12" s="1"/>
  <c r="M1378" i="12"/>
  <c r="N1378" i="12" s="1"/>
  <c r="M1376" i="12"/>
  <c r="M1375" i="12"/>
  <c r="N1375" i="12" s="1"/>
  <c r="M1374" i="12"/>
  <c r="M1373" i="12"/>
  <c r="N1373" i="12" s="1"/>
  <c r="M1372" i="12"/>
  <c r="N1372" i="12" s="1"/>
  <c r="N1371" i="12"/>
  <c r="M1370" i="12"/>
  <c r="N1370" i="12" s="1"/>
  <c r="M1369" i="12"/>
  <c r="N1369" i="12" s="1"/>
  <c r="M1368" i="12"/>
  <c r="N1368" i="12" s="1"/>
  <c r="M1367" i="12"/>
  <c r="N1367" i="12" s="1"/>
  <c r="M1366" i="12"/>
  <c r="N1366" i="12" s="1"/>
  <c r="M1365" i="12"/>
  <c r="N1365" i="12" s="1"/>
  <c r="M1364" i="12"/>
  <c r="N1364" i="12" s="1"/>
  <c r="M1363" i="12"/>
  <c r="N1363" i="12" s="1"/>
  <c r="M1362" i="12"/>
  <c r="N1362" i="12" s="1"/>
  <c r="M1361" i="12"/>
  <c r="N1361" i="12" s="1"/>
  <c r="M1360" i="12"/>
  <c r="N1360" i="12" s="1"/>
  <c r="M1359" i="12"/>
  <c r="N1359" i="12" s="1"/>
  <c r="M1358" i="12"/>
  <c r="N1358" i="12" s="1"/>
  <c r="M1357" i="12"/>
  <c r="N1357" i="12" s="1"/>
  <c r="M1356" i="12"/>
  <c r="N1356" i="12" s="1"/>
  <c r="M1355" i="12"/>
  <c r="N1355" i="12" s="1"/>
  <c r="M1354" i="12"/>
  <c r="N1354" i="12" s="1"/>
  <c r="M1353" i="12"/>
  <c r="N1353" i="12" s="1"/>
  <c r="N1342" i="12"/>
  <c r="M1291" i="12"/>
  <c r="N1291" i="12" s="1"/>
  <c r="E1185" i="12"/>
  <c r="E1200" i="12"/>
  <c r="E1155" i="12"/>
  <c r="E1057" i="12"/>
  <c r="E1056" i="12"/>
  <c r="E1269" i="12"/>
  <c r="E1054" i="12"/>
  <c r="E1159" i="12"/>
  <c r="E1130" i="12"/>
  <c r="E1280" i="12"/>
  <c r="E1158" i="12"/>
  <c r="E1160" i="12"/>
  <c r="E986" i="12"/>
  <c r="E1272" i="12"/>
  <c r="E1270" i="12"/>
  <c r="E1275" i="12"/>
  <c r="E1277" i="12"/>
  <c r="E1243" i="12"/>
  <c r="E1215" i="12"/>
  <c r="E1225" i="12"/>
  <c r="E1131" i="12"/>
  <c r="E1142" i="12"/>
  <c r="E989" i="12"/>
  <c r="E1247" i="12"/>
  <c r="E1140" i="12"/>
  <c r="E1287" i="12"/>
  <c r="E1288" i="12"/>
  <c r="E1101" i="12"/>
  <c r="D1272" i="12"/>
  <c r="M1288" i="12"/>
  <c r="M1287" i="12"/>
  <c r="M1286" i="12"/>
  <c r="M1285" i="12"/>
  <c r="M1284" i="12"/>
  <c r="M1283" i="12"/>
  <c r="N1283" i="12" s="1"/>
  <c r="M1281" i="12"/>
  <c r="N1281" i="12" s="1"/>
  <c r="M1280" i="12"/>
  <c r="N1280" i="12" s="1"/>
  <c r="M1279" i="12"/>
  <c r="N1279" i="12" s="1"/>
  <c r="M1278" i="12"/>
  <c r="N1278" i="12" s="1"/>
  <c r="M1277" i="12"/>
  <c r="N1277" i="12" s="1"/>
  <c r="M1276" i="12"/>
  <c r="N1276" i="12" s="1"/>
  <c r="M1275" i="12"/>
  <c r="M1273" i="12"/>
  <c r="M1272" i="12"/>
  <c r="M1271" i="12"/>
  <c r="M1270" i="12"/>
  <c r="M1269" i="12"/>
  <c r="N1269" i="12" s="1"/>
  <c r="M1247" i="12"/>
  <c r="M1243" i="12"/>
  <c r="N1243" i="12" s="1"/>
  <c r="M1225" i="12"/>
  <c r="M1224" i="12"/>
  <c r="N1224" i="12" s="1"/>
  <c r="M1215" i="12"/>
  <c r="N1215" i="12" s="1"/>
  <c r="M1200" i="12"/>
  <c r="N1200" i="12" s="1"/>
  <c r="M1185" i="12"/>
  <c r="M1178" i="12"/>
  <c r="M1162" i="12"/>
  <c r="M1161" i="12"/>
  <c r="N1161" i="12" s="1"/>
  <c r="M1160" i="12"/>
  <c r="M1159" i="12"/>
  <c r="M1158" i="12"/>
  <c r="N1158" i="12" s="1"/>
  <c r="M1157" i="12"/>
  <c r="M1156" i="12"/>
  <c r="M1155" i="12"/>
  <c r="N1155" i="12" s="1"/>
  <c r="M1140" i="12"/>
  <c r="N1140" i="12" s="1"/>
  <c r="M1131" i="12"/>
  <c r="N1131" i="12" s="1"/>
  <c r="M1130" i="12"/>
  <c r="D1059" i="12"/>
  <c r="D1062" i="12"/>
  <c r="D1061" i="12"/>
  <c r="D1060" i="12"/>
  <c r="E1026" i="12"/>
  <c r="E889" i="12"/>
  <c r="E1027" i="12"/>
  <c r="E1020" i="12"/>
  <c r="E1018" i="12"/>
  <c r="E1043" i="12"/>
  <c r="E1025" i="12"/>
  <c r="E1102" i="12"/>
  <c r="E933" i="12"/>
  <c r="E999" i="12"/>
  <c r="E998" i="12"/>
  <c r="E1081" i="12"/>
  <c r="E1152" i="12"/>
  <c r="E1175" i="12"/>
  <c r="N1244" i="12"/>
  <c r="N1241" i="12"/>
  <c r="N1240" i="12"/>
  <c r="N1239" i="12"/>
  <c r="N1238" i="12"/>
  <c r="N1236" i="12"/>
  <c r="N1235" i="12"/>
  <c r="N1234" i="12"/>
  <c r="N1233" i="12"/>
  <c r="N1232" i="12"/>
  <c r="N1231" i="12"/>
  <c r="N1230" i="12"/>
  <c r="N1229" i="12"/>
  <c r="N1228" i="12"/>
  <c r="N1227" i="12"/>
  <c r="N1226" i="12"/>
  <c r="N1223" i="12"/>
  <c r="N1222" i="12"/>
  <c r="N1221" i="12"/>
  <c r="N1220" i="12"/>
  <c r="N1219" i="12"/>
  <c r="N1218" i="12"/>
  <c r="N1217" i="12"/>
  <c r="N1214" i="12"/>
  <c r="N1213" i="12"/>
  <c r="N1212" i="12"/>
  <c r="N1211" i="12"/>
  <c r="N1210" i="12"/>
  <c r="N1208" i="12"/>
  <c r="N1204" i="12"/>
  <c r="E1039" i="12"/>
  <c r="E1126" i="12"/>
  <c r="E1001" i="12"/>
  <c r="E1052" i="12"/>
  <c r="E958" i="12"/>
  <c r="E1028" i="12"/>
  <c r="E963" i="12"/>
  <c r="E1103" i="12"/>
  <c r="E976" i="12"/>
  <c r="E1153" i="12"/>
  <c r="E1186" i="12"/>
  <c r="E1019" i="12"/>
  <c r="E545" i="12"/>
  <c r="E944" i="12"/>
  <c r="E1029" i="12"/>
  <c r="E1134" i="12"/>
  <c r="E1044" i="12"/>
  <c r="E810" i="12"/>
  <c r="E965" i="12"/>
  <c r="E1000" i="12"/>
  <c r="M1195" i="12"/>
  <c r="N1195" i="12" s="1"/>
  <c r="M1194" i="12"/>
  <c r="N1194" i="12" s="1"/>
  <c r="M1187" i="12"/>
  <c r="N1187" i="12" s="1"/>
  <c r="M1186" i="12"/>
  <c r="E956" i="12"/>
  <c r="E1127" i="12"/>
  <c r="E1128" i="12"/>
  <c r="E1037" i="12"/>
  <c r="E1136" i="12"/>
  <c r="E1135" i="12"/>
  <c r="E957" i="12"/>
  <c r="E959" i="12"/>
  <c r="E1086" i="12"/>
  <c r="E1087" i="12"/>
  <c r="E1083" i="12"/>
  <c r="E1089" i="12"/>
  <c r="E1082" i="12"/>
  <c r="E1024" i="12"/>
  <c r="E947" i="12"/>
  <c r="E943" i="12"/>
  <c r="E1051" i="12"/>
  <c r="E1036" i="12"/>
  <c r="E797" i="12"/>
  <c r="E946" i="12"/>
  <c r="E1104" i="12"/>
  <c r="E935" i="12"/>
  <c r="E1006" i="12"/>
  <c r="N1184" i="12"/>
  <c r="N1183" i="12"/>
  <c r="M1182" i="12"/>
  <c r="N1182" i="12" s="1"/>
  <c r="M1181" i="12"/>
  <c r="N1181" i="12" s="1"/>
  <c r="M1180" i="12"/>
  <c r="N1180" i="12" s="1"/>
  <c r="M1177" i="12"/>
  <c r="N1177" i="12" s="1"/>
  <c r="M1176" i="12"/>
  <c r="N1176" i="12" s="1"/>
  <c r="M1175" i="12"/>
  <c r="M1154" i="12"/>
  <c r="N1154" i="12" s="1"/>
  <c r="M1153" i="12"/>
  <c r="N1153" i="12" s="1"/>
  <c r="M1152" i="12"/>
  <c r="M1151" i="12"/>
  <c r="N1151" i="12" s="1"/>
  <c r="E1078" i="12"/>
  <c r="E942" i="12"/>
  <c r="E888" i="12"/>
  <c r="E1088" i="12"/>
  <c r="E1085" i="12"/>
  <c r="E1084" i="12"/>
  <c r="E848" i="12"/>
  <c r="E1091" i="12"/>
  <c r="E1079" i="12"/>
  <c r="E1077" i="12"/>
  <c r="E1080" i="12"/>
  <c r="E936" i="12"/>
  <c r="E839" i="12"/>
  <c r="E1053" i="12"/>
  <c r="E796" i="12"/>
  <c r="E1033" i="12"/>
  <c r="E1040" i="12"/>
  <c r="E840" i="12"/>
  <c r="E1032" i="12"/>
  <c r="E1092" i="12"/>
  <c r="E1023" i="12"/>
  <c r="E973" i="12"/>
  <c r="E1022" i="12"/>
  <c r="E1031" i="12"/>
  <c r="E945" i="12"/>
  <c r="E1008" i="12"/>
  <c r="E948" i="12"/>
  <c r="E923" i="12"/>
  <c r="E906" i="12"/>
  <c r="E1090" i="12"/>
  <c r="E1005" i="12"/>
  <c r="E432" i="12"/>
  <c r="E430" i="12"/>
  <c r="E972" i="12"/>
  <c r="E966" i="12"/>
  <c r="E1049" i="12"/>
  <c r="E1041" i="12"/>
  <c r="E1048" i="12"/>
  <c r="E1050" i="12"/>
  <c r="E1035" i="12"/>
  <c r="E1034" i="12"/>
  <c r="E1011" i="12"/>
  <c r="E836" i="12"/>
  <c r="E838" i="12"/>
  <c r="E1010" i="12"/>
  <c r="O1078" i="12"/>
  <c r="M1129" i="12"/>
  <c r="N1129" i="12" s="1"/>
  <c r="M1128" i="12"/>
  <c r="N1128" i="12" s="1"/>
  <c r="M1127" i="12"/>
  <c r="N1127" i="12" s="1"/>
  <c r="M1126" i="12"/>
  <c r="N1126" i="12" s="1"/>
  <c r="M1117" i="12"/>
  <c r="N1117" i="12" s="1"/>
  <c r="M1116" i="12"/>
  <c r="N1116" i="12" s="1"/>
  <c r="M1115" i="12"/>
  <c r="N1115" i="12" s="1"/>
  <c r="M1114" i="12"/>
  <c r="N1114" i="12" s="1"/>
  <c r="M1113" i="12"/>
  <c r="N1113" i="12" s="1"/>
  <c r="M1112" i="12"/>
  <c r="N1112" i="12" s="1"/>
  <c r="M1111" i="12"/>
  <c r="N1111" i="12" s="1"/>
  <c r="M1110" i="12"/>
  <c r="N1110" i="12" s="1"/>
  <c r="M1109" i="12"/>
  <c r="N1109" i="12" s="1"/>
  <c r="M1108" i="12"/>
  <c r="N1108" i="12" s="1"/>
  <c r="M1107" i="12"/>
  <c r="N1107" i="12" s="1"/>
  <c r="M1106" i="12"/>
  <c r="N1106" i="12" s="1"/>
  <c r="M1105" i="12"/>
  <c r="N1105" i="12" s="1"/>
  <c r="M1091" i="12"/>
  <c r="N1091" i="12" s="1"/>
  <c r="M1090" i="12"/>
  <c r="M1089" i="12"/>
  <c r="M1088" i="12"/>
  <c r="M1087" i="12"/>
  <c r="N1087" i="12" s="1"/>
  <c r="M1086" i="12"/>
  <c r="M1085" i="12"/>
  <c r="M1084" i="12"/>
  <c r="M1083" i="12"/>
  <c r="N1083" i="12" s="1"/>
  <c r="M1082" i="12"/>
  <c r="M1081" i="12"/>
  <c r="N1081" i="12" s="1"/>
  <c r="M1080" i="12"/>
  <c r="N1080" i="12" s="1"/>
  <c r="M1079" i="12"/>
  <c r="M1078" i="12"/>
  <c r="N1078" i="12" s="1"/>
  <c r="M1077" i="12"/>
  <c r="N1077" i="12" s="1"/>
  <c r="M1052" i="12"/>
  <c r="M1051" i="12"/>
  <c r="M1039" i="12"/>
  <c r="M1038" i="12"/>
  <c r="N1038" i="12" s="1"/>
  <c r="M1037" i="12"/>
  <c r="M1036" i="12"/>
  <c r="N1036" i="12" s="1"/>
  <c r="M1005" i="12"/>
  <c r="N1005" i="12" s="1"/>
  <c r="M1001" i="12"/>
  <c r="M1000" i="12"/>
  <c r="M999" i="12"/>
  <c r="M998" i="12"/>
  <c r="M997" i="12"/>
  <c r="N997" i="12" s="1"/>
  <c r="M996" i="12"/>
  <c r="N996" i="12" s="1"/>
  <c r="M971" i="12"/>
  <c r="N971" i="12" s="1"/>
  <c r="M959" i="12"/>
  <c r="N959" i="12" s="1"/>
  <c r="M958" i="12"/>
  <c r="N958" i="12" s="1"/>
  <c r="M957" i="12"/>
  <c r="M956" i="12"/>
  <c r="M942" i="12"/>
  <c r="M888" i="12"/>
  <c r="M1076" i="12"/>
  <c r="N1076" i="12" s="1"/>
  <c r="M1075" i="12"/>
  <c r="N1075" i="12" s="1"/>
  <c r="M1074" i="12"/>
  <c r="N1074" i="12" s="1"/>
  <c r="M1073" i="12"/>
  <c r="N1073" i="12" s="1"/>
  <c r="M1072" i="12"/>
  <c r="N1072" i="12" s="1"/>
  <c r="M1071" i="12"/>
  <c r="N1071" i="12" s="1"/>
  <c r="M1070" i="12"/>
  <c r="N1070" i="12" s="1"/>
  <c r="M1069" i="12"/>
  <c r="N1069" i="12" s="1"/>
  <c r="M1068" i="12"/>
  <c r="N1068" i="12" s="1"/>
  <c r="M1067" i="12"/>
  <c r="N1067" i="12" s="1"/>
  <c r="M1066" i="12"/>
  <c r="N1066" i="12" s="1"/>
  <c r="M1065" i="12"/>
  <c r="N1065" i="12" s="1"/>
  <c r="D1101" i="12"/>
  <c r="M1100" i="12"/>
  <c r="N1100" i="12" s="1"/>
  <c r="M1099" i="12"/>
  <c r="N1099" i="12" s="1"/>
  <c r="M1098" i="12"/>
  <c r="N1098" i="12" s="1"/>
  <c r="M1097" i="12"/>
  <c r="N1097" i="12" s="1"/>
  <c r="M1096" i="12"/>
  <c r="N1096" i="12" s="1"/>
  <c r="M1095" i="12"/>
  <c r="N1095" i="12" s="1"/>
  <c r="M1094" i="12"/>
  <c r="N1094" i="12" s="1"/>
  <c r="M1093" i="12"/>
  <c r="N1093" i="12" s="1"/>
  <c r="M1092" i="12"/>
  <c r="N1092" i="12" s="1"/>
  <c r="M1102" i="12"/>
  <c r="N1102" i="12" s="1"/>
  <c r="M1044" i="12"/>
  <c r="N1044" i="12" s="1"/>
  <c r="M1043" i="12"/>
  <c r="M1028" i="12"/>
  <c r="N1028" i="12" s="1"/>
  <c r="M1025" i="12"/>
  <c r="N1025" i="12" s="1"/>
  <c r="M1024" i="12"/>
  <c r="N1024" i="12" s="1"/>
  <c r="M1023" i="12"/>
  <c r="M1022" i="12"/>
  <c r="N1022" i="12" s="1"/>
  <c r="M1006" i="12"/>
  <c r="M973" i="12"/>
  <c r="N973" i="12" s="1"/>
  <c r="M972" i="12"/>
  <c r="M963" i="12"/>
  <c r="N963" i="12" s="1"/>
  <c r="M947" i="12"/>
  <c r="M943" i="12"/>
  <c r="N943" i="12" s="1"/>
  <c r="M941" i="12"/>
  <c r="N941" i="12" s="1"/>
  <c r="M935" i="12"/>
  <c r="N935" i="12" s="1"/>
  <c r="M432" i="12"/>
  <c r="M1136" i="12"/>
  <c r="N1136" i="12" s="1"/>
  <c r="M1135" i="12"/>
  <c r="N1135" i="12" s="1"/>
  <c r="M1134" i="12"/>
  <c r="M1104" i="12"/>
  <c r="M1103" i="12"/>
  <c r="N1103" i="12" s="1"/>
  <c r="M1101" i="12"/>
  <c r="N1064" i="12"/>
  <c r="N1063" i="12"/>
  <c r="M1062" i="12"/>
  <c r="N1062" i="12" s="1"/>
  <c r="M1061" i="12"/>
  <c r="M1060" i="12"/>
  <c r="M1059" i="12"/>
  <c r="N1058" i="12"/>
  <c r="M1057" i="12"/>
  <c r="M1056" i="12"/>
  <c r="M1055" i="12"/>
  <c r="N1055" i="12" s="1"/>
  <c r="M1054" i="12"/>
  <c r="N1054" i="12" s="1"/>
  <c r="M1053" i="12"/>
  <c r="M1031" i="12"/>
  <c r="N1031" i="12" s="1"/>
  <c r="M1029" i="12"/>
  <c r="M1027" i="12"/>
  <c r="N1027" i="12" s="1"/>
  <c r="M1026" i="12"/>
  <c r="M1020" i="12"/>
  <c r="N1020" i="12" s="1"/>
  <c r="M1019" i="12"/>
  <c r="N1019" i="12" s="1"/>
  <c r="M1018" i="12"/>
  <c r="M1008" i="12"/>
  <c r="M986" i="12"/>
  <c r="M976" i="12"/>
  <c r="M966" i="12"/>
  <c r="N966" i="12" s="1"/>
  <c r="M948" i="12"/>
  <c r="N948" i="12" s="1"/>
  <c r="M946" i="12"/>
  <c r="M945" i="12"/>
  <c r="N945" i="12" s="1"/>
  <c r="M944" i="12"/>
  <c r="N944" i="12" s="1"/>
  <c r="M1050" i="12"/>
  <c r="N1050" i="12" s="1"/>
  <c r="M1049" i="12"/>
  <c r="N1049" i="12" s="1"/>
  <c r="M1048" i="12"/>
  <c r="N1048" i="12" s="1"/>
  <c r="E844" i="12"/>
  <c r="D998" i="12"/>
  <c r="E1014" i="12"/>
  <c r="E814" i="12"/>
  <c r="E1009" i="12"/>
  <c r="E842" i="12"/>
  <c r="E693" i="12"/>
  <c r="E911" i="12"/>
  <c r="E891" i="12"/>
  <c r="E984" i="12"/>
  <c r="E1021" i="12"/>
  <c r="E896" i="12"/>
  <c r="E892" i="12"/>
  <c r="M1042" i="12"/>
  <c r="N1042" i="12" s="1"/>
  <c r="M1041" i="12"/>
  <c r="M1040" i="12"/>
  <c r="N1040" i="12" s="1"/>
  <c r="M1035" i="12"/>
  <c r="M1034" i="12"/>
  <c r="M1033" i="12"/>
  <c r="N1033" i="12" s="1"/>
  <c r="M1032" i="12"/>
  <c r="N1032" i="12" s="1"/>
  <c r="M1021" i="12"/>
  <c r="M1014" i="12"/>
  <c r="D976" i="12"/>
  <c r="E1012" i="12"/>
  <c r="E816" i="12"/>
  <c r="E841" i="12"/>
  <c r="E812" i="12"/>
  <c r="E428" i="12"/>
  <c r="E1013" i="12"/>
  <c r="E1016" i="12"/>
  <c r="E1015" i="12"/>
  <c r="E819" i="12"/>
  <c r="E817" i="12"/>
  <c r="E969" i="12"/>
  <c r="E995" i="12"/>
  <c r="E890" i="12"/>
  <c r="E837" i="12"/>
  <c r="E427" i="12"/>
  <c r="E975" i="12"/>
  <c r="E897" i="12"/>
  <c r="E981" i="12"/>
  <c r="E916" i="12"/>
  <c r="N1085" i="12" l="1"/>
  <c r="N1089" i="12"/>
  <c r="N1157" i="12"/>
  <c r="N1400" i="12"/>
  <c r="N1473" i="12"/>
  <c r="N1041" i="12"/>
  <c r="N1134" i="12"/>
  <c r="N956" i="12"/>
  <c r="N999" i="12"/>
  <c r="N1051" i="12"/>
  <c r="N1079" i="12"/>
  <c r="N1175" i="12"/>
  <c r="N1159" i="12"/>
  <c r="N1178" i="12"/>
  <c r="N1273" i="12"/>
  <c r="N1376" i="12"/>
  <c r="N1397" i="12"/>
  <c r="N1427" i="12"/>
  <c r="N946" i="12"/>
  <c r="N986" i="12"/>
  <c r="N1056" i="12"/>
  <c r="N1060" i="12"/>
  <c r="N1034" i="12"/>
  <c r="N1023" i="12"/>
  <c r="N1043" i="12"/>
  <c r="N1000" i="12"/>
  <c r="N1037" i="12"/>
  <c r="N1052" i="12"/>
  <c r="N1270" i="12"/>
  <c r="N1284" i="12"/>
  <c r="N1288" i="12"/>
  <c r="N1242" i="12"/>
  <c r="N1424" i="12"/>
  <c r="N1035" i="12"/>
  <c r="N1271" i="12"/>
  <c r="N1021" i="12"/>
  <c r="N1018" i="12"/>
  <c r="N1001" i="12"/>
  <c r="N1029" i="12"/>
  <c r="N1059" i="12"/>
  <c r="N1104" i="12"/>
  <c r="N432" i="12"/>
  <c r="N947" i="12"/>
  <c r="N1006" i="12"/>
  <c r="N942" i="12"/>
  <c r="N1039" i="12"/>
  <c r="N1082" i="12"/>
  <c r="N1086" i="12"/>
  <c r="N1090" i="12"/>
  <c r="N1162" i="12"/>
  <c r="N1374" i="12"/>
  <c r="N1014" i="12"/>
  <c r="N1008" i="12"/>
  <c r="N1026" i="12"/>
  <c r="N1053" i="12"/>
  <c r="N1057" i="12"/>
  <c r="N1061" i="12"/>
  <c r="N1101" i="12"/>
  <c r="N972" i="12"/>
  <c r="N957" i="12"/>
  <c r="N1084" i="12"/>
  <c r="N1088" i="12"/>
  <c r="N1152" i="12"/>
  <c r="N1130" i="12"/>
  <c r="N1156" i="12"/>
  <c r="N1160" i="12"/>
  <c r="N1185" i="12"/>
  <c r="N1225" i="12"/>
  <c r="N1455" i="12"/>
  <c r="N1247" i="12"/>
  <c r="N1272" i="12"/>
  <c r="N1275" i="12"/>
  <c r="N1186" i="12"/>
  <c r="N1287" i="12"/>
  <c r="N976" i="12"/>
  <c r="N998" i="12"/>
  <c r="E983" i="12"/>
  <c r="E915" i="12"/>
  <c r="E577" i="12"/>
  <c r="E578" i="12"/>
  <c r="E1002" i="12"/>
  <c r="E898" i="12"/>
  <c r="E847" i="12"/>
  <c r="E811" i="12"/>
  <c r="E1007" i="12"/>
  <c r="E980" i="12"/>
  <c r="E982" i="12"/>
  <c r="E893" i="12"/>
  <c r="E955" i="12"/>
  <c r="E993" i="12"/>
  <c r="E843" i="12"/>
  <c r="E699" i="12"/>
  <c r="E815" i="12"/>
  <c r="E696" i="12"/>
  <c r="E994" i="12"/>
  <c r="E954" i="12"/>
  <c r="E845" i="12"/>
  <c r="E818" i="12"/>
  <c r="E846" i="12"/>
  <c r="E813" i="12"/>
  <c r="E917" i="12"/>
  <c r="M1017" i="12"/>
  <c r="N1017" i="12" s="1"/>
  <c r="E909" i="12"/>
  <c r="M1016" i="12"/>
  <c r="N1016" i="12" s="1"/>
  <c r="M1015" i="12"/>
  <c r="N1015" i="12" s="1"/>
  <c r="M1013" i="12"/>
  <c r="N1013" i="12" s="1"/>
  <c r="M1012" i="12"/>
  <c r="N1012" i="12" s="1"/>
  <c r="M1011" i="12"/>
  <c r="N1011" i="12" s="1"/>
  <c r="M1010" i="12"/>
  <c r="N1010" i="12" s="1"/>
  <c r="M1009" i="12"/>
  <c r="N1009" i="12" s="1"/>
  <c r="M1007" i="12"/>
  <c r="N1007" i="12" s="1"/>
  <c r="M995" i="12"/>
  <c r="N995" i="12" s="1"/>
  <c r="M994" i="12"/>
  <c r="N994" i="12" s="1"/>
  <c r="M993" i="12"/>
  <c r="N993" i="12" s="1"/>
  <c r="M984" i="12"/>
  <c r="N984" i="12" s="1"/>
  <c r="E809" i="12"/>
  <c r="E913" i="12"/>
  <c r="E992" i="12"/>
  <c r="E639" i="12"/>
  <c r="E802" i="12"/>
  <c r="E806" i="12"/>
  <c r="E974" i="12"/>
  <c r="E258" i="12"/>
  <c r="E953" i="12"/>
  <c r="E951" i="12"/>
  <c r="E950" i="12"/>
  <c r="E1003" i="12"/>
  <c r="E962" i="12"/>
  <c r="E171" i="12"/>
  <c r="E864" i="12"/>
  <c r="E865" i="12"/>
  <c r="E638" i="12"/>
  <c r="E1004" i="12"/>
  <c r="M1004" i="12"/>
  <c r="M1003" i="12"/>
  <c r="N1003" i="12" s="1"/>
  <c r="M1002" i="12"/>
  <c r="N1002" i="12" s="1"/>
  <c r="M992" i="12"/>
  <c r="M991" i="12"/>
  <c r="M990" i="12"/>
  <c r="N990" i="12" s="1"/>
  <c r="M989" i="12"/>
  <c r="M988" i="12"/>
  <c r="N988" i="12" s="1"/>
  <c r="M987" i="12"/>
  <c r="N987" i="12" s="1"/>
  <c r="M974" i="12"/>
  <c r="M962" i="12"/>
  <c r="M953" i="12"/>
  <c r="N991" i="12"/>
  <c r="E835" i="12"/>
  <c r="E172" i="12"/>
  <c r="E697" i="12"/>
  <c r="E694" i="12"/>
  <c r="E691" i="12"/>
  <c r="E548" i="12"/>
  <c r="E805" i="12"/>
  <c r="E710" i="12"/>
  <c r="E804" i="12"/>
  <c r="E961" i="12"/>
  <c r="E949" i="12"/>
  <c r="E579" i="12"/>
  <c r="E985" i="12"/>
  <c r="E803" i="12"/>
  <c r="E529" i="12"/>
  <c r="E528" i="12"/>
  <c r="E960" i="12"/>
  <c r="E377" i="12"/>
  <c r="E328" i="12"/>
  <c r="E372" i="12"/>
  <c r="E253" i="12"/>
  <c r="E247" i="12"/>
  <c r="E646" i="12"/>
  <c r="E248" i="12"/>
  <c r="E894" i="12"/>
  <c r="E967" i="12"/>
  <c r="E919" i="12"/>
  <c r="E692" i="12"/>
  <c r="E978" i="12"/>
  <c r="E977" i="12"/>
  <c r="E938" i="12"/>
  <c r="E918" i="12"/>
  <c r="E547" i="12"/>
  <c r="E572" i="12"/>
  <c r="E532" i="12"/>
  <c r="E531" i="12"/>
  <c r="E968" i="12"/>
  <c r="E629" i="12"/>
  <c r="E952" i="12"/>
  <c r="E256" i="12"/>
  <c r="E530" i="12"/>
  <c r="E807" i="12"/>
  <c r="E55" i="12"/>
  <c r="E533" i="12"/>
  <c r="E534" i="12"/>
  <c r="E330" i="12"/>
  <c r="E54" i="12"/>
  <c r="E56" i="12"/>
  <c r="E57" i="12"/>
  <c r="E970" i="12"/>
  <c r="E374" i="12"/>
  <c r="E371" i="12"/>
  <c r="E58" i="12"/>
  <c r="E689" i="12"/>
  <c r="E376" i="12"/>
  <c r="E375" i="12"/>
  <c r="E373" i="12"/>
  <c r="E378" i="12"/>
  <c r="E257" i="12"/>
  <c r="E690" i="12"/>
  <c r="E821" i="12"/>
  <c r="E937" i="12"/>
  <c r="E921" i="12"/>
  <c r="E920" i="12"/>
  <c r="N992" i="12" l="1"/>
  <c r="N989" i="12"/>
  <c r="N1004" i="12"/>
  <c r="D961" i="12"/>
  <c r="M985" i="12"/>
  <c r="N985" i="12" s="1"/>
  <c r="M979" i="12"/>
  <c r="N979" i="12" s="1"/>
  <c r="N974" i="12"/>
  <c r="M970" i="12"/>
  <c r="N970" i="12" s="1"/>
  <c r="M968" i="12"/>
  <c r="N968" i="12" s="1"/>
  <c r="N962" i="12"/>
  <c r="M961" i="12"/>
  <c r="N961" i="12" s="1"/>
  <c r="N953" i="12"/>
  <c r="M952" i="12"/>
  <c r="N952" i="12" s="1"/>
  <c r="M951" i="12"/>
  <c r="N951" i="12" s="1"/>
  <c r="M950" i="12"/>
  <c r="N950" i="12" s="1"/>
  <c r="M949" i="12"/>
  <c r="N949" i="12" s="1"/>
  <c r="M983" i="12"/>
  <c r="N983" i="12" s="1"/>
  <c r="M982" i="12"/>
  <c r="N982" i="12" s="1"/>
  <c r="M981" i="12"/>
  <c r="N981" i="12" s="1"/>
  <c r="M980" i="12"/>
  <c r="N980" i="12" s="1"/>
  <c r="M978" i="12"/>
  <c r="M977" i="12"/>
  <c r="E251" i="12"/>
  <c r="E598" i="12"/>
  <c r="E254" i="12"/>
  <c r="E535" i="12"/>
  <c r="E927" i="12"/>
  <c r="E925" i="12"/>
  <c r="E910" i="12"/>
  <c r="E626" i="12"/>
  <c r="E647" i="12"/>
  <c r="E249" i="12"/>
  <c r="E573" i="12"/>
  <c r="E597" i="12"/>
  <c r="E595" i="12"/>
  <c r="E592" i="12"/>
  <c r="E593" i="12"/>
  <c r="E549" i="12"/>
  <c r="E250" i="12"/>
  <c r="E928" i="12"/>
  <c r="M975" i="12"/>
  <c r="N975" i="12" s="1"/>
  <c r="M969" i="12"/>
  <c r="N969" i="12" s="1"/>
  <c r="M967" i="12"/>
  <c r="N967" i="12" s="1"/>
  <c r="M965" i="12"/>
  <c r="N965" i="12" s="1"/>
  <c r="M955" i="12"/>
  <c r="N955" i="12" s="1"/>
  <c r="M954" i="12"/>
  <c r="N954" i="12" s="1"/>
  <c r="E719" i="12"/>
  <c r="E899" i="12"/>
  <c r="E885" i="12"/>
  <c r="E926" i="12"/>
  <c r="E939" i="12"/>
  <c r="E867" i="12"/>
  <c r="E868" i="12"/>
  <c r="E900" i="12"/>
  <c r="E550" i="12"/>
  <c r="E252" i="12"/>
  <c r="E602" i="12"/>
  <c r="E601" i="12"/>
  <c r="E908" i="12"/>
  <c r="E820" i="12"/>
  <c r="E922" i="12"/>
  <c r="E808" i="12"/>
  <c r="E599" i="12"/>
  <c r="E721" i="12"/>
  <c r="E914" i="12"/>
  <c r="E722" i="12"/>
  <c r="E720" i="12"/>
  <c r="E594" i="12"/>
  <c r="E596" i="12"/>
  <c r="E695" i="12"/>
  <c r="M938" i="12"/>
  <c r="N938" i="12" s="1"/>
  <c r="M937" i="12"/>
  <c r="N937" i="12" s="1"/>
  <c r="M936" i="12"/>
  <c r="N936" i="12" s="1"/>
  <c r="M933" i="12"/>
  <c r="N933" i="12" s="1"/>
  <c r="M932" i="12"/>
  <c r="N932" i="12" s="1"/>
  <c r="M928" i="12"/>
  <c r="N928" i="12" s="1"/>
  <c r="M927" i="12"/>
  <c r="N927" i="12" s="1"/>
  <c r="M926" i="12"/>
  <c r="N926" i="12" s="1"/>
  <c r="M925" i="12"/>
  <c r="N925" i="12" s="1"/>
  <c r="E851" i="12"/>
  <c r="E760" i="12"/>
  <c r="E698" i="12"/>
  <c r="E852" i="12"/>
  <c r="E850" i="12"/>
  <c r="E825" i="12"/>
  <c r="E823" i="12"/>
  <c r="E822" i="12"/>
  <c r="E874" i="12"/>
  <c r="E871" i="12"/>
  <c r="E824" i="12"/>
  <c r="E876" i="12"/>
  <c r="E873" i="12"/>
  <c r="E929" i="12"/>
  <c r="E930" i="12"/>
  <c r="E931" i="12"/>
  <c r="E924" i="12"/>
  <c r="E904" i="12"/>
  <c r="E886" i="12"/>
  <c r="E934" i="12"/>
  <c r="E907" i="12"/>
  <c r="E759" i="12"/>
  <c r="E758" i="12"/>
  <c r="E875" i="12"/>
  <c r="E877" i="12"/>
  <c r="E872" i="12"/>
  <c r="M810" i="12"/>
  <c r="N810" i="12" s="1"/>
  <c r="M811" i="12"/>
  <c r="N811" i="12" s="1"/>
  <c r="M812" i="12"/>
  <c r="N812" i="12" s="1"/>
  <c r="M813" i="12"/>
  <c r="N813" i="12" s="1"/>
  <c r="M814" i="12"/>
  <c r="N814" i="12" s="1"/>
  <c r="M815" i="12"/>
  <c r="N815" i="12" s="1"/>
  <c r="M816" i="12"/>
  <c r="N816" i="12" s="1"/>
  <c r="M821" i="12"/>
  <c r="N821" i="12" s="1"/>
  <c r="M820" i="12"/>
  <c r="N820" i="12" s="1"/>
  <c r="M819" i="12"/>
  <c r="N819" i="12" s="1"/>
  <c r="M818" i="12"/>
  <c r="N818" i="12" s="1"/>
  <c r="M817" i="12"/>
  <c r="N817" i="12" s="1"/>
  <c r="M847" i="12"/>
  <c r="N847" i="12" s="1"/>
  <c r="M846" i="12"/>
  <c r="N846" i="12" s="1"/>
  <c r="M845" i="12"/>
  <c r="N845" i="12" s="1"/>
  <c r="M844" i="12"/>
  <c r="N844" i="12" s="1"/>
  <c r="M843" i="12"/>
  <c r="N843" i="12" s="1"/>
  <c r="M842" i="12"/>
  <c r="N842" i="12" s="1"/>
  <c r="M841" i="12"/>
  <c r="N841" i="12" s="1"/>
  <c r="M840" i="12"/>
  <c r="N840" i="12" s="1"/>
  <c r="M839" i="12"/>
  <c r="N839" i="12" s="1"/>
  <c r="M838" i="12"/>
  <c r="N838" i="12" s="1"/>
  <c r="M837" i="12"/>
  <c r="N837" i="12" s="1"/>
  <c r="M836" i="12"/>
  <c r="N836" i="12" s="1"/>
  <c r="M835" i="12"/>
  <c r="N835" i="12" s="1"/>
  <c r="M868" i="12"/>
  <c r="N868" i="12" s="1"/>
  <c r="M867" i="12"/>
  <c r="E856" i="12"/>
  <c r="E878" i="12"/>
  <c r="M923" i="12"/>
  <c r="N923" i="12" s="1"/>
  <c r="M922" i="12"/>
  <c r="N922" i="12" s="1"/>
  <c r="M921" i="12"/>
  <c r="N921" i="12" s="1"/>
  <c r="M920" i="12"/>
  <c r="M919" i="12"/>
  <c r="N919" i="12" s="1"/>
  <c r="E849" i="12"/>
  <c r="E882" i="12"/>
  <c r="E857" i="12"/>
  <c r="E881" i="12"/>
  <c r="E643" i="12"/>
  <c r="E741" i="12"/>
  <c r="E912" i="12"/>
  <c r="E903" i="12"/>
  <c r="E861" i="12"/>
  <c r="E307" i="12"/>
  <c r="E329" i="12"/>
  <c r="E650" i="12"/>
  <c r="E829" i="12"/>
  <c r="E772" i="12"/>
  <c r="E858" i="12"/>
  <c r="E459" i="12"/>
  <c r="E431" i="12"/>
  <c r="E880" i="12"/>
  <c r="E905" i="12"/>
  <c r="E625" i="12"/>
  <c r="E883" i="12"/>
  <c r="E870" i="12"/>
  <c r="N920" i="12"/>
  <c r="M918" i="12"/>
  <c r="N918" i="12" s="1"/>
  <c r="M917" i="12"/>
  <c r="N917" i="12" s="1"/>
  <c r="M916" i="12"/>
  <c r="N916" i="12" s="1"/>
  <c r="M915" i="12"/>
  <c r="N915" i="12" s="1"/>
  <c r="M914" i="12"/>
  <c r="N914" i="12" s="1"/>
  <c r="M913" i="12"/>
  <c r="N913" i="12" s="1"/>
  <c r="M912" i="12"/>
  <c r="N912" i="12" s="1"/>
  <c r="M911" i="12"/>
  <c r="N911" i="12" s="1"/>
  <c r="M900" i="12"/>
  <c r="N900" i="12" s="1"/>
  <c r="M899" i="12"/>
  <c r="N899" i="12" s="1"/>
  <c r="M898" i="12"/>
  <c r="N898" i="12" s="1"/>
  <c r="M897" i="12"/>
  <c r="N897" i="12" s="1"/>
  <c r="M896" i="12"/>
  <c r="N896" i="12" s="1"/>
  <c r="M893" i="12"/>
  <c r="N893" i="12" s="1"/>
  <c r="M892" i="12"/>
  <c r="N892" i="12" s="1"/>
  <c r="M891" i="12"/>
  <c r="N891" i="12" s="1"/>
  <c r="M890" i="12"/>
  <c r="N890" i="12" s="1"/>
  <c r="M889" i="12"/>
  <c r="N889" i="12" s="1"/>
  <c r="M885" i="12"/>
  <c r="N885" i="12" s="1"/>
  <c r="M884" i="12"/>
  <c r="M910" i="12"/>
  <c r="N910" i="12" s="1"/>
  <c r="M909" i="12"/>
  <c r="N909" i="12" s="1"/>
  <c r="M908" i="12"/>
  <c r="N908" i="12" s="1"/>
  <c r="M907" i="12"/>
  <c r="N907" i="12" s="1"/>
  <c r="M906" i="12"/>
  <c r="N906" i="12" s="1"/>
  <c r="M894" i="12"/>
  <c r="N894" i="12" s="1"/>
  <c r="M865" i="12"/>
  <c r="N865" i="12" s="1"/>
  <c r="M864" i="12"/>
  <c r="N864" i="12" s="1"/>
  <c r="M809" i="12"/>
  <c r="N809" i="12" s="1"/>
  <c r="M808" i="12"/>
  <c r="N808" i="12" s="1"/>
  <c r="M807" i="12"/>
  <c r="N807" i="12" s="1"/>
  <c r="M806" i="12"/>
  <c r="N806" i="12" s="1"/>
  <c r="M805" i="12"/>
  <c r="N805" i="12" s="1"/>
  <c r="M804" i="12"/>
  <c r="N804" i="12" s="1"/>
  <c r="M803" i="12"/>
  <c r="N803" i="12" s="1"/>
  <c r="M802" i="12"/>
  <c r="N802" i="12" s="1"/>
  <c r="M722" i="12"/>
  <c r="N722" i="12" s="1"/>
  <c r="M721" i="12"/>
  <c r="N721" i="12" s="1"/>
  <c r="M720" i="12"/>
  <c r="N720" i="12" s="1"/>
  <c r="M719" i="12"/>
  <c r="N719" i="12" s="1"/>
  <c r="M710" i="12"/>
  <c r="N710" i="12" s="1"/>
  <c r="M690" i="12"/>
  <c r="N690" i="12" s="1"/>
  <c r="M689" i="12"/>
  <c r="N689" i="12" s="1"/>
  <c r="M647" i="12"/>
  <c r="N647" i="12" s="1"/>
  <c r="M646" i="12"/>
  <c r="N646" i="12" s="1"/>
  <c r="M639" i="12"/>
  <c r="N639" i="12" s="1"/>
  <c r="M638" i="12"/>
  <c r="N638" i="12" s="1"/>
  <c r="M629" i="12"/>
  <c r="N629" i="12" s="1"/>
  <c r="M626" i="12"/>
  <c r="N626" i="12" s="1"/>
  <c r="M602" i="12"/>
  <c r="N602" i="12" s="1"/>
  <c r="M601" i="12"/>
  <c r="N601" i="12" s="1"/>
  <c r="M599" i="12"/>
  <c r="N599" i="12" s="1"/>
  <c r="M598" i="12"/>
  <c r="N598" i="12" s="1"/>
  <c r="M597" i="12"/>
  <c r="N597" i="12" s="1"/>
  <c r="M596" i="12"/>
  <c r="N596" i="12" s="1"/>
  <c r="M595" i="12"/>
  <c r="N595" i="12" s="1"/>
  <c r="M594" i="12"/>
  <c r="N594" i="12" s="1"/>
  <c r="M593" i="12"/>
  <c r="N593" i="12" s="1"/>
  <c r="M592" i="12"/>
  <c r="N592" i="12" s="1"/>
  <c r="M579" i="12"/>
  <c r="N579" i="12" s="1"/>
  <c r="M578" i="12"/>
  <c r="N578" i="12" s="1"/>
  <c r="M577" i="12"/>
  <c r="N577" i="12" s="1"/>
  <c r="M573" i="12"/>
  <c r="N573" i="12" s="1"/>
  <c r="M572" i="12"/>
  <c r="N572" i="12" s="1"/>
  <c r="M550" i="12"/>
  <c r="N550" i="12" s="1"/>
  <c r="M549" i="12"/>
  <c r="N549" i="12" s="1"/>
  <c r="M548" i="12"/>
  <c r="N548" i="12" s="1"/>
  <c r="M547" i="12"/>
  <c r="N547" i="12" s="1"/>
  <c r="M535" i="12"/>
  <c r="N535" i="12" s="1"/>
  <c r="M534" i="12"/>
  <c r="N534" i="12" s="1"/>
  <c r="M533" i="12"/>
  <c r="N533" i="12" s="1"/>
  <c r="M532" i="12"/>
  <c r="N532" i="12" s="1"/>
  <c r="M531" i="12"/>
  <c r="N531" i="12" s="1"/>
  <c r="M530" i="12"/>
  <c r="N530" i="12" s="1"/>
  <c r="M529" i="12"/>
  <c r="N529" i="12" s="1"/>
  <c r="M528" i="12"/>
  <c r="N528" i="12" s="1"/>
  <c r="M378" i="12"/>
  <c r="N378" i="12" s="1"/>
  <c r="M377" i="12"/>
  <c r="N377" i="12" s="1"/>
  <c r="M376" i="12"/>
  <c r="N376" i="12" s="1"/>
  <c r="M375" i="12"/>
  <c r="E744" i="12"/>
  <c r="E305" i="12"/>
  <c r="E863" i="12"/>
  <c r="E828" i="12"/>
  <c r="E73" i="12"/>
  <c r="E834" i="12"/>
  <c r="E833" i="12"/>
  <c r="E774" i="12"/>
  <c r="E433" i="12"/>
  <c r="E201" i="12"/>
  <c r="E742" i="12"/>
  <c r="E705" i="12"/>
  <c r="E309" i="12"/>
  <c r="E901" i="12"/>
  <c r="E831" i="12"/>
  <c r="E832" i="12"/>
  <c r="E711" i="12"/>
  <c r="E712" i="12"/>
  <c r="E895" i="12"/>
  <c r="E704" i="12"/>
  <c r="E740" i="12"/>
  <c r="E739" i="12"/>
  <c r="E827" i="12"/>
  <c r="E706" i="12"/>
  <c r="E624" i="12"/>
  <c r="E306" i="12"/>
  <c r="E860" i="12"/>
  <c r="E826" i="12"/>
  <c r="E902" i="12"/>
  <c r="E887" i="12"/>
  <c r="E478" i="12"/>
  <c r="E866" i="12"/>
  <c r="E729" i="12"/>
  <c r="E730" i="12"/>
  <c r="E732" i="12"/>
  <c r="E731" i="12"/>
  <c r="E884" i="12"/>
  <c r="E743" i="12"/>
  <c r="E322" i="12"/>
  <c r="E859" i="12"/>
  <c r="E795" i="12"/>
  <c r="E623" i="12"/>
  <c r="E773" i="12"/>
  <c r="E830" i="12"/>
  <c r="E72" i="12"/>
  <c r="E71" i="12"/>
  <c r="E862" i="12"/>
  <c r="M904" i="12"/>
  <c r="N904" i="12" s="1"/>
  <c r="M902" i="12"/>
  <c r="N902" i="12" s="1"/>
  <c r="M895" i="12"/>
  <c r="N888" i="12"/>
  <c r="M887" i="12"/>
  <c r="N887" i="12" s="1"/>
  <c r="M886" i="12"/>
  <c r="N886" i="12" s="1"/>
  <c r="M877" i="12"/>
  <c r="N877" i="12" s="1"/>
  <c r="M876" i="12"/>
  <c r="N876" i="12" s="1"/>
  <c r="M875" i="12"/>
  <c r="N875" i="12" s="1"/>
  <c r="M874" i="12"/>
  <c r="N874" i="12" s="1"/>
  <c r="M873" i="12"/>
  <c r="N873" i="12" s="1"/>
  <c r="M872" i="12"/>
  <c r="N872" i="12" s="1"/>
  <c r="M871" i="12"/>
  <c r="N871" i="12" s="1"/>
  <c r="M852" i="12"/>
  <c r="N852" i="12" s="1"/>
  <c r="M851" i="12"/>
  <c r="N851" i="12" s="1"/>
  <c r="M850" i="12"/>
  <c r="N850" i="12" s="1"/>
  <c r="M849" i="12"/>
  <c r="N849" i="12" s="1"/>
  <c r="M848" i="12"/>
  <c r="N848" i="12" s="1"/>
  <c r="M825" i="12"/>
  <c r="N825" i="12" s="1"/>
  <c r="M824" i="12"/>
  <c r="N824" i="12" s="1"/>
  <c r="M823" i="12"/>
  <c r="N823" i="12" s="1"/>
  <c r="M822" i="12"/>
  <c r="N822" i="12" s="1"/>
  <c r="M797" i="12"/>
  <c r="N797" i="12" s="1"/>
  <c r="M905" i="12"/>
  <c r="N905" i="12" s="1"/>
  <c r="M903" i="12"/>
  <c r="N903" i="12" s="1"/>
  <c r="M901" i="12"/>
  <c r="N901" i="12" s="1"/>
  <c r="M883" i="12"/>
  <c r="N883" i="12" s="1"/>
  <c r="M870" i="12"/>
  <c r="N870" i="12" s="1"/>
  <c r="M863" i="12"/>
  <c r="N863" i="12" s="1"/>
  <c r="M862" i="12"/>
  <c r="N862" i="12" s="1"/>
  <c r="M861" i="12"/>
  <c r="N861" i="12" s="1"/>
  <c r="M860" i="12"/>
  <c r="N860" i="12" s="1"/>
  <c r="M859" i="12"/>
  <c r="N859" i="12" s="1"/>
  <c r="M834" i="12"/>
  <c r="N834" i="12" s="1"/>
  <c r="M833" i="12"/>
  <c r="N833" i="12" s="1"/>
  <c r="M832" i="12"/>
  <c r="N832" i="12" s="1"/>
  <c r="M831" i="12"/>
  <c r="N831" i="12" s="1"/>
  <c r="M830" i="12"/>
  <c r="N830" i="12" s="1"/>
  <c r="M829" i="12"/>
  <c r="N829" i="12" s="1"/>
  <c r="M828" i="12"/>
  <c r="N828" i="12" s="1"/>
  <c r="M827" i="12"/>
  <c r="N827" i="12" s="1"/>
  <c r="M826" i="12"/>
  <c r="N826" i="12" s="1"/>
  <c r="M795" i="12"/>
  <c r="N795" i="12" s="1"/>
  <c r="M774" i="12"/>
  <c r="N774" i="12" s="1"/>
  <c r="M773" i="12"/>
  <c r="N773" i="12" s="1"/>
  <c r="M772" i="12"/>
  <c r="N772" i="12" s="1"/>
  <c r="M744" i="12"/>
  <c r="N744" i="12" s="1"/>
  <c r="M743" i="12"/>
  <c r="N743" i="12" s="1"/>
  <c r="M742" i="12"/>
  <c r="N742" i="12" s="1"/>
  <c r="M741" i="12"/>
  <c r="N741" i="12" s="1"/>
  <c r="M740" i="12"/>
  <c r="N740" i="12" s="1"/>
  <c r="M739" i="12"/>
  <c r="N739" i="12" s="1"/>
  <c r="M712" i="12"/>
  <c r="N712" i="12" s="1"/>
  <c r="M711" i="12"/>
  <c r="N711" i="12" s="1"/>
  <c r="M706" i="12"/>
  <c r="N706" i="12" s="1"/>
  <c r="M705" i="12"/>
  <c r="N705" i="12" s="1"/>
  <c r="M704" i="12"/>
  <c r="N704" i="12" s="1"/>
  <c r="M650" i="12"/>
  <c r="N650" i="12" s="1"/>
  <c r="E854" i="12"/>
  <c r="E479" i="12"/>
  <c r="E879" i="12"/>
  <c r="E769" i="12"/>
  <c r="E765" i="12"/>
  <c r="E685" i="12"/>
  <c r="E855" i="12"/>
  <c r="E768" i="12"/>
  <c r="E766" i="12"/>
  <c r="E771" i="12"/>
  <c r="E686" i="12"/>
  <c r="E683" i="12"/>
  <c r="E679" i="12"/>
  <c r="E681" i="12"/>
  <c r="E493" i="12"/>
  <c r="E687" i="12"/>
  <c r="E301" i="12"/>
  <c r="E302" i="12"/>
  <c r="E680" i="12"/>
  <c r="E303" i="12"/>
  <c r="E682" i="12"/>
  <c r="E728" i="12"/>
  <c r="E801" i="12"/>
  <c r="N801" i="12" s="1"/>
  <c r="E869" i="12"/>
  <c r="E853" i="12"/>
  <c r="E703" i="12"/>
  <c r="E799" i="12"/>
  <c r="E207" i="12"/>
  <c r="E435" i="12"/>
  <c r="E442" i="12"/>
  <c r="E298" i="12"/>
  <c r="E713" i="12"/>
  <c r="E792" i="12"/>
  <c r="E794" i="12"/>
  <c r="E726" i="12"/>
  <c r="M882" i="12"/>
  <c r="N882" i="12" s="1"/>
  <c r="M881" i="12"/>
  <c r="N881" i="12" s="1"/>
  <c r="M880" i="12"/>
  <c r="N880" i="12" s="1"/>
  <c r="M879" i="12"/>
  <c r="M878" i="12"/>
  <c r="N878" i="12" s="1"/>
  <c r="M760" i="12"/>
  <c r="N760" i="12" s="1"/>
  <c r="M759" i="12"/>
  <c r="N759" i="12" s="1"/>
  <c r="M758" i="12"/>
  <c r="N758" i="12" s="1"/>
  <c r="M753" i="12"/>
  <c r="N753" i="12" s="1"/>
  <c r="M752" i="12"/>
  <c r="N752" i="12" s="1"/>
  <c r="M751" i="12"/>
  <c r="N751" i="12" s="1"/>
  <c r="M750" i="12"/>
  <c r="N750" i="12" s="1"/>
  <c r="M749" i="12"/>
  <c r="N749" i="12" s="1"/>
  <c r="M748" i="12"/>
  <c r="N748" i="12" s="1"/>
  <c r="M747" i="12"/>
  <c r="N747" i="12" s="1"/>
  <c r="M746" i="12"/>
  <c r="N746" i="12" s="1"/>
  <c r="M745" i="12"/>
  <c r="N745" i="12" s="1"/>
  <c r="M732" i="12"/>
  <c r="N732" i="12" s="1"/>
  <c r="M731" i="12"/>
  <c r="M730" i="12"/>
  <c r="N730" i="12" s="1"/>
  <c r="M729" i="12"/>
  <c r="N729" i="12" s="1"/>
  <c r="M728" i="12"/>
  <c r="N728" i="12" s="1"/>
  <c r="M699" i="12"/>
  <c r="N699" i="12" s="1"/>
  <c r="M698" i="12"/>
  <c r="N698" i="12" s="1"/>
  <c r="M697" i="12"/>
  <c r="N697" i="12" s="1"/>
  <c r="M696" i="12"/>
  <c r="M695" i="12"/>
  <c r="M869" i="12"/>
  <c r="N869" i="12" s="1"/>
  <c r="N867" i="12"/>
  <c r="M866" i="12"/>
  <c r="N866" i="12" s="1"/>
  <c r="M858" i="12"/>
  <c r="N858" i="12" s="1"/>
  <c r="M857" i="12"/>
  <c r="N857" i="12" s="1"/>
  <c r="M856" i="12"/>
  <c r="N856" i="12" s="1"/>
  <c r="M855" i="12"/>
  <c r="M854" i="12"/>
  <c r="N854" i="12" s="1"/>
  <c r="M853" i="12"/>
  <c r="N853" i="12" s="1"/>
  <c r="E300" i="12"/>
  <c r="E273" i="12"/>
  <c r="E272" i="12"/>
  <c r="E494" i="12"/>
  <c r="E770" i="12"/>
  <c r="E733" i="12"/>
  <c r="E800" i="12"/>
  <c r="E580" i="12"/>
  <c r="E791" i="12"/>
  <c r="E738" i="12"/>
  <c r="E737" i="12"/>
  <c r="E793" i="12"/>
  <c r="E767" i="12"/>
  <c r="E299" i="12"/>
  <c r="E736" i="12"/>
  <c r="E492" i="12"/>
  <c r="E271" i="12"/>
  <c r="E723" i="12"/>
  <c r="E684" i="12"/>
  <c r="M435" i="12"/>
  <c r="N435" i="12" s="1"/>
  <c r="E485" i="12"/>
  <c r="E487" i="12"/>
  <c r="E491" i="12"/>
  <c r="E611" i="12"/>
  <c r="E614" i="12"/>
  <c r="E616" i="12"/>
  <c r="E665" i="12"/>
  <c r="E666" i="12"/>
  <c r="E667" i="12"/>
  <c r="E727" i="12"/>
  <c r="E670" i="12"/>
  <c r="E69" i="12"/>
  <c r="E669" i="12"/>
  <c r="E68" i="12"/>
  <c r="E490" i="12"/>
  <c r="E671" i="12"/>
  <c r="E70" i="12"/>
  <c r="E488" i="12"/>
  <c r="E674" i="12"/>
  <c r="E676" i="12"/>
  <c r="E675" i="12"/>
  <c r="E763" i="12"/>
  <c r="E489" i="12"/>
  <c r="E673" i="12"/>
  <c r="E764" i="12"/>
  <c r="E668" i="12"/>
  <c r="E543" i="12"/>
  <c r="E575" i="12"/>
  <c r="E64" i="12"/>
  <c r="E574" i="12"/>
  <c r="E700" i="12"/>
  <c r="E663" i="12"/>
  <c r="E66" i="12"/>
  <c r="E702" i="12"/>
  <c r="E701" i="12"/>
  <c r="E460" i="12"/>
  <c r="E672" i="12"/>
  <c r="E718" i="12"/>
  <c r="E714" i="12"/>
  <c r="E664" i="12"/>
  <c r="E429" i="12"/>
  <c r="E762" i="12"/>
  <c r="E588" i="12"/>
  <c r="E208" i="12"/>
  <c r="E209" i="12"/>
  <c r="E542" i="12"/>
  <c r="E725" i="12"/>
  <c r="E734" i="12"/>
  <c r="E790" i="12"/>
  <c r="E780" i="12"/>
  <c r="E735" i="12"/>
  <c r="E612" i="12"/>
  <c r="E589" i="12"/>
  <c r="E648" i="12"/>
  <c r="E761" i="12"/>
  <c r="E724" i="12"/>
  <c r="E615" i="12"/>
  <c r="E788" i="12"/>
  <c r="E787" i="12"/>
  <c r="E613" i="12"/>
  <c r="E709" i="12"/>
  <c r="E708" i="12"/>
  <c r="E782" i="12"/>
  <c r="E778" i="12"/>
  <c r="E777" i="12"/>
  <c r="E775" i="12"/>
  <c r="E783" i="12"/>
  <c r="E784" i="12"/>
  <c r="E677" i="12"/>
  <c r="E717" i="12"/>
  <c r="E789" i="12"/>
  <c r="E785" i="12"/>
  <c r="E779" i="12"/>
  <c r="E786" i="12"/>
  <c r="E781" i="12"/>
  <c r="E776" i="12"/>
  <c r="E757" i="12"/>
  <c r="E756" i="12"/>
  <c r="E755" i="12"/>
  <c r="E754" i="12"/>
  <c r="M798" i="12"/>
  <c r="M796" i="12"/>
  <c r="N796" i="12" s="1"/>
  <c r="M794" i="12"/>
  <c r="N794" i="12" s="1"/>
  <c r="M793" i="12"/>
  <c r="N793" i="12" s="1"/>
  <c r="M792" i="12"/>
  <c r="N792" i="12" s="1"/>
  <c r="M791" i="12"/>
  <c r="M771" i="12"/>
  <c r="N771" i="12" s="1"/>
  <c r="M770" i="12"/>
  <c r="M769" i="12"/>
  <c r="M768" i="12"/>
  <c r="M767" i="12"/>
  <c r="M766" i="12"/>
  <c r="N766" i="12" s="1"/>
  <c r="M765" i="12"/>
  <c r="M738" i="12"/>
  <c r="N738" i="12" s="1"/>
  <c r="M737" i="12"/>
  <c r="N737" i="12" s="1"/>
  <c r="M736" i="12"/>
  <c r="N736" i="12" s="1"/>
  <c r="M726" i="12"/>
  <c r="M723" i="12"/>
  <c r="N723" i="12" s="1"/>
  <c r="M713" i="12"/>
  <c r="M703" i="12"/>
  <c r="N703" i="12" s="1"/>
  <c r="M687" i="12"/>
  <c r="M686" i="12"/>
  <c r="M685" i="12"/>
  <c r="N685" i="12" s="1"/>
  <c r="M684" i="12"/>
  <c r="N684" i="12" s="1"/>
  <c r="M683" i="12"/>
  <c r="M682" i="12"/>
  <c r="N682" i="12" s="1"/>
  <c r="M681" i="12"/>
  <c r="N681" i="12" s="1"/>
  <c r="M680" i="12"/>
  <c r="N680" i="12" s="1"/>
  <c r="M679" i="12"/>
  <c r="N679" i="12" s="1"/>
  <c r="M645" i="12"/>
  <c r="M644" i="12"/>
  <c r="M495" i="12"/>
  <c r="N495" i="12" s="1"/>
  <c r="M494" i="12"/>
  <c r="M493" i="12"/>
  <c r="M492" i="12"/>
  <c r="M479" i="12"/>
  <c r="N479" i="12" s="1"/>
  <c r="M478" i="12"/>
  <c r="N478" i="12" s="1"/>
  <c r="M459" i="12"/>
  <c r="M458" i="12"/>
  <c r="M442" i="12"/>
  <c r="N442" i="12" s="1"/>
  <c r="M431" i="12"/>
  <c r="N431" i="12" s="1"/>
  <c r="M430" i="12"/>
  <c r="N430" i="12" s="1"/>
  <c r="M303" i="12"/>
  <c r="M302" i="12"/>
  <c r="M301" i="12"/>
  <c r="M300" i="12"/>
  <c r="M299" i="12"/>
  <c r="M298" i="12"/>
  <c r="M273" i="12"/>
  <c r="M272" i="12"/>
  <c r="M271" i="12"/>
  <c r="M238" i="12"/>
  <c r="E715" i="12"/>
  <c r="N791" i="12" l="1"/>
  <c r="N770" i="12"/>
  <c r="N767" i="12"/>
  <c r="N492" i="12"/>
  <c r="N494" i="12"/>
  <c r="N683" i="12"/>
  <c r="N687" i="12"/>
  <c r="N726" i="12"/>
  <c r="N769" i="12"/>
  <c r="N303" i="12"/>
  <c r="N713" i="12"/>
  <c r="N493" i="12"/>
  <c r="N686" i="12"/>
  <c r="N768" i="12"/>
  <c r="N855" i="12"/>
  <c r="N895" i="12"/>
  <c r="N884" i="12"/>
  <c r="N731" i="12"/>
  <c r="N879" i="12"/>
  <c r="E67" i="12"/>
  <c r="E65" i="12"/>
  <c r="E458" i="12"/>
  <c r="N458" i="12" s="1"/>
  <c r="E477" i="12"/>
  <c r="E649" i="12"/>
  <c r="E716" i="12"/>
  <c r="E610" i="12"/>
  <c r="E707" i="12"/>
  <c r="E571" i="12"/>
  <c r="M799" i="12"/>
  <c r="N799" i="12" s="1"/>
  <c r="M790" i="12"/>
  <c r="N790" i="12" s="1"/>
  <c r="M789" i="12"/>
  <c r="N789" i="12" s="1"/>
  <c r="M788" i="12"/>
  <c r="N788" i="12" s="1"/>
  <c r="M787" i="12"/>
  <c r="N787" i="12" s="1"/>
  <c r="M786" i="12"/>
  <c r="N786" i="12" s="1"/>
  <c r="M785" i="12"/>
  <c r="N785" i="12" s="1"/>
  <c r="M784" i="12"/>
  <c r="N784" i="12" s="1"/>
  <c r="M783" i="12"/>
  <c r="N783" i="12" s="1"/>
  <c r="M782" i="12"/>
  <c r="N782" i="12" s="1"/>
  <c r="M781" i="12"/>
  <c r="N781" i="12" s="1"/>
  <c r="M780" i="12"/>
  <c r="N780" i="12" s="1"/>
  <c r="M779" i="12"/>
  <c r="N779" i="12" s="1"/>
  <c r="M778" i="12"/>
  <c r="N778" i="12" s="1"/>
  <c r="M777" i="12"/>
  <c r="N777" i="12" s="1"/>
  <c r="M776" i="12"/>
  <c r="N776" i="12" s="1"/>
  <c r="M775" i="12"/>
  <c r="N775" i="12" s="1"/>
  <c r="M764" i="12"/>
  <c r="N764" i="12" s="1"/>
  <c r="M763" i="12"/>
  <c r="N763" i="12" s="1"/>
  <c r="M762" i="12"/>
  <c r="N762" i="12" s="1"/>
  <c r="M761" i="12"/>
  <c r="N761" i="12" s="1"/>
  <c r="M735" i="12"/>
  <c r="N735" i="12" s="1"/>
  <c r="M734" i="12"/>
  <c r="N734" i="12" s="1"/>
  <c r="M727" i="12"/>
  <c r="N727" i="12" s="1"/>
  <c r="M725" i="12"/>
  <c r="N725" i="12" s="1"/>
  <c r="M724" i="12"/>
  <c r="N724" i="12" s="1"/>
  <c r="E634" i="12"/>
  <c r="E312" i="12"/>
  <c r="D765" i="12"/>
  <c r="N765" i="12" s="1"/>
  <c r="E655" i="12" l="1"/>
  <c r="E311" i="12"/>
  <c r="E60" i="12"/>
  <c r="E538" i="12"/>
  <c r="E266" i="12"/>
  <c r="E282" i="12"/>
  <c r="E653" i="12"/>
  <c r="E630" i="12"/>
  <c r="E262" i="12"/>
  <c r="E265" i="12"/>
  <c r="E620" i="12"/>
  <c r="E603" i="12"/>
  <c r="E289" i="12"/>
  <c r="E310" i="12"/>
  <c r="E480" i="12"/>
  <c r="M718" i="12"/>
  <c r="N718" i="12" s="1"/>
  <c r="M717" i="12"/>
  <c r="N717" i="12" s="1"/>
  <c r="M716" i="12"/>
  <c r="N716" i="12" s="1"/>
  <c r="M715" i="12"/>
  <c r="N715" i="12" s="1"/>
  <c r="M714" i="12"/>
  <c r="N714" i="12" s="1"/>
  <c r="M709" i="12"/>
  <c r="N709" i="12" s="1"/>
  <c r="M708" i="12"/>
  <c r="N708" i="12" s="1"/>
  <c r="M707" i="12"/>
  <c r="N707" i="12" s="1"/>
  <c r="M702" i="12"/>
  <c r="N702" i="12" s="1"/>
  <c r="M701" i="12"/>
  <c r="N701" i="12" s="1"/>
  <c r="M700" i="12"/>
  <c r="N700" i="12" s="1"/>
  <c r="M677" i="12"/>
  <c r="M676" i="12"/>
  <c r="M675" i="12"/>
  <c r="M674" i="12"/>
  <c r="N674" i="12" s="1"/>
  <c r="M673" i="12"/>
  <c r="M672" i="12"/>
  <c r="M671" i="12"/>
  <c r="M670" i="12"/>
  <c r="N670" i="12" s="1"/>
  <c r="M669" i="12"/>
  <c r="N669" i="12" s="1"/>
  <c r="M668" i="12"/>
  <c r="M667" i="12"/>
  <c r="N667" i="12" s="1"/>
  <c r="M666" i="12"/>
  <c r="N666" i="12" s="1"/>
  <c r="M665" i="12"/>
  <c r="N665" i="12" s="1"/>
  <c r="M664" i="12"/>
  <c r="N664" i="12" s="1"/>
  <c r="M663" i="12"/>
  <c r="N663" i="12" s="1"/>
  <c r="M649" i="12"/>
  <c r="N649" i="12" s="1"/>
  <c r="M648" i="12"/>
  <c r="N648" i="12" s="1"/>
  <c r="N677" i="12"/>
  <c r="N676" i="12"/>
  <c r="N675" i="12"/>
  <c r="N673" i="12"/>
  <c r="N672" i="12"/>
  <c r="N671" i="12"/>
  <c r="N668" i="12"/>
  <c r="M616" i="12"/>
  <c r="N616" i="12" s="1"/>
  <c r="M615" i="12"/>
  <c r="N615" i="12" s="1"/>
  <c r="M614" i="12"/>
  <c r="N614" i="12" s="1"/>
  <c r="M613" i="12"/>
  <c r="N613" i="12" s="1"/>
  <c r="M612" i="12"/>
  <c r="N612" i="12" s="1"/>
  <c r="M611" i="12"/>
  <c r="N611" i="12" s="1"/>
  <c r="M610" i="12"/>
  <c r="N610" i="12" s="1"/>
  <c r="M589" i="12"/>
  <c r="N589" i="12" s="1"/>
  <c r="M588" i="12"/>
  <c r="N588" i="12" s="1"/>
  <c r="M580" i="12"/>
  <c r="N580" i="12" s="1"/>
  <c r="M575" i="12"/>
  <c r="N575" i="12" s="1"/>
  <c r="M574" i="12"/>
  <c r="N574" i="12" s="1"/>
  <c r="M571" i="12"/>
  <c r="M543" i="12"/>
  <c r="N543" i="12" s="1"/>
  <c r="M542" i="12"/>
  <c r="N542" i="12" s="1"/>
  <c r="M491" i="12"/>
  <c r="N491" i="12" s="1"/>
  <c r="M490" i="12"/>
  <c r="N490" i="12" s="1"/>
  <c r="M489" i="12"/>
  <c r="N489" i="12" s="1"/>
  <c r="M488" i="12"/>
  <c r="N488" i="12" s="1"/>
  <c r="M487" i="12"/>
  <c r="N487" i="12" s="1"/>
  <c r="M485" i="12"/>
  <c r="N485" i="12" s="1"/>
  <c r="M477" i="12"/>
  <c r="N477" i="12" s="1"/>
  <c r="M460" i="12"/>
  <c r="N460" i="12" s="1"/>
  <c r="M429" i="12"/>
  <c r="N429" i="12" s="1"/>
  <c r="E215" i="12"/>
  <c r="E449" i="12"/>
  <c r="E482" i="12"/>
  <c r="E217" i="12"/>
  <c r="E205" i="12"/>
  <c r="E279" i="12"/>
  <c r="E451" i="12"/>
  <c r="E450" i="12"/>
  <c r="E446" i="12"/>
  <c r="E604" i="12"/>
  <c r="E483" i="12"/>
  <c r="E219" i="12"/>
  <c r="E600" i="12"/>
  <c r="E259" i="12"/>
  <c r="E656" i="12"/>
  <c r="E631" i="12"/>
  <c r="E286" i="12"/>
  <c r="E503" i="12"/>
  <c r="E484" i="12"/>
  <c r="E221" i="12"/>
  <c r="E678" i="12"/>
  <c r="E448" i="12"/>
  <c r="E452" i="12"/>
  <c r="E285" i="12"/>
  <c r="E275" i="12"/>
  <c r="E264" i="12"/>
  <c r="E261" i="12"/>
  <c r="E216" i="12"/>
  <c r="E204" i="12"/>
  <c r="E175" i="12"/>
  <c r="E277" i="12"/>
  <c r="E632" i="12"/>
  <c r="E633" i="12"/>
  <c r="E218" i="12"/>
  <c r="E274" i="12"/>
  <c r="E206" i="12"/>
  <c r="E619" i="12"/>
  <c r="E228" i="12"/>
  <c r="E260" i="12"/>
  <c r="E688" i="12"/>
  <c r="E288" i="12"/>
  <c r="E61" i="12"/>
  <c r="E63" i="12"/>
  <c r="E62" i="12"/>
  <c r="E283" i="12"/>
  <c r="E541" i="12"/>
  <c r="E662" i="12"/>
  <c r="E635" i="12"/>
  <c r="E539" i="12"/>
  <c r="E627" i="12"/>
  <c r="E537" i="12"/>
  <c r="E536" i="12"/>
  <c r="E280" i="12"/>
  <c r="E660" i="12"/>
  <c r="E213" i="12"/>
  <c r="E177" i="12"/>
  <c r="E658" i="12"/>
  <c r="E59" i="12"/>
  <c r="E263" i="12"/>
  <c r="E214" i="12"/>
  <c r="E605" i="12"/>
  <c r="E540" i="12"/>
  <c r="N459" i="12"/>
  <c r="E486" i="12"/>
  <c r="E287" i="12"/>
  <c r="E166" i="12"/>
  <c r="N695" i="12"/>
  <c r="M694" i="12"/>
  <c r="N694" i="12" s="1"/>
  <c r="M693" i="12"/>
  <c r="N693" i="12" s="1"/>
  <c r="M692" i="12"/>
  <c r="N692" i="12" s="1"/>
  <c r="M691" i="12"/>
  <c r="N691" i="12" s="1"/>
  <c r="M662" i="12"/>
  <c r="N662" i="12" s="1"/>
  <c r="M661" i="12"/>
  <c r="N661" i="12" s="1"/>
  <c r="M659" i="12"/>
  <c r="N659" i="12" s="1"/>
  <c r="E637" i="12"/>
  <c r="E636" i="12"/>
  <c r="E628" i="12"/>
  <c r="E608" i="12"/>
  <c r="E607" i="12"/>
  <c r="E496" i="12"/>
  <c r="E544" i="12"/>
  <c r="E304" i="12"/>
  <c r="E606" i="12"/>
  <c r="E308" i="12"/>
  <c r="E622" i="12"/>
  <c r="E476" i="12"/>
  <c r="E501" i="12"/>
  <c r="M660" i="12"/>
  <c r="M658" i="12"/>
  <c r="N658" i="12" s="1"/>
  <c r="N696" i="12"/>
  <c r="M688" i="12"/>
  <c r="N688" i="12" s="1"/>
  <c r="M678" i="12"/>
  <c r="M657" i="12"/>
  <c r="N657" i="12" s="1"/>
  <c r="M656" i="12"/>
  <c r="M655" i="12"/>
  <c r="N655" i="12" s="1"/>
  <c r="M654" i="12"/>
  <c r="N654" i="12" s="1"/>
  <c r="M653" i="12"/>
  <c r="N653" i="12" s="1"/>
  <c r="M652" i="12"/>
  <c r="N652" i="12" s="1"/>
  <c r="M651" i="12"/>
  <c r="N651" i="12" s="1"/>
  <c r="M635" i="12"/>
  <c r="N635" i="12" s="1"/>
  <c r="M634" i="12"/>
  <c r="N634" i="12" s="1"/>
  <c r="M633" i="12"/>
  <c r="M632" i="12"/>
  <c r="N632" i="12" s="1"/>
  <c r="M631" i="12"/>
  <c r="N631" i="12" s="1"/>
  <c r="M630" i="12"/>
  <c r="N630" i="12" s="1"/>
  <c r="M627" i="12"/>
  <c r="N627" i="12" s="1"/>
  <c r="M620" i="12"/>
  <c r="N620" i="12" s="1"/>
  <c r="M605" i="12"/>
  <c r="M604" i="12"/>
  <c r="N604" i="12" s="1"/>
  <c r="M603" i="12"/>
  <c r="N603" i="12" s="1"/>
  <c r="M600" i="12"/>
  <c r="M541" i="12"/>
  <c r="N541" i="12" s="1"/>
  <c r="M540" i="12"/>
  <c r="N540" i="12" s="1"/>
  <c r="M539" i="12"/>
  <c r="M538" i="12"/>
  <c r="N538" i="12" s="1"/>
  <c r="M537" i="12"/>
  <c r="N537" i="12" s="1"/>
  <c r="M536" i="12"/>
  <c r="N656" i="12"/>
  <c r="M216" i="12"/>
  <c r="N216" i="12" s="1"/>
  <c r="M215" i="12"/>
  <c r="M214" i="12"/>
  <c r="N214" i="12" s="1"/>
  <c r="M213" i="12"/>
  <c r="N213" i="12" s="1"/>
  <c r="N600" i="12" l="1"/>
  <c r="N539" i="12"/>
  <c r="N633" i="12"/>
  <c r="N215" i="12"/>
  <c r="N605" i="12"/>
  <c r="N678" i="12"/>
  <c r="N536" i="12"/>
  <c r="N660" i="12"/>
  <c r="D177" i="12"/>
  <c r="D175" i="12"/>
  <c r="D565" i="12"/>
  <c r="D571" i="12"/>
  <c r="N571" i="12" s="1"/>
  <c r="E512" i="12"/>
  <c r="E160" i="12"/>
  <c r="E168" i="12"/>
  <c r="E159" i="12"/>
  <c r="E161" i="12"/>
  <c r="E415" i="12"/>
  <c r="E474" i="12"/>
  <c r="E413" i="12"/>
  <c r="E417" i="12"/>
  <c r="E408" i="12"/>
  <c r="E157" i="12"/>
  <c r="E189" i="12"/>
  <c r="E190" i="12"/>
  <c r="E621" i="12"/>
  <c r="E418" i="12"/>
  <c r="E645" i="12"/>
  <c r="N645" i="12" s="1"/>
  <c r="E644" i="12"/>
  <c r="N644" i="12" s="1"/>
  <c r="E425" i="12"/>
  <c r="E609" i="12"/>
  <c r="E321" i="12"/>
  <c r="M643" i="12"/>
  <c r="N643" i="12" s="1"/>
  <c r="M637" i="12"/>
  <c r="N637" i="12" s="1"/>
  <c r="M636" i="12"/>
  <c r="N636" i="12" s="1"/>
  <c r="M628" i="12"/>
  <c r="N628" i="12" s="1"/>
  <c r="M625" i="12"/>
  <c r="N625" i="12" s="1"/>
  <c r="M624" i="12"/>
  <c r="N624" i="12" s="1"/>
  <c r="M623" i="12"/>
  <c r="N623" i="12" s="1"/>
  <c r="M622" i="12"/>
  <c r="N622" i="12" s="1"/>
  <c r="D321" i="12"/>
  <c r="M204" i="12"/>
  <c r="N204" i="12" s="1"/>
  <c r="E505" i="12"/>
  <c r="E164" i="12"/>
  <c r="E565" i="12"/>
  <c r="E409" i="12" l="1"/>
  <c r="E422" i="12"/>
  <c r="E436" i="12"/>
  <c r="E587" i="12"/>
  <c r="E527" i="12"/>
  <c r="E511" i="12"/>
  <c r="E406" i="12"/>
  <c r="E158" i="12"/>
  <c r="E453" i="12"/>
  <c r="E591" i="12"/>
  <c r="E239" i="12"/>
  <c r="E434" i="12"/>
  <c r="E475" i="12"/>
  <c r="E420" i="12"/>
  <c r="E419" i="12"/>
  <c r="E412" i="12"/>
  <c r="E405" i="12"/>
  <c r="E410" i="12"/>
  <c r="E564" i="12"/>
  <c r="E404" i="12"/>
  <c r="E414" i="12"/>
  <c r="M621" i="12"/>
  <c r="M619" i="12"/>
  <c r="N619" i="12" s="1"/>
  <c r="M618" i="12"/>
  <c r="M617" i="12"/>
  <c r="M587" i="12"/>
  <c r="N587" i="12" s="1"/>
  <c r="M565" i="12"/>
  <c r="N565" i="12" s="1"/>
  <c r="M545" i="12"/>
  <c r="M527" i="12"/>
  <c r="M512" i="12"/>
  <c r="M511" i="12"/>
  <c r="M505" i="12"/>
  <c r="N505" i="12" s="1"/>
  <c r="M501" i="12"/>
  <c r="M486" i="12"/>
  <c r="N486" i="12" s="1"/>
  <c r="M476" i="12"/>
  <c r="N476" i="12" s="1"/>
  <c r="M475" i="12"/>
  <c r="N527" i="12"/>
  <c r="N512" i="12"/>
  <c r="M474" i="12"/>
  <c r="N474" i="12" s="1"/>
  <c r="M433" i="12"/>
  <c r="N433" i="12" s="1"/>
  <c r="M425" i="12"/>
  <c r="N425" i="12" s="1"/>
  <c r="M422" i="12"/>
  <c r="M586" i="12"/>
  <c r="N586" i="12" s="1"/>
  <c r="M585" i="12"/>
  <c r="N585" i="12" s="1"/>
  <c r="M564" i="12"/>
  <c r="N564" i="12" s="1"/>
  <c r="M436" i="12"/>
  <c r="N436" i="12" s="1"/>
  <c r="M420" i="12"/>
  <c r="N420" i="12" s="1"/>
  <c r="E559" i="12"/>
  <c r="E557" i="12"/>
  <c r="E470" i="12"/>
  <c r="E365" i="12"/>
  <c r="E364" i="12"/>
  <c r="E362" i="12"/>
  <c r="D164" i="12"/>
  <c r="D169" i="12"/>
  <c r="E386" i="12"/>
  <c r="E196" i="12"/>
  <c r="E367" i="12"/>
  <c r="E416" i="12"/>
  <c r="E407" i="12"/>
  <c r="E368" i="12"/>
  <c r="E370" i="12"/>
  <c r="E148" i="12"/>
  <c r="E402" i="12"/>
  <c r="E561" i="12"/>
  <c r="E403" i="12"/>
  <c r="E471" i="12"/>
  <c r="E472" i="12"/>
  <c r="E560" i="12"/>
  <c r="E558" i="12"/>
  <c r="E391" i="12"/>
  <c r="E389" i="12"/>
  <c r="E576" i="12"/>
  <c r="E382" i="12"/>
  <c r="E284" i="12"/>
  <c r="E392" i="12"/>
  <c r="E356" i="12"/>
  <c r="E379" i="12"/>
  <c r="E383" i="12"/>
  <c r="E384" i="12"/>
  <c r="E567" i="12"/>
  <c r="E211" i="12"/>
  <c r="E554" i="12"/>
  <c r="E569" i="12"/>
  <c r="E568" i="12"/>
  <c r="E566" i="12"/>
  <c r="E179" i="12"/>
  <c r="E555" i="12"/>
  <c r="E570" i="12"/>
  <c r="E212" i="12"/>
  <c r="E178" i="12"/>
  <c r="E411" i="12"/>
  <c r="E366" i="12"/>
  <c r="E242" i="12"/>
  <c r="E241" i="12"/>
  <c r="E447" i="12"/>
  <c r="E326" i="12"/>
  <c r="E421" i="12"/>
  <c r="E590" i="12"/>
  <c r="E424" i="12"/>
  <c r="E556" i="12"/>
  <c r="E227" i="12"/>
  <c r="E226" i="12"/>
  <c r="E323" i="12"/>
  <c r="E423" i="12"/>
  <c r="E198" i="12"/>
  <c r="E199" i="12"/>
  <c r="E200" i="12"/>
  <c r="E363" i="12"/>
  <c r="E468" i="12"/>
  <c r="E324" i="12"/>
  <c r="E240" i="12"/>
  <c r="E481" i="12"/>
  <c r="E220" i="12"/>
  <c r="E581" i="12"/>
  <c r="E359" i="12"/>
  <c r="E582" i="12"/>
  <c r="E388" i="12"/>
  <c r="E381" i="12"/>
  <c r="E387" i="12"/>
  <c r="E380" i="12"/>
  <c r="E525" i="12"/>
  <c r="E245" i="12"/>
  <c r="E552" i="12"/>
  <c r="E385" i="12"/>
  <c r="E522" i="12"/>
  <c r="E473" i="12"/>
  <c r="E553" i="12"/>
  <c r="E426" i="12"/>
  <c r="E246" i="12"/>
  <c r="E526" i="12"/>
  <c r="E438" i="12"/>
  <c r="E546" i="12"/>
  <c r="E357" i="12"/>
  <c r="E128" i="12"/>
  <c r="E355" i="12"/>
  <c r="M609" i="12"/>
  <c r="N609" i="12" s="1"/>
  <c r="M608" i="12"/>
  <c r="N608" i="12" s="1"/>
  <c r="M607" i="12"/>
  <c r="N607" i="12" s="1"/>
  <c r="M606" i="12"/>
  <c r="N606" i="12" s="1"/>
  <c r="E390" i="12"/>
  <c r="E125" i="12"/>
  <c r="E130" i="12"/>
  <c r="E354" i="12"/>
  <c r="E176" i="12"/>
  <c r="E131" i="12"/>
  <c r="E563" i="12"/>
  <c r="E358" i="12"/>
  <c r="E523" i="12"/>
  <c r="E524" i="12"/>
  <c r="E244" i="12"/>
  <c r="E513" i="12"/>
  <c r="M561" i="12"/>
  <c r="N561" i="12" s="1"/>
  <c r="M560" i="12"/>
  <c r="M559" i="12"/>
  <c r="N559" i="12" s="1"/>
  <c r="M558" i="12"/>
  <c r="N558" i="12" s="1"/>
  <c r="M557" i="12"/>
  <c r="N557" i="12" s="1"/>
  <c r="M556" i="12"/>
  <c r="M472" i="12"/>
  <c r="N472" i="12" s="1"/>
  <c r="M471" i="12"/>
  <c r="M470" i="12"/>
  <c r="N470" i="12" s="1"/>
  <c r="M468" i="12"/>
  <c r="N468" i="12" s="1"/>
  <c r="M423" i="12"/>
  <c r="N423" i="12" s="1"/>
  <c r="M421" i="12"/>
  <c r="N421" i="12" s="1"/>
  <c r="M200" i="12"/>
  <c r="M199" i="12"/>
  <c r="M198" i="12"/>
  <c r="N198" i="12" s="1"/>
  <c r="M207" i="12"/>
  <c r="N207" i="12" s="1"/>
  <c r="M240" i="12"/>
  <c r="M239" i="12"/>
  <c r="N239" i="12" s="1"/>
  <c r="M324" i="12"/>
  <c r="N324" i="12" s="1"/>
  <c r="M323" i="12"/>
  <c r="N323" i="12" s="1"/>
  <c r="M326" i="12"/>
  <c r="N326" i="12" s="1"/>
  <c r="M365" i="12"/>
  <c r="M364" i="12"/>
  <c r="N364" i="12" s="1"/>
  <c r="M363" i="12"/>
  <c r="M362" i="12"/>
  <c r="N362" i="12" s="1"/>
  <c r="D501" i="12"/>
  <c r="E562" i="12"/>
  <c r="E126" i="12"/>
  <c r="E123" i="12"/>
  <c r="E121" i="12"/>
  <c r="E132" i="12"/>
  <c r="E243" i="12"/>
  <c r="E551" i="12"/>
  <c r="E456" i="12"/>
  <c r="E445" i="12"/>
  <c r="E234" i="12"/>
  <c r="E197" i="12"/>
  <c r="E443" i="12"/>
  <c r="E444" i="12"/>
  <c r="E276" i="12"/>
  <c r="E521" i="12"/>
  <c r="E255" i="12"/>
  <c r="D357" i="12"/>
  <c r="N591" i="12"/>
  <c r="M584" i="12"/>
  <c r="N584" i="12" s="1"/>
  <c r="M583" i="12"/>
  <c r="N583" i="12" s="1"/>
  <c r="M582" i="12"/>
  <c r="M581" i="12"/>
  <c r="N581" i="12" s="1"/>
  <c r="M576" i="12"/>
  <c r="M570" i="12"/>
  <c r="N570" i="12" s="1"/>
  <c r="M569" i="12"/>
  <c r="N569" i="12" s="1"/>
  <c r="M568" i="12"/>
  <c r="N568" i="12" s="1"/>
  <c r="M567" i="12"/>
  <c r="M566" i="12"/>
  <c r="N566" i="12" s="1"/>
  <c r="M555" i="12"/>
  <c r="N555" i="12" s="1"/>
  <c r="M554" i="12"/>
  <c r="N554" i="12" s="1"/>
  <c r="M553" i="12"/>
  <c r="M552" i="12"/>
  <c r="M546" i="12"/>
  <c r="M526" i="12"/>
  <c r="N526" i="12" s="1"/>
  <c r="M359" i="12"/>
  <c r="M358" i="12"/>
  <c r="M357" i="12"/>
  <c r="M356" i="12"/>
  <c r="N356" i="12" s="1"/>
  <c r="M590" i="12"/>
  <c r="M563" i="12"/>
  <c r="M562" i="12"/>
  <c r="M544" i="12"/>
  <c r="N544" i="12" s="1"/>
  <c r="M500" i="12"/>
  <c r="N500" i="12" s="1"/>
  <c r="M499" i="12"/>
  <c r="N499" i="12" s="1"/>
  <c r="M498" i="12"/>
  <c r="N498" i="12" s="1"/>
  <c r="M497" i="12"/>
  <c r="N497" i="12" s="1"/>
  <c r="M496" i="12"/>
  <c r="N496" i="12" s="1"/>
  <c r="D196" i="12"/>
  <c r="E182" i="12"/>
  <c r="M513" i="12"/>
  <c r="N513" i="12" s="1"/>
  <c r="M504" i="12"/>
  <c r="N504" i="12" s="1"/>
  <c r="M503" i="12"/>
  <c r="N503" i="12" s="1"/>
  <c r="M484" i="12"/>
  <c r="N484" i="12" s="1"/>
  <c r="M483" i="12"/>
  <c r="N483" i="12" s="1"/>
  <c r="M482" i="12"/>
  <c r="N482" i="12" s="1"/>
  <c r="M481" i="12"/>
  <c r="N481" i="12" s="1"/>
  <c r="M480" i="12"/>
  <c r="N480" i="12" s="1"/>
  <c r="M473" i="12"/>
  <c r="N473" i="12" s="1"/>
  <c r="M453" i="12"/>
  <c r="N453" i="12" s="1"/>
  <c r="M452" i="12"/>
  <c r="N452" i="12" s="1"/>
  <c r="M451" i="12"/>
  <c r="N451" i="12" s="1"/>
  <c r="M450" i="12"/>
  <c r="N450" i="12" s="1"/>
  <c r="M449" i="12"/>
  <c r="N449" i="12" s="1"/>
  <c r="M448" i="12"/>
  <c r="N448" i="12" s="1"/>
  <c r="M447" i="12"/>
  <c r="N447" i="12" s="1"/>
  <c r="M446" i="12"/>
  <c r="N446" i="12" s="1"/>
  <c r="M444" i="12"/>
  <c r="M443" i="12"/>
  <c r="N443" i="12" s="1"/>
  <c r="M438" i="12"/>
  <c r="N438" i="12" s="1"/>
  <c r="M428" i="12"/>
  <c r="N428" i="12" s="1"/>
  <c r="M427" i="12"/>
  <c r="N427" i="12" s="1"/>
  <c r="M426" i="12"/>
  <c r="N426" i="12" s="1"/>
  <c r="E278" i="12"/>
  <c r="E345" i="12"/>
  <c r="E124" i="12"/>
  <c r="E467" i="12"/>
  <c r="E461" i="12"/>
  <c r="E337" i="12"/>
  <c r="E340" i="12"/>
  <c r="E127" i="12"/>
  <c r="E341" i="12"/>
  <c r="E129" i="12"/>
  <c r="E290" i="12"/>
  <c r="E344" i="12"/>
  <c r="E338" i="12"/>
  <c r="M525" i="12"/>
  <c r="N525" i="12" s="1"/>
  <c r="M524" i="12"/>
  <c r="N524" i="12" s="1"/>
  <c r="M523" i="12"/>
  <c r="N523" i="12" s="1"/>
  <c r="M522" i="12"/>
  <c r="N522" i="12" s="1"/>
  <c r="M521" i="12"/>
  <c r="M289" i="12"/>
  <c r="N289" i="12" s="1"/>
  <c r="M366" i="12"/>
  <c r="N366" i="12" s="1"/>
  <c r="M355" i="12"/>
  <c r="N355" i="12" s="1"/>
  <c r="M354" i="12"/>
  <c r="N354" i="12" s="1"/>
  <c r="D545" i="12"/>
  <c r="E464" i="12"/>
  <c r="E396" i="12"/>
  <c r="E353" i="12"/>
  <c r="E143" i="12"/>
  <c r="E314" i="12"/>
  <c r="E400" i="12"/>
  <c r="E281" i="12"/>
  <c r="E122" i="12"/>
  <c r="E343" i="12"/>
  <c r="E342" i="12"/>
  <c r="E339" i="12"/>
  <c r="E457" i="12"/>
  <c r="E455" i="12"/>
  <c r="E187" i="12"/>
  <c r="E194" i="12"/>
  <c r="E235" i="12"/>
  <c r="E316" i="12"/>
  <c r="E360" i="12"/>
  <c r="E439" i="12"/>
  <c r="E398" i="12"/>
  <c r="E202" i="12"/>
  <c r="E401" i="12"/>
  <c r="E463" i="12"/>
  <c r="E462" i="12"/>
  <c r="E222" i="12"/>
  <c r="E224" i="12"/>
  <c r="E233" i="12"/>
  <c r="E185" i="12"/>
  <c r="E465" i="12"/>
  <c r="E313" i="12"/>
  <c r="E188" i="12"/>
  <c r="E195" i="12"/>
  <c r="E232" i="12"/>
  <c r="E399" i="12"/>
  <c r="E297" i="12"/>
  <c r="E393" i="12"/>
  <c r="E315" i="12"/>
  <c r="E270" i="12"/>
  <c r="E351" i="12"/>
  <c r="E349" i="12"/>
  <c r="E348" i="12"/>
  <c r="E350" i="12"/>
  <c r="E361" i="12"/>
  <c r="E294" i="12"/>
  <c r="E293" i="12"/>
  <c r="E141" i="12"/>
  <c r="E140" i="12"/>
  <c r="E146" i="12"/>
  <c r="E139" i="12"/>
  <c r="E318" i="12"/>
  <c r="E147" i="12"/>
  <c r="E145" i="12"/>
  <c r="E394" i="12"/>
  <c r="E352" i="12"/>
  <c r="E347" i="12"/>
  <c r="E229" i="12"/>
  <c r="E136" i="12"/>
  <c r="E135" i="12"/>
  <c r="E134" i="12"/>
  <c r="E133" i="12"/>
  <c r="E144" i="12"/>
  <c r="E183" i="12"/>
  <c r="E269" i="12"/>
  <c r="E267" i="12"/>
  <c r="E317" i="12"/>
  <c r="E268" i="12"/>
  <c r="E296" i="12"/>
  <c r="E137" i="12"/>
  <c r="E142" i="12"/>
  <c r="E346" i="12"/>
  <c r="E291" i="12"/>
  <c r="E138" i="12"/>
  <c r="E397" i="12"/>
  <c r="E395" i="12"/>
  <c r="E237" i="12"/>
  <c r="E295" i="12"/>
  <c r="E292" i="12"/>
  <c r="E327" i="12"/>
  <c r="E230" i="12"/>
  <c r="E454" i="12"/>
  <c r="E223" i="12"/>
  <c r="E440" i="12"/>
  <c r="E184" i="12"/>
  <c r="E225" i="12"/>
  <c r="E441" i="12"/>
  <c r="E186" i="12"/>
  <c r="E236" i="12"/>
  <c r="E231" i="12"/>
  <c r="E466" i="12"/>
  <c r="M440" i="12"/>
  <c r="M441" i="12"/>
  <c r="M396" i="12"/>
  <c r="M464" i="12"/>
  <c r="M465" i="12"/>
  <c r="N465" i="12" s="1"/>
  <c r="M466" i="12"/>
  <c r="M467" i="12"/>
  <c r="N467" i="12" s="1"/>
  <c r="M439" i="12"/>
  <c r="M445" i="12"/>
  <c r="M361" i="12"/>
  <c r="M360" i="12"/>
  <c r="M463" i="12"/>
  <c r="M462" i="12"/>
  <c r="M461" i="12"/>
  <c r="M457" i="12"/>
  <c r="M456" i="12"/>
  <c r="N456" i="12" s="1"/>
  <c r="M455" i="12"/>
  <c r="N455" i="12" s="1"/>
  <c r="D200" i="12"/>
  <c r="M419" i="12"/>
  <c r="N419" i="12" s="1"/>
  <c r="M418" i="12"/>
  <c r="N418" i="12" s="1"/>
  <c r="M417" i="12"/>
  <c r="N417" i="12" s="1"/>
  <c r="M416" i="12"/>
  <c r="M415" i="12"/>
  <c r="N415" i="12" s="1"/>
  <c r="M414" i="12"/>
  <c r="N414" i="12" s="1"/>
  <c r="M413" i="12"/>
  <c r="N413" i="12" s="1"/>
  <c r="M412" i="12"/>
  <c r="N412" i="12" s="1"/>
  <c r="M411" i="12"/>
  <c r="N411" i="12" s="1"/>
  <c r="M410" i="12"/>
  <c r="N410" i="12" s="1"/>
  <c r="M409" i="12"/>
  <c r="N409" i="12" s="1"/>
  <c r="M408" i="12"/>
  <c r="N408" i="12" s="1"/>
  <c r="M407" i="12"/>
  <c r="N407" i="12" s="1"/>
  <c r="M406" i="12"/>
  <c r="N406" i="12" s="1"/>
  <c r="M405" i="12"/>
  <c r="N405" i="12" s="1"/>
  <c r="M404" i="12"/>
  <c r="N404" i="12" s="1"/>
  <c r="M403" i="12"/>
  <c r="N403" i="12" s="1"/>
  <c r="M402" i="12"/>
  <c r="N402" i="12" s="1"/>
  <c r="M401" i="12"/>
  <c r="M400" i="12"/>
  <c r="M399" i="12"/>
  <c r="M398" i="12"/>
  <c r="M397" i="12"/>
  <c r="N397" i="12" s="1"/>
  <c r="M395" i="12"/>
  <c r="M394" i="12"/>
  <c r="N394" i="12" s="1"/>
  <c r="M393" i="12"/>
  <c r="M392" i="12"/>
  <c r="N392" i="12" s="1"/>
  <c r="M391" i="12"/>
  <c r="M390" i="12"/>
  <c r="N390" i="12" s="1"/>
  <c r="M389" i="12"/>
  <c r="N389" i="12" s="1"/>
  <c r="M388" i="12"/>
  <c r="N388" i="12" s="1"/>
  <c r="M387" i="12"/>
  <c r="N387" i="12" s="1"/>
  <c r="M386" i="12"/>
  <c r="N386" i="12" s="1"/>
  <c r="M385" i="12"/>
  <c r="M384" i="12"/>
  <c r="N384" i="12" s="1"/>
  <c r="M383" i="12"/>
  <c r="M382" i="12"/>
  <c r="N382" i="12" s="1"/>
  <c r="M381" i="12"/>
  <c r="M380" i="12"/>
  <c r="N380" i="12" s="1"/>
  <c r="M379" i="12"/>
  <c r="N379" i="12" s="1"/>
  <c r="N375" i="12"/>
  <c r="M374" i="12"/>
  <c r="N374" i="12" s="1"/>
  <c r="D183" i="12"/>
  <c r="M373" i="12"/>
  <c r="N373" i="12" s="1"/>
  <c r="M372" i="12"/>
  <c r="N372" i="12" s="1"/>
  <c r="M371" i="12"/>
  <c r="N371" i="12" s="1"/>
  <c r="M353" i="12"/>
  <c r="M352" i="12"/>
  <c r="M351" i="12"/>
  <c r="M350" i="12"/>
  <c r="M349" i="12"/>
  <c r="N349" i="12" s="1"/>
  <c r="M348" i="12"/>
  <c r="N348" i="12" s="1"/>
  <c r="M347" i="12"/>
  <c r="M346" i="12"/>
  <c r="M345" i="12"/>
  <c r="M344" i="12"/>
  <c r="N344" i="12" s="1"/>
  <c r="M343" i="12"/>
  <c r="M342" i="12"/>
  <c r="M341" i="12"/>
  <c r="N341" i="12" s="1"/>
  <c r="M340" i="12"/>
  <c r="M339" i="12"/>
  <c r="M338" i="12"/>
  <c r="M337" i="12"/>
  <c r="N336" i="12"/>
  <c r="N335" i="12"/>
  <c r="N334" i="12"/>
  <c r="N333" i="12"/>
  <c r="N332" i="12"/>
  <c r="N331" i="12"/>
  <c r="M330" i="12"/>
  <c r="N330" i="12" s="1"/>
  <c r="M329" i="12"/>
  <c r="M328" i="12"/>
  <c r="N328" i="12" s="1"/>
  <c r="M327" i="12"/>
  <c r="N327" i="12" s="1"/>
  <c r="M325" i="12"/>
  <c r="N325" i="12" s="1"/>
  <c r="M322" i="12"/>
  <c r="N322" i="12" s="1"/>
  <c r="M321" i="12"/>
  <c r="N321" i="12" s="1"/>
  <c r="M320" i="12"/>
  <c r="N320" i="12" s="1"/>
  <c r="M319" i="12"/>
  <c r="N319" i="12" s="1"/>
  <c r="M318" i="12"/>
  <c r="N318" i="12" s="1"/>
  <c r="M317" i="12"/>
  <c r="N317" i="12" s="1"/>
  <c r="M316" i="12"/>
  <c r="M315" i="12"/>
  <c r="N315" i="12" s="1"/>
  <c r="M314" i="12"/>
  <c r="M313" i="12"/>
  <c r="M312" i="12"/>
  <c r="N312" i="12" s="1"/>
  <c r="M311" i="12"/>
  <c r="N311" i="12" s="1"/>
  <c r="M310" i="12"/>
  <c r="N310" i="12" s="1"/>
  <c r="M309" i="12"/>
  <c r="N309" i="12" s="1"/>
  <c r="M308" i="12"/>
  <c r="N308" i="12" s="1"/>
  <c r="M307" i="12"/>
  <c r="N307" i="12" s="1"/>
  <c r="M306" i="12"/>
  <c r="N306" i="12" s="1"/>
  <c r="M305" i="12"/>
  <c r="N305" i="12" s="1"/>
  <c r="M304" i="12"/>
  <c r="N304" i="12" s="1"/>
  <c r="N302" i="12"/>
  <c r="N301" i="12"/>
  <c r="N300" i="12"/>
  <c r="N299" i="12"/>
  <c r="N298" i="12"/>
  <c r="M297" i="12"/>
  <c r="N297" i="12" s="1"/>
  <c r="M296" i="12"/>
  <c r="M295" i="12"/>
  <c r="N295" i="12" s="1"/>
  <c r="M294" i="12"/>
  <c r="M293" i="12"/>
  <c r="N293" i="12" s="1"/>
  <c r="M292" i="12"/>
  <c r="M291" i="12"/>
  <c r="N291" i="12" s="1"/>
  <c r="M290" i="12"/>
  <c r="M288" i="12"/>
  <c r="N288" i="12" s="1"/>
  <c r="M287" i="12"/>
  <c r="N287" i="12" s="1"/>
  <c r="M286" i="12"/>
  <c r="N286" i="12" s="1"/>
  <c r="M285" i="12"/>
  <c r="N285" i="12" s="1"/>
  <c r="M284" i="12"/>
  <c r="N284" i="12" s="1"/>
  <c r="M283" i="12"/>
  <c r="N283" i="12" s="1"/>
  <c r="M282" i="12"/>
  <c r="N282" i="12" s="1"/>
  <c r="M281" i="12"/>
  <c r="M280" i="12"/>
  <c r="N280" i="12" s="1"/>
  <c r="M279" i="12"/>
  <c r="N279" i="12" s="1"/>
  <c r="M278" i="12"/>
  <c r="N278" i="12" s="1"/>
  <c r="M277" i="12"/>
  <c r="N277" i="12" s="1"/>
  <c r="M276" i="12"/>
  <c r="N276" i="12" s="1"/>
  <c r="M275" i="12"/>
  <c r="N275" i="12" s="1"/>
  <c r="M274" i="12"/>
  <c r="N274" i="12" s="1"/>
  <c r="N273" i="12"/>
  <c r="N272" i="12"/>
  <c r="N271" i="12"/>
  <c r="M270" i="12"/>
  <c r="N270" i="12" s="1"/>
  <c r="M269" i="12"/>
  <c r="M268" i="12"/>
  <c r="M267" i="12"/>
  <c r="M266" i="12"/>
  <c r="N266" i="12" s="1"/>
  <c r="M265" i="12"/>
  <c r="N265" i="12" s="1"/>
  <c r="M264" i="12"/>
  <c r="N264" i="12" s="1"/>
  <c r="M263" i="12"/>
  <c r="N263" i="12" s="1"/>
  <c r="M262" i="12"/>
  <c r="N262" i="12" s="1"/>
  <c r="M261" i="12"/>
  <c r="N261" i="12" s="1"/>
  <c r="M260" i="12"/>
  <c r="N260" i="12" s="1"/>
  <c r="M259" i="12"/>
  <c r="N259" i="12" s="1"/>
  <c r="M258" i="12"/>
  <c r="N258" i="12" s="1"/>
  <c r="M257" i="12"/>
  <c r="N257" i="12" s="1"/>
  <c r="M256" i="12"/>
  <c r="N256" i="12" s="1"/>
  <c r="M255" i="12"/>
  <c r="N255" i="12" s="1"/>
  <c r="M254" i="12"/>
  <c r="N254" i="12" s="1"/>
  <c r="M253" i="12"/>
  <c r="N253" i="12" s="1"/>
  <c r="M252" i="12"/>
  <c r="N252" i="12" s="1"/>
  <c r="M251" i="12"/>
  <c r="N251" i="12" s="1"/>
  <c r="M250" i="12"/>
  <c r="N250" i="12" s="1"/>
  <c r="M249" i="12"/>
  <c r="N249" i="12" s="1"/>
  <c r="M248" i="12"/>
  <c r="N248" i="12" s="1"/>
  <c r="M247" i="12"/>
  <c r="N247" i="12" s="1"/>
  <c r="M246" i="12"/>
  <c r="N246" i="12" s="1"/>
  <c r="M245" i="12"/>
  <c r="M244" i="12"/>
  <c r="N244" i="12" s="1"/>
  <c r="M243" i="12"/>
  <c r="N243" i="12" s="1"/>
  <c r="M242" i="12"/>
  <c r="N242" i="12" s="1"/>
  <c r="M241" i="12"/>
  <c r="N238" i="12"/>
  <c r="M237" i="12"/>
  <c r="M236" i="12"/>
  <c r="N236" i="12" s="1"/>
  <c r="M235" i="12"/>
  <c r="M234" i="12"/>
  <c r="N234" i="12" s="1"/>
  <c r="M233" i="12"/>
  <c r="M232" i="12"/>
  <c r="N232" i="12" s="1"/>
  <c r="M231" i="12"/>
  <c r="M230" i="12"/>
  <c r="N230" i="12" s="1"/>
  <c r="M229" i="12"/>
  <c r="M228" i="12"/>
  <c r="N228" i="12" s="1"/>
  <c r="M227" i="12"/>
  <c r="N227" i="12" s="1"/>
  <c r="M226" i="12"/>
  <c r="N226" i="12" s="1"/>
  <c r="M225" i="12"/>
  <c r="M224" i="12"/>
  <c r="N224" i="12" s="1"/>
  <c r="M223" i="12"/>
  <c r="M222" i="12"/>
  <c r="N222" i="12" s="1"/>
  <c r="M221" i="12"/>
  <c r="N221" i="12" s="1"/>
  <c r="M220" i="12"/>
  <c r="N220" i="12" s="1"/>
  <c r="M219" i="12"/>
  <c r="N219" i="12" s="1"/>
  <c r="M218" i="12"/>
  <c r="N218" i="12" s="1"/>
  <c r="M217" i="12"/>
  <c r="N217" i="12" s="1"/>
  <c r="M212" i="12"/>
  <c r="N212" i="12" s="1"/>
  <c r="M211" i="12"/>
  <c r="N211" i="12" s="1"/>
  <c r="M210" i="12"/>
  <c r="N210" i="12" s="1"/>
  <c r="M209" i="12"/>
  <c r="N209" i="12" s="1"/>
  <c r="M208" i="12"/>
  <c r="N208" i="12" s="1"/>
  <c r="M206" i="12"/>
  <c r="N206" i="12" s="1"/>
  <c r="M205" i="12"/>
  <c r="N205" i="12" s="1"/>
  <c r="M203" i="12"/>
  <c r="N203" i="12" s="1"/>
  <c r="M202" i="12"/>
  <c r="N202" i="12" s="1"/>
  <c r="M201" i="12"/>
  <c r="N201" i="12" s="1"/>
  <c r="M197" i="12"/>
  <c r="N197" i="12" s="1"/>
  <c r="M196" i="12"/>
  <c r="M195" i="12"/>
  <c r="N195" i="12" s="1"/>
  <c r="M194" i="12"/>
  <c r="M193" i="12"/>
  <c r="N193" i="12" s="1"/>
  <c r="M192" i="12"/>
  <c r="N192" i="12" s="1"/>
  <c r="M191" i="12"/>
  <c r="N191" i="12" s="1"/>
  <c r="M190" i="12"/>
  <c r="N190" i="12" s="1"/>
  <c r="M189" i="12"/>
  <c r="N189" i="12" s="1"/>
  <c r="M188" i="12"/>
  <c r="M187" i="12"/>
  <c r="N187" i="12" s="1"/>
  <c r="M186" i="12"/>
  <c r="M185" i="12"/>
  <c r="N185" i="12" s="1"/>
  <c r="M184" i="12"/>
  <c r="M183" i="12"/>
  <c r="N183" i="12" s="1"/>
  <c r="M182" i="12"/>
  <c r="N182" i="12" s="1"/>
  <c r="M181" i="12"/>
  <c r="N181" i="12" s="1"/>
  <c r="M180" i="12"/>
  <c r="N180" i="12" s="1"/>
  <c r="M179" i="12"/>
  <c r="N179" i="12" s="1"/>
  <c r="M178" i="12"/>
  <c r="N178" i="12" s="1"/>
  <c r="M177" i="12"/>
  <c r="M176" i="12"/>
  <c r="N176" i="12" s="1"/>
  <c r="M175" i="12"/>
  <c r="M174" i="12"/>
  <c r="M173" i="12"/>
  <c r="N173" i="12" s="1"/>
  <c r="M172" i="12"/>
  <c r="N172" i="12" s="1"/>
  <c r="M171" i="12"/>
  <c r="N171" i="12" s="1"/>
  <c r="M170" i="12"/>
  <c r="N170" i="12" s="1"/>
  <c r="M169" i="12"/>
  <c r="N169" i="12" s="1"/>
  <c r="M168" i="12"/>
  <c r="N168" i="12" s="1"/>
  <c r="M167" i="12"/>
  <c r="N167" i="12" s="1"/>
  <c r="M166" i="12"/>
  <c r="N166" i="12" s="1"/>
  <c r="M165" i="12"/>
  <c r="N165" i="12" s="1"/>
  <c r="M164" i="12"/>
  <c r="N164" i="12" s="1"/>
  <c r="M163" i="12"/>
  <c r="N163" i="12" s="1"/>
  <c r="M162" i="12"/>
  <c r="N162" i="12" s="1"/>
  <c r="M161" i="12"/>
  <c r="N161" i="12" s="1"/>
  <c r="M160" i="12"/>
  <c r="N160" i="12" s="1"/>
  <c r="M159" i="12"/>
  <c r="N159" i="12" s="1"/>
  <c r="M158" i="12"/>
  <c r="N158" i="12" s="1"/>
  <c r="M157" i="12"/>
  <c r="N157" i="12" s="1"/>
  <c r="M156" i="12"/>
  <c r="N156" i="12" s="1"/>
  <c r="M155" i="12"/>
  <c r="N155" i="12" s="1"/>
  <c r="M154" i="12"/>
  <c r="N154" i="12" s="1"/>
  <c r="M153" i="12"/>
  <c r="N153" i="12" s="1"/>
  <c r="M152" i="12"/>
  <c r="N152" i="12" s="1"/>
  <c r="M151" i="12"/>
  <c r="N151" i="12" s="1"/>
  <c r="M150" i="12"/>
  <c r="N150" i="12" s="1"/>
  <c r="M149" i="12"/>
  <c r="N149" i="12" s="1"/>
  <c r="M148" i="12"/>
  <c r="N148" i="12" s="1"/>
  <c r="M147" i="12"/>
  <c r="N147" i="12" s="1"/>
  <c r="M146" i="12"/>
  <c r="N146" i="12" s="1"/>
  <c r="M145" i="12"/>
  <c r="N145" i="12" s="1"/>
  <c r="M144" i="12"/>
  <c r="M143" i="12"/>
  <c r="N143" i="12" s="1"/>
  <c r="M142" i="12"/>
  <c r="M141" i="12"/>
  <c r="N141" i="12" s="1"/>
  <c r="M140" i="12"/>
  <c r="M139" i="12"/>
  <c r="N139" i="12" s="1"/>
  <c r="M138" i="12"/>
  <c r="N138" i="12" s="1"/>
  <c r="M137" i="12"/>
  <c r="M136" i="12"/>
  <c r="M135" i="12"/>
  <c r="N135" i="12" s="1"/>
  <c r="M134" i="12"/>
  <c r="M133" i="12"/>
  <c r="N133" i="12" s="1"/>
  <c r="M132" i="12"/>
  <c r="N132" i="12" s="1"/>
  <c r="M131" i="12"/>
  <c r="N131" i="12" s="1"/>
  <c r="M130" i="12"/>
  <c r="N130" i="12" s="1"/>
  <c r="M129" i="12"/>
  <c r="N129" i="12" s="1"/>
  <c r="M128" i="12"/>
  <c r="N128" i="12" s="1"/>
  <c r="M127" i="12"/>
  <c r="N127" i="12" s="1"/>
  <c r="M126" i="12"/>
  <c r="N126" i="12" s="1"/>
  <c r="M125" i="12"/>
  <c r="N125" i="12" s="1"/>
  <c r="M124" i="12"/>
  <c r="N124" i="12" s="1"/>
  <c r="M123" i="12"/>
  <c r="N123" i="12" s="1"/>
  <c r="M122" i="12"/>
  <c r="N122" i="12" s="1"/>
  <c r="M121" i="12"/>
  <c r="N121" i="12" s="1"/>
  <c r="M73" i="12"/>
  <c r="N73" i="12" s="1"/>
  <c r="M72" i="12"/>
  <c r="N72" i="12" s="1"/>
  <c r="M71" i="12"/>
  <c r="N71" i="12" s="1"/>
  <c r="M70" i="12"/>
  <c r="N70" i="12" s="1"/>
  <c r="M69" i="12"/>
  <c r="N69" i="12" s="1"/>
  <c r="M68" i="12"/>
  <c r="N68" i="12" s="1"/>
  <c r="M67" i="12"/>
  <c r="N67" i="12" s="1"/>
  <c r="M66" i="12"/>
  <c r="N66" i="12" s="1"/>
  <c r="M65" i="12"/>
  <c r="N65" i="12" s="1"/>
  <c r="M64" i="12"/>
  <c r="N64" i="12" s="1"/>
  <c r="M63" i="12"/>
  <c r="N63" i="12" s="1"/>
  <c r="M62" i="12"/>
  <c r="N62" i="12" s="1"/>
  <c r="M61" i="12"/>
  <c r="N61" i="12" s="1"/>
  <c r="M60" i="12"/>
  <c r="N60" i="12" s="1"/>
  <c r="M59" i="12"/>
  <c r="N59" i="12" s="1"/>
  <c r="M58" i="12"/>
  <c r="N58" i="12" s="1"/>
  <c r="M57" i="12"/>
  <c r="N57" i="12" s="1"/>
  <c r="M56" i="12"/>
  <c r="N56" i="12" s="1"/>
  <c r="M55" i="12"/>
  <c r="N55" i="12" s="1"/>
  <c r="M54" i="12"/>
  <c r="N54" i="12" s="1"/>
  <c r="D174" i="12"/>
  <c r="E13" i="12"/>
  <c r="N511" i="12" l="1"/>
  <c r="N439" i="12"/>
  <c r="N563" i="12"/>
  <c r="N358" i="12"/>
  <c r="N552" i="12"/>
  <c r="N422" i="12"/>
  <c r="N475" i="12"/>
  <c r="N359" i="12"/>
  <c r="N553" i="12"/>
  <c r="N240" i="12"/>
  <c r="N186" i="12"/>
  <c r="N225" i="12"/>
  <c r="N229" i="12"/>
  <c r="N231" i="12"/>
  <c r="N235" i="12"/>
  <c r="N267" i="12"/>
  <c r="N290" i="12"/>
  <c r="N294" i="12"/>
  <c r="N313" i="12"/>
  <c r="N393" i="12"/>
  <c r="N395" i="12"/>
  <c r="N398" i="12"/>
  <c r="N400" i="12"/>
  <c r="N461" i="12"/>
  <c r="N521" i="12"/>
  <c r="N545" i="12"/>
  <c r="N501" i="12"/>
  <c r="N338" i="12"/>
  <c r="N340" i="12"/>
  <c r="N342" i="12"/>
  <c r="N346" i="12"/>
  <c r="N350" i="12"/>
  <c r="N352" i="12"/>
  <c r="N399" i="12"/>
  <c r="N401" i="12"/>
  <c r="N457" i="12"/>
  <c r="N462" i="12"/>
  <c r="N360" i="12"/>
  <c r="N396" i="12"/>
  <c r="N134" i="12"/>
  <c r="N136" i="12"/>
  <c r="N140" i="12"/>
  <c r="N142" i="12"/>
  <c r="N144" i="12"/>
  <c r="N184" i="12"/>
  <c r="N188" i="12"/>
  <c r="N194" i="12"/>
  <c r="N196" i="12"/>
  <c r="N223" i="12"/>
  <c r="N233" i="12"/>
  <c r="N237" i="12"/>
  <c r="N241" i="12"/>
  <c r="N245" i="12"/>
  <c r="N269" i="12"/>
  <c r="N281" i="12"/>
  <c r="N292" i="12"/>
  <c r="N296" i="12"/>
  <c r="N314" i="12"/>
  <c r="N316" i="12"/>
  <c r="N337" i="12"/>
  <c r="N339" i="12"/>
  <c r="N343" i="12"/>
  <c r="N345" i="12"/>
  <c r="N347" i="12"/>
  <c r="N351" i="12"/>
  <c r="N353" i="12"/>
  <c r="N381" i="12"/>
  <c r="N383" i="12"/>
  <c r="N385" i="12"/>
  <c r="N391" i="12"/>
  <c r="N416" i="12"/>
  <c r="N463" i="12"/>
  <c r="N361" i="12"/>
  <c r="N445" i="12"/>
  <c r="N464" i="12"/>
  <c r="N444" i="12"/>
  <c r="N562" i="12"/>
  <c r="N590" i="12"/>
  <c r="N357" i="12"/>
  <c r="N546" i="12"/>
  <c r="N567" i="12"/>
  <c r="N576" i="12"/>
  <c r="N582" i="12"/>
  <c r="N363" i="12"/>
  <c r="N365" i="12"/>
  <c r="N199" i="12"/>
  <c r="N471" i="12"/>
  <c r="N556" i="12"/>
  <c r="N560" i="12"/>
  <c r="N440" i="12"/>
  <c r="N200" i="12"/>
  <c r="N441" i="12"/>
  <c r="N268" i="12"/>
  <c r="N137" i="12"/>
  <c r="N175" i="12"/>
  <c r="N177" i="12"/>
  <c r="N174" i="12"/>
  <c r="E44" i="12"/>
  <c r="D13" i="12"/>
  <c r="E49" i="12"/>
  <c r="E16" i="12"/>
  <c r="M3" i="12"/>
  <c r="E26" i="12"/>
  <c r="M17" i="12"/>
  <c r="M16" i="12"/>
  <c r="E19" i="12" l="1"/>
  <c r="E12" i="12"/>
  <c r="M45" i="12"/>
  <c r="N45" i="12" s="1"/>
  <c r="M44" i="12"/>
  <c r="N44" i="12" s="1"/>
  <c r="M43" i="12"/>
  <c r="N43" i="12" s="1"/>
  <c r="M52" i="12"/>
  <c r="N52" i="12" s="1"/>
  <c r="M51" i="12"/>
  <c r="N51" i="12" s="1"/>
  <c r="M53" i="12"/>
  <c r="N53" i="12" s="1"/>
  <c r="M50" i="12"/>
  <c r="N50" i="12" s="1"/>
  <c r="M49" i="12"/>
  <c r="N49" i="12" s="1"/>
  <c r="M48" i="12"/>
  <c r="N48" i="12" s="1"/>
  <c r="M47" i="12"/>
  <c r="N47" i="12" s="1"/>
  <c r="M46" i="12"/>
  <c r="N46" i="12" s="1"/>
  <c r="M42" i="12"/>
  <c r="N42" i="12" s="1"/>
  <c r="M41" i="12"/>
  <c r="N41" i="12" s="1"/>
  <c r="M40" i="12"/>
  <c r="N40" i="12" s="1"/>
  <c r="M39" i="12"/>
  <c r="N39" i="12" s="1"/>
  <c r="D12" i="12"/>
  <c r="M38" i="12"/>
  <c r="N38" i="12" s="1"/>
  <c r="M37" i="12"/>
  <c r="N37" i="12" s="1"/>
  <c r="M36" i="12"/>
  <c r="N36" i="12" s="1"/>
  <c r="M35" i="12"/>
  <c r="N35" i="12" s="1"/>
  <c r="M34" i="12"/>
  <c r="N34" i="12" s="1"/>
  <c r="M33" i="12"/>
  <c r="N33" i="12" s="1"/>
  <c r="M29" i="12"/>
  <c r="N29" i="12" s="1"/>
  <c r="M28" i="12"/>
  <c r="N28" i="12" s="1"/>
  <c r="M27" i="12"/>
  <c r="N27" i="12" s="1"/>
  <c r="M32" i="12"/>
  <c r="N32" i="12" s="1"/>
  <c r="M31" i="12"/>
  <c r="N31" i="12" s="1"/>
  <c r="M30" i="12"/>
  <c r="N30" i="12" s="1"/>
  <c r="M24" i="12"/>
  <c r="N24" i="12" s="1"/>
  <c r="M25" i="12"/>
  <c r="N25" i="12" s="1"/>
  <c r="M26" i="12"/>
  <c r="N26" i="12" s="1"/>
  <c r="M23" i="12"/>
  <c r="N23" i="12" s="1"/>
  <c r="M21" i="12"/>
  <c r="N21" i="12" s="1"/>
  <c r="M22" i="12"/>
  <c r="N22" i="12" s="1"/>
  <c r="M20" i="12"/>
  <c r="N20" i="12" s="1"/>
  <c r="N3" i="12"/>
  <c r="M18" i="12"/>
  <c r="E11" i="12"/>
  <c r="E6" i="12"/>
  <c r="E17" i="12"/>
  <c r="N17" i="12" s="1"/>
  <c r="M19" i="12"/>
  <c r="N19" i="12" s="1"/>
  <c r="M14" i="12" l="1"/>
  <c r="N14" i="12" s="1"/>
  <c r="N16" i="12"/>
  <c r="M15" i="12"/>
  <c r="N15" i="12" s="1"/>
  <c r="D4" i="12"/>
  <c r="M13" i="12"/>
  <c r="N13" i="12" s="1"/>
  <c r="M12" i="12"/>
  <c r="N12" i="12" s="1"/>
  <c r="M11" i="12"/>
  <c r="N11" i="12" s="1"/>
  <c r="M10" i="12"/>
  <c r="N10" i="12" s="1"/>
  <c r="M9" i="12"/>
  <c r="N9" i="12" s="1"/>
  <c r="M8" i="12"/>
  <c r="N8" i="12" s="1"/>
  <c r="M7" i="12"/>
  <c r="N7" i="12" s="1"/>
  <c r="M6" i="12"/>
  <c r="N6" i="12" s="1"/>
  <c r="M5" i="12"/>
  <c r="N5" i="12" s="1"/>
  <c r="E4" i="12"/>
  <c r="M2" i="12"/>
  <c r="M4" i="12"/>
  <c r="N4" i="12" s="1"/>
</calcChain>
</file>

<file path=xl/sharedStrings.xml><?xml version="1.0" encoding="utf-8"?>
<sst xmlns="http://schemas.openxmlformats.org/spreadsheetml/2006/main" count="6580" uniqueCount="539">
  <si>
    <t>Ширина</t>
  </si>
  <si>
    <t>Внеш. диам. намотки (мм)</t>
  </si>
  <si>
    <t>либо вес рулона</t>
  </si>
  <si>
    <t>не более (кг)</t>
  </si>
  <si>
    <t>ЗПИ</t>
  </si>
  <si>
    <t>Циркон</t>
  </si>
  <si>
    <t>Эксклюзив</t>
  </si>
  <si>
    <t>Витьба</t>
  </si>
  <si>
    <t>вып</t>
  </si>
  <si>
    <t>образцы</t>
  </si>
  <si>
    <t>10рул</t>
  </si>
  <si>
    <t>Берестейский пекарь</t>
  </si>
  <si>
    <t>Вилейский х/з</t>
  </si>
  <si>
    <t>Украина</t>
  </si>
  <si>
    <t>Оршанский х/з</t>
  </si>
  <si>
    <t>Слуцкий х/з</t>
  </si>
  <si>
    <t>Фолти</t>
  </si>
  <si>
    <t>Спектр-Лайн</t>
  </si>
  <si>
    <t>Гродно х/пр</t>
  </si>
  <si>
    <t>Жодинский х/з</t>
  </si>
  <si>
    <t>????</t>
  </si>
  <si>
    <t>Унисон групп</t>
  </si>
  <si>
    <t>5рул</t>
  </si>
  <si>
    <t>???</t>
  </si>
  <si>
    <t>152/580</t>
  </si>
  <si>
    <t>76/600</t>
  </si>
  <si>
    <t>кол.станций</t>
  </si>
  <si>
    <t>кол.рулунов</t>
  </si>
  <si>
    <t>76/580</t>
  </si>
  <si>
    <t>внешн</t>
  </si>
  <si>
    <t>Грона</t>
  </si>
  <si>
    <t>Мегапринт</t>
  </si>
  <si>
    <t>*12кг</t>
  </si>
  <si>
    <t>Тульская</t>
  </si>
  <si>
    <t>Шершнев</t>
  </si>
  <si>
    <t>*15кг</t>
  </si>
  <si>
    <t>СН1 40</t>
  </si>
  <si>
    <t>СН1 30</t>
  </si>
  <si>
    <t>СН1 35</t>
  </si>
  <si>
    <t>СН1 25</t>
  </si>
  <si>
    <t>СН1 20</t>
  </si>
  <si>
    <t>Пункт разгрузки</t>
  </si>
  <si>
    <t>Сельвин</t>
  </si>
  <si>
    <t>Лыткарино</t>
  </si>
  <si>
    <t>76/250</t>
  </si>
  <si>
    <t>76/500</t>
  </si>
  <si>
    <t>Логистик</t>
  </si>
  <si>
    <t>Голден Браун</t>
  </si>
  <si>
    <t>ТеТраФойл</t>
  </si>
  <si>
    <t>Политехника</t>
  </si>
  <si>
    <t>462/18</t>
  </si>
  <si>
    <t>Весна</t>
  </si>
  <si>
    <t>570/18</t>
  </si>
  <si>
    <t>1178/18</t>
  </si>
  <si>
    <t>3404/18-3</t>
  </si>
  <si>
    <t>Амнитрейд</t>
  </si>
  <si>
    <t>3404/18-4</t>
  </si>
  <si>
    <t>АСТ-ГРУПП</t>
  </si>
  <si>
    <t>3366/18-8</t>
  </si>
  <si>
    <t>Беляевские</t>
  </si>
  <si>
    <t>2769/18-5</t>
  </si>
  <si>
    <t>06-18/24</t>
  </si>
  <si>
    <t>76/*50-60кг</t>
  </si>
  <si>
    <t>06-18/45</t>
  </si>
  <si>
    <t>07-18/11</t>
  </si>
  <si>
    <t>Витебск</t>
  </si>
  <si>
    <t>Мож. Сн1 30</t>
  </si>
  <si>
    <t>234/18-44</t>
  </si>
  <si>
    <t>Виллози</t>
  </si>
  <si>
    <t>352/18-18</t>
  </si>
  <si>
    <t>11./17.07.20185</t>
  </si>
  <si>
    <t>76или152/600</t>
  </si>
  <si>
    <t>600/152/76 от 23.07</t>
  </si>
  <si>
    <t>352/18-19</t>
  </si>
  <si>
    <t>546/18-2161</t>
  </si>
  <si>
    <t>1140/18-8</t>
  </si>
  <si>
    <t>08-18/18</t>
  </si>
  <si>
    <t>546/18-2271</t>
  </si>
  <si>
    <t>08-18/21</t>
  </si>
  <si>
    <t>546/18-2302</t>
  </si>
  <si>
    <t>546/18-2395</t>
  </si>
  <si>
    <t>пал. Не бол.700кг</t>
  </si>
  <si>
    <t>762/18-8</t>
  </si>
  <si>
    <t>на сентябрь</t>
  </si>
  <si>
    <t>18-18/11</t>
  </si>
  <si>
    <t>АСТ-Групп</t>
  </si>
  <si>
    <t>546/18-2621</t>
  </si>
  <si>
    <t>546/18-2626</t>
  </si>
  <si>
    <t>546/18-2632</t>
  </si>
  <si>
    <t>257/18-4</t>
  </si>
  <si>
    <t>76/152 мм600</t>
  </si>
  <si>
    <t xml:space="preserve">                  </t>
  </si>
  <si>
    <t>Заявка</t>
  </si>
  <si>
    <t>Марка/ толщина</t>
  </si>
  <si>
    <t xml:space="preserve">Количество (кг) по завке       </t>
  </si>
  <si>
    <t xml:space="preserve">Кол-во (кг) выполнение       </t>
  </si>
  <si>
    <t>Дата поступления заявки</t>
  </si>
  <si>
    <t>3366/18-11</t>
  </si>
  <si>
    <t>546/18-3342</t>
  </si>
  <si>
    <t>546/18-3357</t>
  </si>
  <si>
    <t>546/18-3347</t>
  </si>
  <si>
    <t>18/18-14</t>
  </si>
  <si>
    <t>18/18-15</t>
  </si>
  <si>
    <t>76/580/ внешняя</t>
  </si>
  <si>
    <t>18/18-16</t>
  </si>
  <si>
    <t>18/18-17</t>
  </si>
  <si>
    <t>257/18-5</t>
  </si>
  <si>
    <t>12-18/1</t>
  </si>
  <si>
    <t>12-18/2</t>
  </si>
  <si>
    <t>12-18/3</t>
  </si>
  <si>
    <t>12-18/4</t>
  </si>
  <si>
    <t>12-18/5</t>
  </si>
  <si>
    <t>12-18/6</t>
  </si>
  <si>
    <t>12-18/7</t>
  </si>
  <si>
    <t>12-18/8</t>
  </si>
  <si>
    <t>12-18/10</t>
  </si>
  <si>
    <t>Лидкон</t>
  </si>
  <si>
    <t>12-18/11</t>
  </si>
  <si>
    <t>12-18/12</t>
  </si>
  <si>
    <t>18/18-18</t>
  </si>
  <si>
    <t>76или152/600(СРОЧНО)</t>
  </si>
  <si>
    <t>07/11.12.2018</t>
  </si>
  <si>
    <t>234/18-82</t>
  </si>
  <si>
    <t>отм.</t>
  </si>
  <si>
    <t>546/18-3758</t>
  </si>
  <si>
    <t>11.12.1018</t>
  </si>
  <si>
    <t>546/18-3757</t>
  </si>
  <si>
    <t>546/18-3750</t>
  </si>
  <si>
    <t>374/18-22</t>
  </si>
  <si>
    <t>Тафлекс</t>
  </si>
  <si>
    <t>234/18-83</t>
  </si>
  <si>
    <t>300/76</t>
  </si>
  <si>
    <t>63/18-63</t>
  </si>
  <si>
    <t>Искра</t>
  </si>
  <si>
    <t>2773/18</t>
  </si>
  <si>
    <t>Флориспак</t>
  </si>
  <si>
    <t>1661/18</t>
  </si>
  <si>
    <t>Вайд</t>
  </si>
  <si>
    <t>1140/18-12</t>
  </si>
  <si>
    <t>Беляевские пленки</t>
  </si>
  <si>
    <t>483/18-5</t>
  </si>
  <si>
    <t>Рута</t>
  </si>
  <si>
    <t>546/18-3796</t>
  </si>
  <si>
    <t>отм. 14.12.2018 усно</t>
  </si>
  <si>
    <t>Мож. Сн1 25</t>
  </si>
  <si>
    <t xml:space="preserve"> </t>
  </si>
  <si>
    <t>р</t>
  </si>
  <si>
    <t>07/14.12.2018</t>
  </si>
  <si>
    <t>12-18/25</t>
  </si>
  <si>
    <t>*13кг</t>
  </si>
  <si>
    <t>Оршанский комбинат</t>
  </si>
  <si>
    <t>12-18/24</t>
  </si>
  <si>
    <t>Милкавита</t>
  </si>
  <si>
    <t>12-18/23</t>
  </si>
  <si>
    <t>Салита</t>
  </si>
  <si>
    <t>12-18/22</t>
  </si>
  <si>
    <t>Гомель х/пр</t>
  </si>
  <si>
    <t>12-18/21</t>
  </si>
  <si>
    <t>Чайно-кофейная компания</t>
  </si>
  <si>
    <t>12-18/20</t>
  </si>
  <si>
    <t>Смолевический х/з</t>
  </si>
  <si>
    <t>12-18/19</t>
  </si>
  <si>
    <t>500-700</t>
  </si>
  <si>
    <t>Аланпакт</t>
  </si>
  <si>
    <t>12-18/18</t>
  </si>
  <si>
    <t>Х/з 10</t>
  </si>
  <si>
    <t>12-18/17</t>
  </si>
  <si>
    <r>
      <t>мож СН1 35</t>
    </r>
    <r>
      <rPr>
        <sz val="12"/>
        <color rgb="FFFF0000"/>
        <rFont val="Arial Cyr"/>
        <charset val="204"/>
      </rPr>
      <t>срочно</t>
    </r>
  </si>
  <si>
    <t>Бисквитная ф-ка</t>
  </si>
  <si>
    <t>12-18/16</t>
  </si>
  <si>
    <t>Барановический х/з</t>
  </si>
  <si>
    <t>12-18/15</t>
  </si>
  <si>
    <t>Несвижский з-д мед.пр.</t>
  </si>
  <si>
    <t>12-18/14</t>
  </si>
  <si>
    <t>рул*80кг</t>
  </si>
  <si>
    <t>Кашин пластик</t>
  </si>
  <si>
    <t>12-18/13</t>
  </si>
  <si>
    <t>Правила вкуса</t>
  </si>
  <si>
    <t>2769/18-12</t>
  </si>
  <si>
    <t>*20кг</t>
  </si>
  <si>
    <t>600 сдел 300</t>
  </si>
  <si>
    <t>63/18-64</t>
  </si>
  <si>
    <t>искра</t>
  </si>
  <si>
    <t>Р</t>
  </si>
  <si>
    <t>Флекс</t>
  </si>
  <si>
    <t>ЦПППП</t>
  </si>
  <si>
    <t>12-18/26</t>
  </si>
  <si>
    <t>12-18/27</t>
  </si>
  <si>
    <t>12-18/28</t>
  </si>
  <si>
    <t>Евроопт</t>
  </si>
  <si>
    <t>12-18/29</t>
  </si>
  <si>
    <t>Дейро-Сервис</t>
  </si>
  <si>
    <t>12-18/30</t>
  </si>
  <si>
    <t>Витебск Молоко</t>
  </si>
  <si>
    <t>571/19-1</t>
  </si>
  <si>
    <t>Толеус</t>
  </si>
  <si>
    <t>3229/19-1</t>
  </si>
  <si>
    <t>Диспак</t>
  </si>
  <si>
    <t>1140/19-1</t>
  </si>
  <si>
    <t>?</t>
  </si>
  <si>
    <t>отмена</t>
  </si>
  <si>
    <t>см выше</t>
  </si>
  <si>
    <t>Рогачевский мол.ком</t>
  </si>
  <si>
    <t>12-18/32</t>
  </si>
  <si>
    <t>мож СН1 35</t>
  </si>
  <si>
    <t>Белпищеснаб</t>
  </si>
  <si>
    <t>12-18/36</t>
  </si>
  <si>
    <t>Флексопринт</t>
  </si>
  <si>
    <t>12-18/16(2)</t>
  </si>
  <si>
    <t>вып 40</t>
  </si>
  <si>
    <t>1000+2000</t>
  </si>
  <si>
    <t>12-18/35</t>
  </si>
  <si>
    <t>Шалу</t>
  </si>
  <si>
    <t>12-18/33</t>
  </si>
  <si>
    <t>Бабушкина крынка</t>
  </si>
  <si>
    <t>12-18/34</t>
  </si>
  <si>
    <t>Калинка</t>
  </si>
  <si>
    <t>3366/18-12</t>
  </si>
  <si>
    <t>отм. 18.12 усно Лариса</t>
  </si>
  <si>
    <t>*7кг*15 рул</t>
  </si>
  <si>
    <t>12-18/37</t>
  </si>
  <si>
    <t>Березовский сырод.</t>
  </si>
  <si>
    <t>546/18-3848</t>
  </si>
  <si>
    <t>12-18/38</t>
  </si>
  <si>
    <t>Минский мол. завод№1</t>
  </si>
  <si>
    <t>12-18/41</t>
  </si>
  <si>
    <t>ПБК</t>
  </si>
  <si>
    <t>12-18/40</t>
  </si>
  <si>
    <t>Мж. СН1 30,40</t>
  </si>
  <si>
    <t>12-18/39</t>
  </si>
  <si>
    <t>Витебск х/пр</t>
  </si>
  <si>
    <t>отм. 19.12.2018</t>
  </si>
  <si>
    <t>ОТМЕНА</t>
  </si>
  <si>
    <t>1118/18</t>
  </si>
  <si>
    <t>ДЗГУ</t>
  </si>
  <si>
    <t>07/20.12.2018</t>
  </si>
  <si>
    <t>Балспед логистик</t>
  </si>
  <si>
    <t>546/18-3858</t>
  </si>
  <si>
    <t>12-18/42</t>
  </si>
  <si>
    <t>Бобруйская укрупненная</t>
  </si>
  <si>
    <t>доп. Вместо 35</t>
  </si>
  <si>
    <t>см 390</t>
  </si>
  <si>
    <t>12-18/31</t>
  </si>
  <si>
    <t>12-18/43</t>
  </si>
  <si>
    <t>образец</t>
  </si>
  <si>
    <t>12-18/44</t>
  </si>
  <si>
    <t>Красный пищевик</t>
  </si>
  <si>
    <t>мож. СН1 30-40</t>
  </si>
  <si>
    <t>12-18/45</t>
  </si>
  <si>
    <t>12-18/46</t>
  </si>
  <si>
    <t>Белавиа</t>
  </si>
  <si>
    <t>скл</t>
  </si>
  <si>
    <t>мож.СН1 40</t>
  </si>
  <si>
    <t>546/18-3869</t>
  </si>
  <si>
    <t>ошибочно</t>
  </si>
  <si>
    <t>1304/19</t>
  </si>
  <si>
    <t>Флексолайн</t>
  </si>
  <si>
    <t>мож.*430</t>
  </si>
  <si>
    <t>3404/18-12</t>
  </si>
  <si>
    <t>762/19</t>
  </si>
  <si>
    <t>1380/18</t>
  </si>
  <si>
    <t>Канпас</t>
  </si>
  <si>
    <t>63/18-65</t>
  </si>
  <si>
    <t>повтор</t>
  </si>
  <si>
    <t>300 *25кг</t>
  </si>
  <si>
    <t>04-18/34</t>
  </si>
  <si>
    <t>Флексофорс</t>
  </si>
  <si>
    <t>76/600 (к 10.01)</t>
  </si>
  <si>
    <t>своб0760+760</t>
  </si>
  <si>
    <t>374/18-22/2018/3</t>
  </si>
  <si>
    <t>2018/3</t>
  </si>
  <si>
    <t>отм сделано</t>
  </si>
  <si>
    <t>20/2812.2018</t>
  </si>
  <si>
    <t>12-18/47</t>
  </si>
  <si>
    <t>*30кг</t>
  </si>
  <si>
    <t>Квадранс</t>
  </si>
  <si>
    <t>18/18-20</t>
  </si>
  <si>
    <t>18/18-21</t>
  </si>
  <si>
    <t>отм. 28.12.2018</t>
  </si>
  <si>
    <t>вайд</t>
  </si>
  <si>
    <t xml:space="preserve">повт отгр </t>
  </si>
  <si>
    <t>отм письмо от28,12</t>
  </si>
  <si>
    <t>письмо от28,12</t>
  </si>
  <si>
    <t>отм письмо от28,13</t>
  </si>
  <si>
    <t>18-18/22</t>
  </si>
  <si>
    <t>10-18/30</t>
  </si>
  <si>
    <t>546/18-3896</t>
  </si>
  <si>
    <t>12-18/49</t>
  </si>
  <si>
    <t>Дилис</t>
  </si>
  <si>
    <t>12-18/50</t>
  </si>
  <si>
    <t>Йорк компания</t>
  </si>
  <si>
    <t>12-18/51</t>
  </si>
  <si>
    <t>Суперпак</t>
  </si>
  <si>
    <t>12-18/52</t>
  </si>
  <si>
    <t>КрафтДеко</t>
  </si>
  <si>
    <r>
      <t>546/18-3757</t>
    </r>
    <r>
      <rPr>
        <sz val="12"/>
        <color rgb="FFFF0000"/>
        <rFont val="Arial Cyr"/>
        <charset val="204"/>
      </rPr>
      <t>(97)</t>
    </r>
  </si>
  <si>
    <r>
      <t>546/18-3757</t>
    </r>
    <r>
      <rPr>
        <sz val="12"/>
        <color rgb="FFFF0000"/>
        <rFont val="Arial Cyr"/>
        <charset val="204"/>
      </rPr>
      <t>(53)</t>
    </r>
  </si>
  <si>
    <t>см 14,12выше</t>
  </si>
  <si>
    <t>флексофорс</t>
  </si>
  <si>
    <t>12-18/48</t>
  </si>
  <si>
    <r>
      <t>546/18-3848</t>
    </r>
    <r>
      <rPr>
        <sz val="12"/>
        <color rgb="FFFF0000"/>
        <rFont val="Arial Cyr"/>
        <charset val="204"/>
      </rPr>
      <t>(69)</t>
    </r>
  </si>
  <si>
    <r>
      <t>546/18-3757</t>
    </r>
    <r>
      <rPr>
        <sz val="12"/>
        <color rgb="FFFF0000"/>
        <rFont val="Arial Cyr"/>
        <charset val="204"/>
      </rPr>
      <t>(50)</t>
    </r>
  </si>
  <si>
    <t>352/19</t>
  </si>
  <si>
    <t>2000м.</t>
  </si>
  <si>
    <t>234/18-88</t>
  </si>
  <si>
    <t>234/18-89</t>
  </si>
  <si>
    <t>580/76</t>
  </si>
  <si>
    <t>Бережки</t>
  </si>
  <si>
    <t>12-18/53</t>
  </si>
  <si>
    <t>ТЕТ</t>
  </si>
  <si>
    <t>483/19</t>
  </si>
  <si>
    <t>до 540</t>
  </si>
  <si>
    <t>Молочное раздолье</t>
  </si>
  <si>
    <t>12-18/54</t>
  </si>
  <si>
    <t>300-340</t>
  </si>
  <si>
    <t>АВД продакшен</t>
  </si>
  <si>
    <t>отм</t>
  </si>
  <si>
    <r>
      <t>570/18</t>
    </r>
    <r>
      <rPr>
        <sz val="12"/>
        <color rgb="FFFF0000"/>
        <rFont val="Arial Cyr"/>
        <charset val="204"/>
      </rPr>
      <t>(19)</t>
    </r>
  </si>
  <si>
    <r>
      <t>12-18/19</t>
    </r>
    <r>
      <rPr>
        <sz val="12"/>
        <color rgb="FFFF0000"/>
        <rFont val="Arial Cyr"/>
        <charset val="204"/>
      </rPr>
      <t>(12)</t>
    </r>
  </si>
  <si>
    <t>12-18/55</t>
  </si>
  <si>
    <t>Волковысский х/з</t>
  </si>
  <si>
    <t>13кг</t>
  </si>
  <si>
    <t>повторно</t>
  </si>
  <si>
    <t>*100кг</t>
  </si>
  <si>
    <t>12-18/56</t>
  </si>
  <si>
    <t>300/8р*</t>
  </si>
  <si>
    <t>Агромир</t>
  </si>
  <si>
    <t>546/19-32</t>
  </si>
  <si>
    <t>546/19-30</t>
  </si>
  <si>
    <t>02-19/1</t>
  </si>
  <si>
    <t>Белспед логистик</t>
  </si>
  <si>
    <t>01-19/1</t>
  </si>
  <si>
    <t>Борисов х/пр</t>
  </si>
  <si>
    <t>02-19/2</t>
  </si>
  <si>
    <t>Регион- продукт</t>
  </si>
  <si>
    <t>1-19/3</t>
  </si>
  <si>
    <t>Бумажная фабрика</t>
  </si>
  <si>
    <t>срочно</t>
  </si>
  <si>
    <t>01-19/2</t>
  </si>
  <si>
    <t>234/18-86</t>
  </si>
  <si>
    <t>Волгоград</t>
  </si>
  <si>
    <r>
      <t>12-18/11</t>
    </r>
    <r>
      <rPr>
        <sz val="12"/>
        <color rgb="FFFF0000"/>
        <rFont val="Arial Cyr"/>
        <charset val="204"/>
      </rPr>
      <t>(14)</t>
    </r>
  </si>
  <si>
    <t>300 (дополнение)</t>
  </si>
  <si>
    <t>отм ???</t>
  </si>
  <si>
    <t>01-19/4</t>
  </si>
  <si>
    <t>2рул</t>
  </si>
  <si>
    <t>1118/19</t>
  </si>
  <si>
    <t>01-18/5</t>
  </si>
  <si>
    <t>ОршаСырЗавод</t>
  </si>
  <si>
    <t>257/19</t>
  </si>
  <si>
    <t>зпи</t>
  </si>
  <si>
    <t>4рул.</t>
  </si>
  <si>
    <t>01-19/6</t>
  </si>
  <si>
    <t>01-19/7</t>
  </si>
  <si>
    <t>2р*30кг</t>
  </si>
  <si>
    <t>Медпласт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</si>
  <si>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</si>
  <si>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01-19/9</t>
  </si>
  <si>
    <t>слоним х/з</t>
  </si>
  <si>
    <t>01-19/8</t>
  </si>
  <si>
    <t>спектр</t>
  </si>
  <si>
    <t>234/19-2</t>
  </si>
  <si>
    <t>флекс</t>
  </si>
  <si>
    <t>1661/19</t>
  </si>
  <si>
    <t>234/19-88</t>
  </si>
  <si>
    <t>01-19/12</t>
  </si>
  <si>
    <t>*80кг.</t>
  </si>
  <si>
    <t>01-19/11</t>
  </si>
  <si>
    <t>Макбор</t>
  </si>
  <si>
    <t>01-19/10</t>
  </si>
  <si>
    <t>01-19/13</t>
  </si>
  <si>
    <t>Витамин</t>
  </si>
  <si>
    <t>220-240(на 2х под.)</t>
  </si>
  <si>
    <t>546/19-92</t>
  </si>
  <si>
    <t>01-19/18</t>
  </si>
  <si>
    <t>01-19/17</t>
  </si>
  <si>
    <t>Азалиа</t>
  </si>
  <si>
    <t>01-19/16</t>
  </si>
  <si>
    <t>Семирамида</t>
  </si>
  <si>
    <t>01-19/15</t>
  </si>
  <si>
    <t>01-19/14</t>
  </si>
  <si>
    <t>01-19/19</t>
  </si>
  <si>
    <t>Борисовдрев</t>
  </si>
  <si>
    <t>234/19</t>
  </si>
  <si>
    <t>Воровского</t>
  </si>
  <si>
    <t>Смоленск</t>
  </si>
  <si>
    <t>546/19-111</t>
  </si>
  <si>
    <t>63/19-1</t>
  </si>
  <si>
    <t>63/19-2</t>
  </si>
  <si>
    <t>63/19-3</t>
  </si>
  <si>
    <t>3366/19</t>
  </si>
  <si>
    <t>доб.18.01.2019</t>
  </si>
  <si>
    <t>01-19/20</t>
  </si>
  <si>
    <t>Новогрудский х/з</t>
  </si>
  <si>
    <t>Минский мол. Зав.№1</t>
  </si>
  <si>
    <t>01-19/21</t>
  </si>
  <si>
    <t>Фиатос</t>
  </si>
  <si>
    <t>950-1000</t>
  </si>
  <si>
    <t>*10кг не бол. 350м.</t>
  </si>
  <si>
    <t>Кобринский х/з</t>
  </si>
  <si>
    <t>01-19/22</t>
  </si>
  <si>
    <t>01-19/23</t>
  </si>
  <si>
    <t>*7</t>
  </si>
  <si>
    <t>Заславская конд.</t>
  </si>
  <si>
    <t>63/19-4</t>
  </si>
  <si>
    <t>к 10.02.2019</t>
  </si>
  <si>
    <t>к 25.02.2019</t>
  </si>
  <si>
    <t>152/внеш</t>
  </si>
  <si>
    <t>цппп</t>
  </si>
  <si>
    <t>63/19-5</t>
  </si>
  <si>
    <t>01-19/25</t>
  </si>
  <si>
    <t>Заславская конд. Ф-ка</t>
  </si>
  <si>
    <t>02-19/3</t>
  </si>
  <si>
    <t>01-19/24</t>
  </si>
  <si>
    <t>Конфа</t>
  </si>
  <si>
    <t>отм. 22.01.2019</t>
  </si>
  <si>
    <t>18/19-1</t>
  </si>
  <si>
    <t>546/19-172</t>
  </si>
  <si>
    <t>к 24.01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</si>
  <si>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</si>
  <si>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*10кг</t>
  </si>
  <si>
    <t>БугСтройГрад</t>
  </si>
  <si>
    <t>доп. Срочно</t>
  </si>
  <si>
    <t>?????</t>
  </si>
  <si>
    <t>ЦППП</t>
  </si>
  <si>
    <t>01-19/27</t>
  </si>
  <si>
    <t>*50кг</t>
  </si>
  <si>
    <t>352/19-1</t>
  </si>
  <si>
    <t>01-18/28</t>
  </si>
  <si>
    <t>Еврофилм</t>
  </si>
  <si>
    <t>Пластик</t>
  </si>
  <si>
    <t>Непогодина</t>
  </si>
  <si>
    <t>01-19/29</t>
  </si>
  <si>
    <t>Кукса</t>
  </si>
  <si>
    <t>12-18/48 (336)</t>
  </si>
  <si>
    <t>149/19-1</t>
  </si>
  <si>
    <t>1304/19-1</t>
  </si>
  <si>
    <t>18/19-5</t>
  </si>
  <si>
    <t>18/19-2</t>
  </si>
  <si>
    <t>18/19-3</t>
  </si>
  <si>
    <t>18/19-4</t>
  </si>
  <si>
    <t>01-19/31</t>
  </si>
  <si>
    <t>Полоцк-Стекловолокно</t>
  </si>
  <si>
    <t>01-19/30</t>
  </si>
  <si>
    <t>12-13 рул.</t>
  </si>
  <si>
    <t>Свитанак</t>
  </si>
  <si>
    <t>01-19/32</t>
  </si>
  <si>
    <t>Элект</t>
  </si>
  <si>
    <t>01-19/33</t>
  </si>
  <si>
    <t>01-19/35</t>
  </si>
  <si>
    <t>Гроднохлебпром</t>
  </si>
  <si>
    <t>152/800-1000</t>
  </si>
  <si>
    <t>к10.02.2019</t>
  </si>
  <si>
    <t>546/19-257</t>
  </si>
  <si>
    <t>546/19-258</t>
  </si>
  <si>
    <t>546/19-259</t>
  </si>
  <si>
    <t>546/19-260</t>
  </si>
  <si>
    <t>01-19/36</t>
  </si>
  <si>
    <t>546/19-285</t>
  </si>
  <si>
    <t>02-19/4</t>
  </si>
  <si>
    <t>Борисов древ</t>
  </si>
  <si>
    <t>257/18-6</t>
  </si>
  <si>
    <t>02-19/6</t>
  </si>
  <si>
    <t>ВитроЛайф</t>
  </si>
  <si>
    <t>02-19/5</t>
  </si>
  <si>
    <t>Витебск х/п</t>
  </si>
  <si>
    <t>1304/19-2</t>
  </si>
  <si>
    <t>76/300</t>
  </si>
  <si>
    <t>483/19-1</t>
  </si>
  <si>
    <t>до 540 (пал. До 1000)</t>
  </si>
  <si>
    <t>374/19</t>
  </si>
  <si>
    <t>550-600</t>
  </si>
  <si>
    <t>*10-12кг</t>
  </si>
  <si>
    <t>*13-15кг</t>
  </si>
  <si>
    <t>546/19-309</t>
  </si>
  <si>
    <t>2997/19-2</t>
  </si>
  <si>
    <t>кемерово</t>
  </si>
  <si>
    <t>15-20</t>
  </si>
  <si>
    <t>02-19/8</t>
  </si>
  <si>
    <t>сингатулина</t>
  </si>
  <si>
    <t>02-19/11</t>
  </si>
  <si>
    <t>лидкон</t>
  </si>
  <si>
    <t>02-19/10</t>
  </si>
  <si>
    <t>02-19/9</t>
  </si>
  <si>
    <t>бисквитная</t>
  </si>
  <si>
    <t>крафдеко</t>
  </si>
  <si>
    <t>02-19/12</t>
  </si>
  <si>
    <t>крынка</t>
  </si>
  <si>
    <t>02-19/13</t>
  </si>
  <si>
    <t>х/з 10</t>
  </si>
  <si>
    <t>1304/19-3</t>
  </si>
  <si>
    <t>1304/19-4</t>
  </si>
  <si>
    <t>15кг</t>
  </si>
  <si>
    <t>3521/19</t>
  </si>
  <si>
    <t>02-19/7</t>
  </si>
  <si>
    <t>234/19-784</t>
  </si>
  <si>
    <t>76/250 внешняя</t>
  </si>
  <si>
    <t>Волгоград(для полимакс)</t>
  </si>
  <si>
    <t>546/19-335</t>
  </si>
  <si>
    <t>546/19-339</t>
  </si>
  <si>
    <t>234/19-7</t>
  </si>
  <si>
    <t>234/19-8</t>
  </si>
  <si>
    <t>600/76</t>
  </si>
  <si>
    <t>Питер</t>
  </si>
  <si>
    <t>ФлексоЛайн</t>
  </si>
  <si>
    <t>02-19/14</t>
  </si>
  <si>
    <t>ПСП фабрик</t>
  </si>
  <si>
    <t>546/19-350</t>
  </si>
  <si>
    <t>63/19-6</t>
  </si>
  <si>
    <t>Мскра</t>
  </si>
  <si>
    <t>02-19/15</t>
  </si>
  <si>
    <t>Термопак</t>
  </si>
  <si>
    <t>02-19/16</t>
  </si>
  <si>
    <t>1рул</t>
  </si>
  <si>
    <t>Полтмиз</t>
  </si>
  <si>
    <t>до 20 февр.</t>
  </si>
  <si>
    <t>02-19/21</t>
  </si>
  <si>
    <t>02-19/17</t>
  </si>
  <si>
    <t>Лодисс</t>
  </si>
  <si>
    <t>02-19/20</t>
  </si>
  <si>
    <t>02-19/20(обр. б/п)</t>
  </si>
  <si>
    <t>02-19/19</t>
  </si>
  <si>
    <t>3239/19-2</t>
  </si>
  <si>
    <t>02-19/18</t>
  </si>
  <si>
    <t>Унисон Групп</t>
  </si>
  <si>
    <t>02-19/22</t>
  </si>
  <si>
    <t>флексопринт</t>
  </si>
  <si>
    <t>сама со слов</t>
  </si>
  <si>
    <t>вск</t>
  </si>
  <si>
    <t>1304/19-5</t>
  </si>
  <si>
    <t>Флексо Лайн</t>
  </si>
  <si>
    <t>1050+550</t>
  </si>
  <si>
    <t>02-19/24</t>
  </si>
  <si>
    <t>02-19/25</t>
  </si>
  <si>
    <t>10р*20кг</t>
  </si>
  <si>
    <t>Процветы</t>
  </si>
  <si>
    <t>02-19/26</t>
  </si>
  <si>
    <t>Рогачевский мол. конс. комб.</t>
  </si>
  <si>
    <t>Кладзесь витаминов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</si>
</sst>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2"/>
      <name val="Arial Cyr"/>
      <charset val="204"/>
    </font>
    <font>
      <b/>
      <sz val="12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10"/>
      <name val="Arial"/>
      <family val="2"/>
      <charset val="204"/>
    </font>
    <font>
      <b/>
      <sz val="14"/>
      <name val="Arial"/>
      <family val="2"/>
      <charset val="204"/>
    </font>
    <font>
      <sz val="12"/>
      <color rgb="FFFF0000"/>
      <name val="Arial Cyr"/>
      <charset val="204"/>
    </font>
    <font>
      <sz val="12"/>
      <color rgb="FFC00000"/>
      <name val="Arial Cyr"/>
      <charset val="204"/>
    </font>
    <font>
      <sz val="12"/>
      <color theme="5" tint="-0.249977111117893"/>
      <name val="Arial Cyr"/>
      <charset val="204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6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/>
    <xf numFmtId="0" fontId="0" fillId="0" borderId="1" xfId="0" applyBorder="1" applyAlignment="1"/>
    <xf numFmtId="14" fontId="0" fillId="0" borderId="1" xfId="0" applyNumberFormat="1" applyBorder="1"/>
    <xf numFmtId="14" fontId="0" fillId="0" borderId="1" xfId="0" applyNumberFormat="1" applyFill="1" applyBorder="1"/>
    <xf numFmtId="0" fontId="0" fillId="2" borderId="1" xfId="0" applyFill="1" applyBorder="1"/>
    <xf numFmtId="0" fontId="0" fillId="2" borderId="1" xfId="0" applyFill="1" applyBorder="1" applyAlignment="1"/>
    <xf numFmtId="0" fontId="0" fillId="2" borderId="0" xfId="0" applyFill="1"/>
    <xf numFmtId="0" fontId="0" fillId="2" borderId="1" xfId="0" applyFill="1" applyBorder="1" applyAlignment="1">
      <alignment horizontal="right"/>
    </xf>
    <xf numFmtId="0" fontId="0" fillId="0" borderId="1" xfId="0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0" fontId="0" fillId="4" borderId="1" xfId="0" applyFill="1" applyBorder="1"/>
    <xf numFmtId="14" fontId="0" fillId="3" borderId="1" xfId="0" applyNumberFormat="1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0" borderId="1" xfId="0" applyFont="1" applyFill="1" applyBorder="1" applyAlignment="1"/>
    <xf numFmtId="0" fontId="6" fillId="3" borderId="1" xfId="0" applyFont="1" applyFill="1" applyBorder="1" applyAlignment="1"/>
    <xf numFmtId="0" fontId="0" fillId="3" borderId="1" xfId="0" applyFill="1" applyBorder="1" applyAlignment="1"/>
    <xf numFmtId="0" fontId="0" fillId="3" borderId="1" xfId="0" applyFont="1" applyFill="1" applyBorder="1"/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4" fontId="0" fillId="2" borderId="1" xfId="0" applyNumberFormat="1" applyFill="1" applyBorder="1" applyAlignment="1"/>
    <xf numFmtId="0" fontId="0" fillId="3" borderId="0" xfId="0" applyFill="1"/>
    <xf numFmtId="164" fontId="0" fillId="2" borderId="1" xfId="0" applyNumberFormat="1" applyFill="1" applyBorder="1"/>
    <xf numFmtId="0" fontId="6" fillId="0" borderId="1" xfId="0" applyFont="1" applyFill="1" applyBorder="1"/>
    <xf numFmtId="164" fontId="0" fillId="0" borderId="1" xfId="0" applyNumberFormat="1" applyFill="1" applyBorder="1"/>
    <xf numFmtId="164" fontId="0" fillId="3" borderId="1" xfId="0" applyNumberFormat="1" applyFill="1" applyBorder="1"/>
    <xf numFmtId="0" fontId="2" fillId="2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/>
    <xf numFmtId="164" fontId="0" fillId="3" borderId="1" xfId="0" applyNumberFormat="1" applyFont="1" applyFill="1" applyBorder="1"/>
    <xf numFmtId="0" fontId="0" fillId="3" borderId="0" xfId="0" applyFont="1" applyFill="1"/>
    <xf numFmtId="14" fontId="0" fillId="3" borderId="1" xfId="0" applyNumberFormat="1" applyFont="1" applyFill="1" applyBorder="1"/>
    <xf numFmtId="1" fontId="3" fillId="2" borderId="1" xfId="0" applyNumberFormat="1" applyFont="1" applyFill="1" applyBorder="1" applyAlignment="1">
      <alignment horizontal="right" vertical="center" wrapText="1"/>
    </xf>
    <xf numFmtId="1" fontId="0" fillId="3" borderId="1" xfId="0" applyNumberFormat="1" applyFill="1" applyBorder="1" applyAlignment="1">
      <alignment horizontal="right"/>
    </xf>
    <xf numFmtId="1" fontId="0" fillId="2" borderId="1" xfId="0" applyNumberFormat="1" applyFill="1" applyBorder="1" applyAlignment="1">
      <alignment horizontal="right"/>
    </xf>
    <xf numFmtId="1" fontId="0" fillId="0" borderId="1" xfId="0" applyNumberFormat="1" applyFill="1" applyBorder="1" applyAlignment="1">
      <alignment horizontal="right"/>
    </xf>
    <xf numFmtId="1" fontId="0" fillId="3" borderId="1" xfId="0" applyNumberFormat="1" applyFont="1" applyFill="1" applyBorder="1" applyAlignment="1">
      <alignment horizontal="right"/>
    </xf>
    <xf numFmtId="0" fontId="2" fillId="0" borderId="1" xfId="0" applyFont="1" applyFill="1" applyBorder="1" applyAlignment="1">
      <alignment horizontal="center" vertical="center" wrapText="1"/>
    </xf>
    <xf numFmtId="1" fontId="0" fillId="0" borderId="1" xfId="0" applyNumberFormat="1" applyFont="1" applyFill="1" applyBorder="1" applyAlignment="1">
      <alignment horizontal="right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 applyAlignment="1"/>
    <xf numFmtId="1" fontId="0" fillId="5" borderId="1" xfId="0" applyNumberFormat="1" applyFill="1" applyBorder="1" applyAlignment="1">
      <alignment horizontal="right"/>
    </xf>
    <xf numFmtId="14" fontId="0" fillId="5" borderId="1" xfId="0" applyNumberFormat="1" applyFill="1" applyBorder="1"/>
    <xf numFmtId="164" fontId="0" fillId="5" borderId="1" xfId="0" applyNumberFormat="1" applyFill="1" applyBorder="1"/>
    <xf numFmtId="0" fontId="0" fillId="5" borderId="0" xfId="0" applyFill="1"/>
    <xf numFmtId="0" fontId="0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/>
    <xf numFmtId="1" fontId="0" fillId="6" borderId="1" xfId="0" applyNumberFormat="1" applyFill="1" applyBorder="1" applyAlignment="1">
      <alignment horizontal="right"/>
    </xf>
    <xf numFmtId="14" fontId="0" fillId="6" borderId="1" xfId="0" applyNumberFormat="1" applyFill="1" applyBorder="1"/>
    <xf numFmtId="164" fontId="0" fillId="6" borderId="1" xfId="0" applyNumberFormat="1" applyFill="1" applyBorder="1"/>
    <xf numFmtId="0" fontId="0" fillId="6" borderId="0" xfId="0" applyFill="1"/>
    <xf numFmtId="0" fontId="6" fillId="0" borderId="1" xfId="0" applyFont="1" applyBorder="1" applyAlignment="1"/>
    <xf numFmtId="0" fontId="0" fillId="0" borderId="1" xfId="0" applyFont="1" applyBorder="1" applyAlignment="1"/>
    <xf numFmtId="0" fontId="7" fillId="0" borderId="1" xfId="0" applyFont="1" applyFill="1" applyBorder="1"/>
    <xf numFmtId="0" fontId="8" fillId="0" borderId="1" xfId="0" applyFont="1" applyFill="1" applyBorder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 applyAlignment="1"/>
    <xf numFmtId="1" fontId="0" fillId="7" borderId="1" xfId="0" applyNumberFormat="1" applyFill="1" applyBorder="1" applyAlignment="1">
      <alignment horizontal="right"/>
    </xf>
    <xf numFmtId="14" fontId="0" fillId="7" borderId="1" xfId="0" applyNumberFormat="1" applyFill="1" applyBorder="1"/>
    <xf numFmtId="164" fontId="0" fillId="7" borderId="1" xfId="0" applyNumberFormat="1" applyFill="1" applyBorder="1"/>
    <xf numFmtId="0" fontId="0" fillId="7" borderId="0" xfId="0" applyFill="1"/>
    <xf numFmtId="0" fontId="0" fillId="7" borderId="1" xfId="0" applyFont="1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/>
    <xf numFmtId="1" fontId="0" fillId="4" borderId="1" xfId="0" applyNumberFormat="1" applyFill="1" applyBorder="1" applyAlignment="1">
      <alignment horizontal="right"/>
    </xf>
    <xf numFmtId="14" fontId="0" fillId="4" borderId="1" xfId="0" applyNumberFormat="1" applyFill="1" applyBorder="1"/>
    <xf numFmtId="164" fontId="0" fillId="4" borderId="1" xfId="0" applyNumberFormat="1" applyFill="1" applyBorder="1"/>
    <xf numFmtId="0" fontId="0" fillId="4" borderId="0" xfId="0" applyFill="1"/>
    <xf numFmtId="0" fontId="0" fillId="4" borderId="1" xfId="0" applyFont="1" applyFill="1" applyBorder="1" applyAlignment="1"/>
    <xf numFmtId="0" fontId="7" fillId="4" borderId="1" xfId="0" applyFont="1" applyFill="1" applyBorder="1"/>
    <xf numFmtId="0" fontId="6" fillId="4" borderId="1" xfId="0" applyFont="1" applyFill="1" applyBorder="1"/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0" fillId="8" borderId="1" xfId="0" applyFill="1" applyBorder="1" applyAlignment="1"/>
    <xf numFmtId="1" fontId="0" fillId="8" borderId="1" xfId="0" applyNumberFormat="1" applyFill="1" applyBorder="1" applyAlignment="1">
      <alignment horizontal="right"/>
    </xf>
    <xf numFmtId="14" fontId="0" fillId="8" borderId="1" xfId="0" applyNumberFormat="1" applyFill="1" applyBorder="1"/>
    <xf numFmtId="164" fontId="0" fillId="8" borderId="1" xfId="0" applyNumberFormat="1" applyFill="1" applyBorder="1"/>
    <xf numFmtId="0" fontId="0" fillId="8" borderId="0" xfId="0" applyFill="1"/>
    <xf numFmtId="0" fontId="6" fillId="8" borderId="1" xfId="0" applyFont="1" applyFill="1" applyBorder="1"/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0" fillId="9" borderId="1" xfId="0" applyFill="1" applyBorder="1" applyAlignment="1"/>
    <xf numFmtId="1" fontId="0" fillId="9" borderId="1" xfId="0" applyNumberFormat="1" applyFill="1" applyBorder="1" applyAlignment="1">
      <alignment horizontal="right"/>
    </xf>
    <xf numFmtId="14" fontId="0" fillId="9" borderId="1" xfId="0" applyNumberFormat="1" applyFill="1" applyBorder="1"/>
    <xf numFmtId="164" fontId="0" fillId="9" borderId="1" xfId="0" applyNumberFormat="1" applyFill="1" applyBorder="1"/>
    <xf numFmtId="0" fontId="0" fillId="9" borderId="0" xfId="0" applyFill="1"/>
    <xf numFmtId="0" fontId="6" fillId="9" borderId="1" xfId="0" applyFont="1" applyFill="1" applyBorder="1"/>
    <xf numFmtId="0" fontId="0" fillId="10" borderId="1" xfId="0" applyFill="1" applyBorder="1"/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/>
    <xf numFmtId="1" fontId="0" fillId="10" borderId="1" xfId="0" applyNumberFormat="1" applyFill="1" applyBorder="1" applyAlignment="1">
      <alignment horizontal="right"/>
    </xf>
    <xf numFmtId="14" fontId="0" fillId="10" borderId="1" xfId="0" applyNumberFormat="1" applyFill="1" applyBorder="1"/>
    <xf numFmtId="164" fontId="0" fillId="10" borderId="1" xfId="0" applyNumberFormat="1" applyFill="1" applyBorder="1"/>
    <xf numFmtId="0" fontId="0" fillId="10" borderId="0" xfId="0" applyFill="1"/>
    <xf numFmtId="0" fontId="0" fillId="10" borderId="1" xfId="0" applyFont="1" applyFill="1" applyBorder="1" applyAlignment="1"/>
    <xf numFmtId="0" fontId="6" fillId="10" borderId="1" xfId="0" applyFont="1" applyFill="1" applyBorder="1"/>
    <xf numFmtId="0" fontId="0" fillId="11" borderId="1" xfId="0" applyFill="1" applyBorder="1" applyAlignment="1">
      <alignment horizontal="center"/>
    </xf>
    <xf numFmtId="0" fontId="0" fillId="11" borderId="1" xfId="0" applyFill="1" applyBorder="1" applyAlignment="1"/>
    <xf numFmtId="0" fontId="6" fillId="0" borderId="1" xfId="0" applyFont="1" applyBorder="1"/>
    <xf numFmtId="0" fontId="7" fillId="10" borderId="1" xfId="0" applyFont="1" applyFill="1" applyBorder="1"/>
    <xf numFmtId="0" fontId="7" fillId="6" borderId="1" xfId="0" applyFont="1" applyFill="1" applyBorder="1"/>
    <xf numFmtId="0" fontId="6" fillId="6" borderId="1" xfId="0" applyFont="1" applyFill="1" applyBorder="1"/>
    <xf numFmtId="0" fontId="6" fillId="6" borderId="1" xfId="0" applyFont="1" applyFill="1" applyBorder="1" applyAlignment="1">
      <alignment horizontal="center"/>
    </xf>
    <xf numFmtId="0" fontId="6" fillId="6" borderId="1" xfId="0" applyFont="1" applyFill="1" applyBorder="1" applyAlignment="1"/>
    <xf numFmtId="1" fontId="6" fillId="6" borderId="1" xfId="0" applyNumberFormat="1" applyFont="1" applyFill="1" applyBorder="1" applyAlignment="1">
      <alignment horizontal="right"/>
    </xf>
    <xf numFmtId="14" fontId="6" fillId="6" borderId="1" xfId="0" applyNumberFormat="1" applyFont="1" applyFill="1" applyBorder="1"/>
    <xf numFmtId="164" fontId="6" fillId="6" borderId="1" xfId="0" applyNumberFormat="1" applyFont="1" applyFill="1" applyBorder="1"/>
    <xf numFmtId="0" fontId="6" fillId="6" borderId="0" xfId="0" applyFont="1" applyFill="1"/>
    <xf numFmtId="0" fontId="0" fillId="12" borderId="1" xfId="0" applyFill="1" applyBorder="1"/>
    <xf numFmtId="0" fontId="0" fillId="12" borderId="1" xfId="0" applyFill="1" applyBorder="1" applyAlignment="1">
      <alignment horizontal="center"/>
    </xf>
    <xf numFmtId="0" fontId="0" fillId="12" borderId="1" xfId="0" applyFill="1" applyBorder="1" applyAlignment="1"/>
    <xf numFmtId="1" fontId="0" fillId="12" borderId="1" xfId="0" applyNumberFormat="1" applyFill="1" applyBorder="1" applyAlignment="1">
      <alignment horizontal="right"/>
    </xf>
    <xf numFmtId="14" fontId="0" fillId="12" borderId="1" xfId="0" applyNumberFormat="1" applyFill="1" applyBorder="1"/>
    <xf numFmtId="164" fontId="0" fillId="12" borderId="1" xfId="0" applyNumberFormat="1" applyFill="1" applyBorder="1"/>
    <xf numFmtId="0" fontId="0" fillId="12" borderId="0" xfId="0" applyFill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0" fontId="0" fillId="13" borderId="1" xfId="0" applyFill="1" applyBorder="1" applyAlignment="1"/>
    <xf numFmtId="1" fontId="0" fillId="13" borderId="1" xfId="0" applyNumberFormat="1" applyFill="1" applyBorder="1" applyAlignment="1">
      <alignment horizontal="right"/>
    </xf>
    <xf numFmtId="14" fontId="0" fillId="13" borderId="1" xfId="0" applyNumberFormat="1" applyFill="1" applyBorder="1"/>
    <xf numFmtId="164" fontId="0" fillId="13" borderId="1" xfId="0" applyNumberFormat="1" applyFill="1" applyBorder="1"/>
    <xf numFmtId="0" fontId="0" fillId="13" borderId="0" xfId="0" applyFill="1"/>
    <xf numFmtId="0" fontId="0" fillId="5" borderId="1" xfId="0" applyFont="1" applyFill="1" applyBorder="1" applyAlignment="1"/>
    <xf numFmtId="0" fontId="0" fillId="11" borderId="1" xfId="0" applyFill="1" applyBorder="1"/>
    <xf numFmtId="1" fontId="0" fillId="11" borderId="1" xfId="0" applyNumberFormat="1" applyFill="1" applyBorder="1" applyAlignment="1">
      <alignment horizontal="right"/>
    </xf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11" borderId="0" xfId="0" applyFill="1"/>
    <xf numFmtId="0" fontId="0" fillId="2" borderId="1" xfId="0" applyFill="1" applyBorder="1" applyAlignment="1">
      <alignment horizontal="center"/>
    </xf>
    <xf numFmtId="0" fontId="6" fillId="9" borderId="1" xfId="0" applyFont="1" applyFill="1" applyBorder="1" applyAlignment="1"/>
    <xf numFmtId="14" fontId="0" fillId="2" borderId="1" xfId="0" applyNumberFormat="1" applyFill="1" applyBorder="1"/>
    <xf numFmtId="0" fontId="0" fillId="14" borderId="1" xfId="0" applyFill="1" applyBorder="1"/>
    <xf numFmtId="0" fontId="0" fillId="14" borderId="1" xfId="0" applyFill="1" applyBorder="1" applyAlignment="1">
      <alignment horizontal="center"/>
    </xf>
    <xf numFmtId="0" fontId="0" fillId="14" borderId="1" xfId="0" applyFill="1" applyBorder="1" applyAlignment="1"/>
    <xf numFmtId="1" fontId="0" fillId="14" borderId="1" xfId="0" applyNumberFormat="1" applyFill="1" applyBorder="1" applyAlignment="1">
      <alignment horizontal="right"/>
    </xf>
    <xf numFmtId="14" fontId="0" fillId="14" borderId="1" xfId="0" applyNumberFormat="1" applyFill="1" applyBorder="1"/>
    <xf numFmtId="164" fontId="0" fillId="14" borderId="1" xfId="0" applyNumberFormat="1" applyFill="1" applyBorder="1"/>
    <xf numFmtId="0" fontId="0" fillId="14" borderId="0" xfId="0" applyFill="1"/>
    <xf numFmtId="0" fontId="6" fillId="10" borderId="1" xfId="0" applyFont="1" applyFill="1" applyBorder="1" applyAlignment="1"/>
    <xf numFmtId="0" fontId="6" fillId="0" borderId="1" xfId="0" applyFont="1" applyBorder="1" applyAlignment="1">
      <alignment horizontal="center"/>
    </xf>
    <xf numFmtId="0" fontId="0" fillId="15" borderId="1" xfId="0" applyFill="1" applyBorder="1"/>
    <xf numFmtId="0" fontId="0" fillId="16" borderId="1" xfId="0" applyFill="1" applyBorder="1"/>
    <xf numFmtId="0" fontId="0" fillId="16" borderId="1" xfId="0" applyFill="1" applyBorder="1" applyAlignment="1">
      <alignment horizontal="center"/>
    </xf>
    <xf numFmtId="0" fontId="0" fillId="16" borderId="1" xfId="0" applyFill="1" applyBorder="1" applyAlignment="1"/>
    <xf numFmtId="1" fontId="0" fillId="16" borderId="1" xfId="0" applyNumberFormat="1" applyFill="1" applyBorder="1" applyAlignment="1">
      <alignment horizontal="right"/>
    </xf>
    <xf numFmtId="14" fontId="0" fillId="16" borderId="1" xfId="0" applyNumberFormat="1" applyFill="1" applyBorder="1"/>
    <xf numFmtId="164" fontId="0" fillId="16" borderId="1" xfId="0" applyNumberFormat="1" applyFill="1" applyBorder="1"/>
    <xf numFmtId="0" fontId="0" fillId="16" borderId="0" xfId="0" applyFill="1"/>
    <xf numFmtId="0" fontId="0" fillId="0" borderId="1" xfId="0" applyFill="1" applyBorder="1" applyAlignment="1">
      <alignment horizontal="right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Обычный 2" xfId="1" xr:uid="{00000000-0005-0000-0000-000001000000}"/>
  </cellStyles>
  <dxfs count="0"/>
  <tableStyles count="0" defaultTableStyle="TableStyleMedium9" defaultPivotStyle="PivotStyleLight16"/>
  <colors>
    <mruColors>
      <color rgb="FFFF66CC"/>
      <color rgb="FF00FF99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'2019'!$G$554:$G$555</c:f>
            </c:numRef>
          </c:val>
          <c:extLst>
            <c:ext xmlns:c16="http://schemas.microsoft.com/office/drawing/2014/chart" uri="{C3380CC4-5D6E-409C-BE32-E72D297353CC}">
              <c16:uniqueId val="{00000000-88BD-462B-B542-7F794B0A6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458880"/>
        <c:axId val="164460416"/>
      </c:barChart>
      <c:catAx>
        <c:axId val="164458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64460416"/>
        <c:crosses val="autoZero"/>
        <c:auto val="1"/>
        <c:lblAlgn val="ctr"/>
        <c:lblOffset val="100"/>
        <c:noMultiLvlLbl val="0"/>
      </c:catAx>
      <c:valAx>
        <c:axId val="16446041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6445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'2019'!$G$554:$G$555</c:f>
            </c:numRef>
          </c:val>
          <c:extLst>
            <c:ext xmlns:c16="http://schemas.microsoft.com/office/drawing/2014/chart" uri="{C3380CC4-5D6E-409C-BE32-E72D297353CC}">
              <c16:uniqueId val="{00000000-3917-4A3F-BE71-516B2CF4A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087104"/>
        <c:axId val="165088640"/>
      </c:barChart>
      <c:catAx>
        <c:axId val="165087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65088640"/>
        <c:crosses val="autoZero"/>
        <c:auto val="1"/>
        <c:lblAlgn val="ctr"/>
        <c:lblOffset val="100"/>
        <c:noMultiLvlLbl val="0"/>
      </c:catAx>
      <c:valAx>
        <c:axId val="16508864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65087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53492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53492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O1496"/>
  <sheetViews>
    <sheetView tabSelected="1" zoomScaleNormal="100" workbookViewId="0">
      <pane xSplit="1" topLeftCell="B1" activePane="topRight" state="frozen"/>
      <selection pane="topRight" activeCell="P334" sqref="P334"/>
    </sheetView>
  </sheetViews>
  <sheetFormatPr defaultRowHeight="15" x14ac:dyDescent="0.2"/>
  <cols>
    <col min="1" max="1" width="12.21875" style="1" customWidth="1"/>
    <col min="2" max="2" width="8.44140625" style="2" customWidth="1"/>
    <col min="3" max="3" width="7.44140625" style="2" customWidth="1"/>
    <col min="4" max="4" width="9.5546875" style="7" customWidth="1"/>
    <col min="5" max="6" width="10.6640625" style="1" customWidth="1"/>
    <col min="7" max="7" width="6.6640625" style="41" customWidth="1"/>
    <col min="8" max="8" width="16.109375" style="1" customWidth="1"/>
    <col min="9" max="9" width="12" style="1" customWidth="1"/>
    <col min="10" max="10" width="15.5546875" style="16" customWidth="1"/>
    <col min="11" max="11" width="11" style="1" customWidth="1"/>
    <col min="12" max="12" width="12.109375" style="10" customWidth="1"/>
    <col min="13" max="13" width="8.88671875" style="10"/>
    <col min="14" max="14" width="8.88671875" style="29"/>
    <col min="15" max="15" width="8.88671875" style="12"/>
  </cols>
  <sheetData>
    <row r="1" spans="1:14" ht="26.25" customHeight="1" x14ac:dyDescent="0.2">
      <c r="A1" s="160" t="s">
        <v>92</v>
      </c>
      <c r="B1" s="161" t="s">
        <v>93</v>
      </c>
      <c r="C1" s="33" t="s">
        <v>0</v>
      </c>
      <c r="D1" s="162" t="s">
        <v>94</v>
      </c>
      <c r="E1" s="162" t="s">
        <v>95</v>
      </c>
      <c r="F1" s="24"/>
      <c r="G1" s="39"/>
      <c r="H1" s="25" t="s">
        <v>1</v>
      </c>
      <c r="I1" s="160" t="s">
        <v>96</v>
      </c>
      <c r="J1" s="163" t="s">
        <v>41</v>
      </c>
      <c r="K1" s="160">
        <v>340</v>
      </c>
      <c r="L1" s="13" t="s">
        <v>26</v>
      </c>
      <c r="M1" s="11"/>
      <c r="N1" s="27" t="s">
        <v>27</v>
      </c>
    </row>
    <row r="2" spans="1:14" ht="15.75" customHeight="1" x14ac:dyDescent="0.2">
      <c r="A2" s="160"/>
      <c r="B2" s="161"/>
      <c r="C2" s="44"/>
      <c r="D2" s="162"/>
      <c r="E2" s="162"/>
      <c r="F2" s="24"/>
      <c r="G2" s="39"/>
      <c r="H2" s="25" t="s">
        <v>2</v>
      </c>
      <c r="I2" s="160"/>
      <c r="J2" s="163"/>
      <c r="K2" s="160"/>
      <c r="L2" s="13"/>
      <c r="M2" s="10">
        <f>L2*C2</f>
        <v>0</v>
      </c>
      <c r="N2" s="15"/>
    </row>
    <row r="3" spans="1:14" ht="15.75" customHeight="1" x14ac:dyDescent="0.2">
      <c r="A3" s="160"/>
      <c r="B3" s="161"/>
      <c r="C3" s="26"/>
      <c r="D3" s="162"/>
      <c r="E3" s="162"/>
      <c r="F3" s="24"/>
      <c r="G3" s="39"/>
      <c r="H3" s="25" t="s">
        <v>3</v>
      </c>
      <c r="I3" s="160"/>
      <c r="J3" s="163"/>
      <c r="K3" s="160"/>
      <c r="L3" s="10">
        <v>1</v>
      </c>
      <c r="M3" s="10">
        <f>L3*C3</f>
        <v>0</v>
      </c>
      <c r="N3" s="29" t="e">
        <f>(D3-E3)/(M3*0.17)</f>
        <v>#DIV/0!</v>
      </c>
    </row>
    <row r="4" spans="1:14" s="28" customFormat="1" ht="15" hidden="1" customHeight="1" x14ac:dyDescent="0.2">
      <c r="A4" s="18" t="s">
        <v>58</v>
      </c>
      <c r="B4" s="19" t="s">
        <v>40</v>
      </c>
      <c r="C4" s="19">
        <v>1380</v>
      </c>
      <c r="D4" s="35">
        <f>1000-500</f>
        <v>500</v>
      </c>
      <c r="E4" s="18">
        <f>306.2</f>
        <v>306.2</v>
      </c>
      <c r="F4" s="18" t="s">
        <v>316</v>
      </c>
      <c r="G4" s="40"/>
      <c r="H4" s="18" t="s">
        <v>72</v>
      </c>
      <c r="I4" s="17">
        <v>43250</v>
      </c>
      <c r="J4" s="18" t="s">
        <v>49</v>
      </c>
      <c r="K4" s="18"/>
      <c r="L4" s="18">
        <v>1</v>
      </c>
      <c r="M4" s="18">
        <f>L4*C4</f>
        <v>1380</v>
      </c>
      <c r="N4" s="32">
        <f>(D4-E4)/(M4*0.17)</f>
        <v>0.82608695652173914</v>
      </c>
    </row>
    <row r="5" spans="1:14" s="28" customFormat="1" ht="15" hidden="1" customHeight="1" x14ac:dyDescent="0.2">
      <c r="A5" s="18" t="s">
        <v>64</v>
      </c>
      <c r="B5" s="19" t="s">
        <v>39</v>
      </c>
      <c r="C5" s="19">
        <v>500</v>
      </c>
      <c r="D5" s="22">
        <v>5</v>
      </c>
      <c r="E5" s="18" t="s">
        <v>20</v>
      </c>
      <c r="F5" s="18" t="s">
        <v>143</v>
      </c>
      <c r="G5" s="40"/>
      <c r="H5" s="18" t="s">
        <v>66</v>
      </c>
      <c r="I5" s="17">
        <v>43286</v>
      </c>
      <c r="J5" s="18" t="s">
        <v>65</v>
      </c>
      <c r="K5" s="18"/>
      <c r="L5" s="18">
        <v>1</v>
      </c>
      <c r="M5" s="18">
        <f>L5*C5</f>
        <v>500</v>
      </c>
      <c r="N5" s="32" t="e">
        <f>(D5-E5)/(M5*0.17)</f>
        <v>#VALUE!</v>
      </c>
    </row>
    <row r="6" spans="1:14" s="28" customFormat="1" ht="14.25" hidden="1" customHeight="1" x14ac:dyDescent="0.2">
      <c r="A6" s="18" t="s">
        <v>67</v>
      </c>
      <c r="B6" s="19" t="s">
        <v>40</v>
      </c>
      <c r="C6" s="19">
        <v>1020</v>
      </c>
      <c r="D6" s="22">
        <v>3000</v>
      </c>
      <c r="E6" s="18">
        <f>1056.5</f>
        <v>1056.5</v>
      </c>
      <c r="F6" s="18" t="s">
        <v>316</v>
      </c>
      <c r="G6" s="40"/>
      <c r="H6" s="18" t="s">
        <v>24</v>
      </c>
      <c r="I6" s="17">
        <v>43290</v>
      </c>
      <c r="J6" s="18" t="s">
        <v>68</v>
      </c>
      <c r="K6" s="18"/>
      <c r="L6" s="18">
        <v>1</v>
      </c>
      <c r="M6" s="18">
        <f t="shared" ref="M6:M11" si="0">L6*C6</f>
        <v>1020</v>
      </c>
      <c r="N6" s="32">
        <f t="shared" ref="N6:N11" si="1">(D6-E6)/(M6*0.17)</f>
        <v>11.208189158016147</v>
      </c>
    </row>
    <row r="7" spans="1:14" s="28" customFormat="1" ht="15" hidden="1" customHeight="1" x14ac:dyDescent="0.2">
      <c r="A7" s="18" t="s">
        <v>67</v>
      </c>
      <c r="B7" s="19" t="s">
        <v>40</v>
      </c>
      <c r="C7" s="19">
        <v>1230</v>
      </c>
      <c r="D7" s="22">
        <v>2000</v>
      </c>
      <c r="E7" s="18"/>
      <c r="F7" s="18" t="s">
        <v>316</v>
      </c>
      <c r="G7" s="40"/>
      <c r="H7" s="18" t="s">
        <v>24</v>
      </c>
      <c r="I7" s="17">
        <v>43290</v>
      </c>
      <c r="J7" s="18" t="s">
        <v>68</v>
      </c>
      <c r="K7" s="18"/>
      <c r="L7" s="18">
        <v>1</v>
      </c>
      <c r="M7" s="18">
        <f t="shared" si="0"/>
        <v>1230</v>
      </c>
      <c r="N7" s="32">
        <f t="shared" si="1"/>
        <v>9.5648015303682445</v>
      </c>
    </row>
    <row r="8" spans="1:14" s="28" customFormat="1" ht="15" hidden="1" customHeight="1" x14ac:dyDescent="0.2">
      <c r="A8" s="18" t="s">
        <v>67</v>
      </c>
      <c r="B8" s="19" t="s">
        <v>40</v>
      </c>
      <c r="C8" s="19">
        <v>1240</v>
      </c>
      <c r="D8" s="22">
        <v>2000</v>
      </c>
      <c r="E8" s="18"/>
      <c r="F8" s="18" t="s">
        <v>316</v>
      </c>
      <c r="G8" s="40"/>
      <c r="H8" s="18" t="s">
        <v>24</v>
      </c>
      <c r="I8" s="17">
        <v>43290</v>
      </c>
      <c r="J8" s="18" t="s">
        <v>68</v>
      </c>
      <c r="K8" s="18"/>
      <c r="L8" s="18">
        <v>1</v>
      </c>
      <c r="M8" s="18">
        <f t="shared" si="0"/>
        <v>1240</v>
      </c>
      <c r="N8" s="32">
        <f t="shared" si="1"/>
        <v>9.4876660341555965</v>
      </c>
    </row>
    <row r="9" spans="1:14" s="28" customFormat="1" ht="15" hidden="1" customHeight="1" x14ac:dyDescent="0.2">
      <c r="A9" s="18" t="s">
        <v>67</v>
      </c>
      <c r="B9" s="19" t="s">
        <v>40</v>
      </c>
      <c r="C9" s="19">
        <v>1242</v>
      </c>
      <c r="D9" s="22">
        <v>2000</v>
      </c>
      <c r="E9" s="18"/>
      <c r="F9" s="18" t="s">
        <v>316</v>
      </c>
      <c r="G9" s="40"/>
      <c r="H9" s="18" t="s">
        <v>24</v>
      </c>
      <c r="I9" s="17">
        <v>43290</v>
      </c>
      <c r="J9" s="18" t="s">
        <v>68</v>
      </c>
      <c r="K9" s="18"/>
      <c r="L9" s="18">
        <v>1</v>
      </c>
      <c r="M9" s="18">
        <f t="shared" si="0"/>
        <v>1242</v>
      </c>
      <c r="N9" s="32">
        <f t="shared" si="1"/>
        <v>9.4723879890120291</v>
      </c>
    </row>
    <row r="10" spans="1:14" s="28" customFormat="1" ht="15" hidden="1" customHeight="1" x14ac:dyDescent="0.2">
      <c r="A10" s="18" t="s">
        <v>67</v>
      </c>
      <c r="B10" s="19" t="s">
        <v>40</v>
      </c>
      <c r="C10" s="19">
        <v>1300</v>
      </c>
      <c r="D10" s="22">
        <v>3000</v>
      </c>
      <c r="E10" s="18"/>
      <c r="F10" s="18" t="s">
        <v>316</v>
      </c>
      <c r="G10" s="40"/>
      <c r="H10" s="18" t="s">
        <v>24</v>
      </c>
      <c r="I10" s="17">
        <v>43290</v>
      </c>
      <c r="J10" s="18" t="s">
        <v>68</v>
      </c>
      <c r="K10" s="18"/>
      <c r="L10" s="18">
        <v>1</v>
      </c>
      <c r="M10" s="18">
        <f t="shared" si="0"/>
        <v>1300</v>
      </c>
      <c r="N10" s="32">
        <f t="shared" si="1"/>
        <v>13.574660633484161</v>
      </c>
    </row>
    <row r="11" spans="1:14" s="28" customFormat="1" ht="15" hidden="1" customHeight="1" x14ac:dyDescent="0.2">
      <c r="A11" s="18" t="s">
        <v>67</v>
      </c>
      <c r="B11" s="19" t="s">
        <v>40</v>
      </c>
      <c r="C11" s="19">
        <v>1320</v>
      </c>
      <c r="D11" s="22">
        <v>3000</v>
      </c>
      <c r="E11" s="18">
        <f>868.3</f>
        <v>868.3</v>
      </c>
      <c r="F11" s="18" t="s">
        <v>316</v>
      </c>
      <c r="G11" s="40"/>
      <c r="H11" s="18" t="s">
        <v>24</v>
      </c>
      <c r="I11" s="17">
        <v>43290</v>
      </c>
      <c r="J11" s="18" t="s">
        <v>68</v>
      </c>
      <c r="K11" s="18"/>
      <c r="L11" s="18">
        <v>1</v>
      </c>
      <c r="M11" s="18">
        <f t="shared" si="0"/>
        <v>1320</v>
      </c>
      <c r="N11" s="32">
        <f t="shared" si="1"/>
        <v>9.4995543672014247</v>
      </c>
    </row>
    <row r="12" spans="1:14" s="28" customFormat="1" ht="15" hidden="1" customHeight="1" x14ac:dyDescent="0.2">
      <c r="A12" s="18" t="s">
        <v>69</v>
      </c>
      <c r="B12" s="19" t="s">
        <v>40</v>
      </c>
      <c r="C12" s="19">
        <v>820</v>
      </c>
      <c r="D12" s="22">
        <f>10000+5000-5000-1000</f>
        <v>9000</v>
      </c>
      <c r="E12" s="18">
        <f>1215.1+694.6+1590.6+371.2+174.7+180+190.5+183.8+165.6+1577.9</f>
        <v>6344</v>
      </c>
      <c r="F12" s="18" t="s">
        <v>316</v>
      </c>
      <c r="G12" s="40"/>
      <c r="H12" s="18"/>
      <c r="I12" s="18" t="s">
        <v>70</v>
      </c>
      <c r="J12" s="18" t="s">
        <v>31</v>
      </c>
      <c r="K12" s="18"/>
      <c r="L12" s="18">
        <v>1</v>
      </c>
      <c r="M12" s="18">
        <f t="shared" ref="M12:M52" si="2">L12*C12</f>
        <v>820</v>
      </c>
      <c r="N12" s="32">
        <f t="shared" ref="N12:N17" si="3">(D12-E12)/(M12*0.17)</f>
        <v>19.053084648493542</v>
      </c>
    </row>
    <row r="13" spans="1:14" s="28" customFormat="1" ht="15" hidden="1" customHeight="1" x14ac:dyDescent="0.2">
      <c r="A13" s="18" t="s">
        <v>54</v>
      </c>
      <c r="B13" s="19" t="s">
        <v>36</v>
      </c>
      <c r="C13" s="19">
        <v>350</v>
      </c>
      <c r="D13" s="21">
        <f>10000</f>
        <v>10000</v>
      </c>
      <c r="E13" s="18">
        <f>926+1188.3+3273.3+2742+859.4</f>
        <v>8989</v>
      </c>
      <c r="F13" s="18" t="s">
        <v>8</v>
      </c>
      <c r="G13" s="40"/>
      <c r="H13" s="18">
        <v>6015.3</v>
      </c>
      <c r="I13" s="17">
        <v>43294</v>
      </c>
      <c r="J13" s="18" t="s">
        <v>55</v>
      </c>
      <c r="K13" s="18"/>
      <c r="L13" s="18">
        <v>3</v>
      </c>
      <c r="M13" s="18">
        <f t="shared" si="2"/>
        <v>1050</v>
      </c>
      <c r="N13" s="32">
        <f t="shared" si="3"/>
        <v>5.6638655462184877</v>
      </c>
    </row>
    <row r="14" spans="1:14" s="28" customFormat="1" ht="15" hidden="1" customHeight="1" x14ac:dyDescent="0.2">
      <c r="A14" s="18" t="s">
        <v>56</v>
      </c>
      <c r="B14" s="19" t="s">
        <v>40</v>
      </c>
      <c r="C14" s="19">
        <v>1200</v>
      </c>
      <c r="D14" s="22">
        <v>3000</v>
      </c>
      <c r="E14" s="18" t="s">
        <v>23</v>
      </c>
      <c r="F14" s="18" t="s">
        <v>316</v>
      </c>
      <c r="G14" s="40"/>
      <c r="H14" s="18"/>
      <c r="I14" s="17">
        <v>43301</v>
      </c>
      <c r="J14" s="18" t="s">
        <v>55</v>
      </c>
      <c r="K14" s="18"/>
      <c r="L14" s="18">
        <v>1</v>
      </c>
      <c r="M14" s="18">
        <f t="shared" si="2"/>
        <v>1200</v>
      </c>
      <c r="N14" s="32" t="e">
        <f t="shared" si="3"/>
        <v>#VALUE!</v>
      </c>
    </row>
    <row r="15" spans="1:14" s="28" customFormat="1" ht="15" hidden="1" customHeight="1" x14ac:dyDescent="0.2">
      <c r="A15" s="18" t="s">
        <v>74</v>
      </c>
      <c r="B15" s="19" t="s">
        <v>40</v>
      </c>
      <c r="C15" s="19">
        <v>1220</v>
      </c>
      <c r="D15" s="22">
        <v>400</v>
      </c>
      <c r="E15" s="18"/>
      <c r="F15" s="18" t="s">
        <v>123</v>
      </c>
      <c r="G15" s="40"/>
      <c r="H15" s="18"/>
      <c r="I15" s="17">
        <v>43307</v>
      </c>
      <c r="J15" s="18" t="s">
        <v>13</v>
      </c>
      <c r="K15" s="18"/>
      <c r="L15" s="18">
        <v>1</v>
      </c>
      <c r="M15" s="18">
        <f t="shared" si="2"/>
        <v>1220</v>
      </c>
      <c r="N15" s="32">
        <f t="shared" si="3"/>
        <v>1.9286403085824493</v>
      </c>
    </row>
    <row r="16" spans="1:14" s="28" customFormat="1" ht="15" hidden="1" customHeight="1" x14ac:dyDescent="0.2">
      <c r="A16" s="18" t="s">
        <v>73</v>
      </c>
      <c r="B16" s="19" t="s">
        <v>40</v>
      </c>
      <c r="C16" s="19">
        <v>820</v>
      </c>
      <c r="D16" s="22">
        <v>5000</v>
      </c>
      <c r="E16" s="18">
        <f>1948</f>
        <v>1948</v>
      </c>
      <c r="F16" s="18" t="s">
        <v>316</v>
      </c>
      <c r="G16" s="40">
        <v>3</v>
      </c>
      <c r="H16" s="18"/>
      <c r="I16" s="17">
        <v>43311</v>
      </c>
      <c r="J16" s="18" t="s">
        <v>31</v>
      </c>
      <c r="K16" s="18"/>
      <c r="L16" s="18">
        <v>1</v>
      </c>
      <c r="M16" s="18">
        <f t="shared" si="2"/>
        <v>820</v>
      </c>
      <c r="N16" s="32">
        <f t="shared" si="3"/>
        <v>21.893830703012913</v>
      </c>
    </row>
    <row r="17" spans="1:14" s="28" customFormat="1" ht="15" hidden="1" customHeight="1" x14ac:dyDescent="0.2">
      <c r="A17" s="18" t="s">
        <v>75</v>
      </c>
      <c r="B17" s="19" t="s">
        <v>40</v>
      </c>
      <c r="C17" s="19">
        <v>950</v>
      </c>
      <c r="D17" s="22">
        <v>1000</v>
      </c>
      <c r="E17" s="18">
        <f>214</f>
        <v>214</v>
      </c>
      <c r="F17" s="18" t="s">
        <v>316</v>
      </c>
      <c r="G17" s="40"/>
      <c r="H17" s="18" t="s">
        <v>28</v>
      </c>
      <c r="I17" s="17">
        <v>43314</v>
      </c>
      <c r="J17" s="18" t="s">
        <v>59</v>
      </c>
      <c r="K17" s="18"/>
      <c r="L17" s="18">
        <v>1</v>
      </c>
      <c r="M17" s="18">
        <f t="shared" si="2"/>
        <v>950</v>
      </c>
      <c r="N17" s="32">
        <f t="shared" si="3"/>
        <v>4.8668730650154801</v>
      </c>
    </row>
    <row r="18" spans="1:14" s="28" customFormat="1" ht="0.75" hidden="1" customHeight="1" x14ac:dyDescent="0.2">
      <c r="A18" s="18" t="s">
        <v>75</v>
      </c>
      <c r="B18" s="19" t="s">
        <v>36</v>
      </c>
      <c r="C18" s="19">
        <v>1260</v>
      </c>
      <c r="D18" s="22">
        <v>500</v>
      </c>
      <c r="E18" s="18"/>
      <c r="F18" s="18"/>
      <c r="G18" s="40"/>
      <c r="H18" s="18" t="s">
        <v>28</v>
      </c>
      <c r="I18" s="17">
        <v>43314</v>
      </c>
      <c r="J18" s="18" t="s">
        <v>59</v>
      </c>
      <c r="K18" s="18"/>
      <c r="L18" s="18">
        <v>1</v>
      </c>
      <c r="M18" s="18">
        <f t="shared" si="2"/>
        <v>1260</v>
      </c>
      <c r="N18" s="32"/>
    </row>
    <row r="19" spans="1:14" s="28" customFormat="1" ht="15" hidden="1" customHeight="1" x14ac:dyDescent="0.2">
      <c r="A19" s="18" t="s">
        <v>77</v>
      </c>
      <c r="B19" s="19" t="s">
        <v>40</v>
      </c>
      <c r="C19" s="19">
        <v>720</v>
      </c>
      <c r="D19" s="22">
        <v>1500</v>
      </c>
      <c r="E19" s="18">
        <f>630.7+332.1</f>
        <v>962.80000000000007</v>
      </c>
      <c r="F19" s="18" t="s">
        <v>123</v>
      </c>
      <c r="G19" s="40"/>
      <c r="H19" s="18"/>
      <c r="I19" s="17">
        <v>43319</v>
      </c>
      <c r="J19" s="18" t="s">
        <v>13</v>
      </c>
      <c r="K19" s="18"/>
      <c r="L19" s="18">
        <v>1</v>
      </c>
      <c r="M19" s="18">
        <f t="shared" si="2"/>
        <v>720</v>
      </c>
      <c r="N19" s="32">
        <f t="shared" ref="N19:N52" si="4">(D19-E19)/(M19*0.17)</f>
        <v>4.3888888888888884</v>
      </c>
    </row>
    <row r="20" spans="1:14" s="28" customFormat="1" ht="15" hidden="1" customHeight="1" x14ac:dyDescent="0.2">
      <c r="A20" s="18" t="s">
        <v>78</v>
      </c>
      <c r="B20" s="19" t="s">
        <v>39</v>
      </c>
      <c r="C20" s="19">
        <v>395</v>
      </c>
      <c r="D20" s="22">
        <v>500</v>
      </c>
      <c r="E20" s="18"/>
      <c r="F20" s="18" t="s">
        <v>143</v>
      </c>
      <c r="G20" s="40"/>
      <c r="H20" s="18"/>
      <c r="I20" s="17">
        <v>43320</v>
      </c>
      <c r="J20" s="18" t="s">
        <v>21</v>
      </c>
      <c r="K20" s="18"/>
      <c r="L20" s="18">
        <v>1</v>
      </c>
      <c r="M20" s="18">
        <f t="shared" si="2"/>
        <v>395</v>
      </c>
      <c r="N20" s="32">
        <f t="shared" si="4"/>
        <v>7.4460163812360385</v>
      </c>
    </row>
    <row r="21" spans="1:14" s="28" customFormat="1" ht="15" hidden="1" customHeight="1" x14ac:dyDescent="0.2">
      <c r="A21" s="18" t="s">
        <v>79</v>
      </c>
      <c r="B21" s="19" t="s">
        <v>40</v>
      </c>
      <c r="C21" s="19">
        <v>780</v>
      </c>
      <c r="D21" s="22">
        <v>500</v>
      </c>
      <c r="E21" s="18"/>
      <c r="F21" s="18" t="s">
        <v>123</v>
      </c>
      <c r="G21" s="40"/>
      <c r="H21" s="18"/>
      <c r="I21" s="17">
        <v>43321</v>
      </c>
      <c r="J21" s="18" t="s">
        <v>13</v>
      </c>
      <c r="K21" s="18"/>
      <c r="L21" s="18">
        <v>1</v>
      </c>
      <c r="M21" s="18">
        <f t="shared" si="2"/>
        <v>780</v>
      </c>
      <c r="N21" s="32">
        <f t="shared" si="4"/>
        <v>3.7707390648567114</v>
      </c>
    </row>
    <row r="22" spans="1:14" s="28" customFormat="1" ht="15" hidden="1" customHeight="1" x14ac:dyDescent="0.2">
      <c r="A22" s="18" t="s">
        <v>63</v>
      </c>
      <c r="B22" s="19" t="s">
        <v>39</v>
      </c>
      <c r="C22" s="19">
        <v>900</v>
      </c>
      <c r="D22" s="22">
        <v>300</v>
      </c>
      <c r="E22" s="18"/>
      <c r="F22" s="18" t="s">
        <v>143</v>
      </c>
      <c r="G22" s="40"/>
      <c r="H22" s="18" t="s">
        <v>28</v>
      </c>
      <c r="I22" s="17">
        <v>43322</v>
      </c>
      <c r="J22" s="18" t="s">
        <v>17</v>
      </c>
      <c r="K22" s="18"/>
      <c r="L22" s="18">
        <v>1</v>
      </c>
      <c r="M22" s="18">
        <f t="shared" si="2"/>
        <v>900</v>
      </c>
      <c r="N22" s="32">
        <f t="shared" si="4"/>
        <v>1.9607843137254901</v>
      </c>
    </row>
    <row r="23" spans="1:14" s="28" customFormat="1" ht="15" hidden="1" customHeight="1" x14ac:dyDescent="0.2">
      <c r="A23" s="18" t="s">
        <v>61</v>
      </c>
      <c r="B23" s="19" t="s">
        <v>39</v>
      </c>
      <c r="C23" s="19">
        <v>600</v>
      </c>
      <c r="D23" s="22">
        <v>2500</v>
      </c>
      <c r="E23" s="18"/>
      <c r="F23" s="18" t="s">
        <v>232</v>
      </c>
      <c r="G23" s="40"/>
      <c r="H23" s="18" t="s">
        <v>35</v>
      </c>
      <c r="I23" s="17">
        <v>43327</v>
      </c>
      <c r="J23" s="18" t="s">
        <v>46</v>
      </c>
      <c r="K23" s="18"/>
      <c r="L23" s="18">
        <v>1</v>
      </c>
      <c r="M23" s="18">
        <f t="shared" si="2"/>
        <v>600</v>
      </c>
      <c r="N23" s="32">
        <f t="shared" si="4"/>
        <v>24.509803921568626</v>
      </c>
    </row>
    <row r="24" spans="1:14" s="28" customFormat="1" ht="15" hidden="1" customHeight="1" x14ac:dyDescent="0.2">
      <c r="A24" s="18" t="s">
        <v>76</v>
      </c>
      <c r="B24" s="19" t="s">
        <v>38</v>
      </c>
      <c r="C24" s="19">
        <v>700</v>
      </c>
      <c r="D24" s="22">
        <v>700</v>
      </c>
      <c r="E24" s="18"/>
      <c r="F24" s="18" t="s">
        <v>143</v>
      </c>
      <c r="G24" s="40"/>
      <c r="H24" s="18" t="s">
        <v>62</v>
      </c>
      <c r="I24" s="17">
        <v>43327</v>
      </c>
      <c r="J24" s="18" t="s">
        <v>34</v>
      </c>
      <c r="K24" s="18"/>
      <c r="L24" s="18">
        <v>1</v>
      </c>
      <c r="M24" s="18">
        <f t="shared" si="2"/>
        <v>700</v>
      </c>
      <c r="N24" s="32">
        <f t="shared" si="4"/>
        <v>5.8823529411764701</v>
      </c>
    </row>
    <row r="25" spans="1:14" s="28" customFormat="1" ht="15" hidden="1" customHeight="1" x14ac:dyDescent="0.2">
      <c r="A25" s="18" t="s">
        <v>60</v>
      </c>
      <c r="B25" s="19" t="s">
        <v>39</v>
      </c>
      <c r="C25" s="19">
        <v>350</v>
      </c>
      <c r="D25" s="22">
        <v>20</v>
      </c>
      <c r="E25" s="18" t="s">
        <v>8</v>
      </c>
      <c r="F25" s="18" t="s">
        <v>232</v>
      </c>
      <c r="G25" s="40"/>
      <c r="H25" s="18" t="s">
        <v>9</v>
      </c>
      <c r="I25" s="17">
        <v>43327</v>
      </c>
      <c r="J25" s="18" t="s">
        <v>5</v>
      </c>
      <c r="K25" s="18"/>
      <c r="L25" s="18">
        <v>1</v>
      </c>
      <c r="M25" s="18">
        <f t="shared" si="2"/>
        <v>350</v>
      </c>
      <c r="N25" s="32" t="e">
        <f t="shared" si="4"/>
        <v>#VALUE!</v>
      </c>
    </row>
    <row r="26" spans="1:14" s="28" customFormat="1" ht="15" hidden="1" customHeight="1" x14ac:dyDescent="0.2">
      <c r="A26" s="18" t="s">
        <v>80</v>
      </c>
      <c r="B26" s="19" t="s">
        <v>40</v>
      </c>
      <c r="C26" s="22">
        <v>1200</v>
      </c>
      <c r="D26" s="22">
        <v>2000</v>
      </c>
      <c r="E26" s="18">
        <f>537.7+1318.8</f>
        <v>1856.5</v>
      </c>
      <c r="F26" s="18" t="s">
        <v>123</v>
      </c>
      <c r="G26" s="40"/>
      <c r="H26" s="18"/>
      <c r="I26" s="17">
        <v>43328</v>
      </c>
      <c r="J26" s="18" t="s">
        <v>13</v>
      </c>
      <c r="K26" s="18"/>
      <c r="L26" s="18">
        <v>1</v>
      </c>
      <c r="M26" s="18">
        <f t="shared" si="2"/>
        <v>1200</v>
      </c>
      <c r="N26" s="32">
        <f t="shared" si="4"/>
        <v>0.70343137254901955</v>
      </c>
    </row>
    <row r="27" spans="1:14" s="28" customFormat="1" ht="15" hidden="1" customHeight="1" x14ac:dyDescent="0.2">
      <c r="A27" s="18" t="s">
        <v>58</v>
      </c>
      <c r="B27" s="19" t="s">
        <v>40</v>
      </c>
      <c r="C27" s="34">
        <v>1400</v>
      </c>
      <c r="D27" s="21">
        <v>1000</v>
      </c>
      <c r="E27" s="18"/>
      <c r="F27" s="18" t="s">
        <v>316</v>
      </c>
      <c r="G27" s="40"/>
      <c r="H27" s="18" t="s">
        <v>81</v>
      </c>
      <c r="I27" s="17">
        <v>43334</v>
      </c>
      <c r="J27" s="18" t="s">
        <v>49</v>
      </c>
      <c r="K27" s="18"/>
      <c r="L27" s="18">
        <v>1</v>
      </c>
      <c r="M27" s="18">
        <f t="shared" si="2"/>
        <v>1400</v>
      </c>
      <c r="N27" s="32">
        <f t="shared" si="4"/>
        <v>4.2016806722689068</v>
      </c>
    </row>
    <row r="28" spans="1:14" s="28" customFormat="1" ht="15" hidden="1" customHeight="1" x14ac:dyDescent="0.2">
      <c r="A28" s="18" t="s">
        <v>58</v>
      </c>
      <c r="B28" s="19" t="s">
        <v>40</v>
      </c>
      <c r="C28" s="34">
        <v>1300</v>
      </c>
      <c r="D28" s="21">
        <v>500</v>
      </c>
      <c r="E28" s="18"/>
      <c r="F28" s="18" t="s">
        <v>316</v>
      </c>
      <c r="G28" s="40"/>
      <c r="H28" s="18" t="s">
        <v>81</v>
      </c>
      <c r="I28" s="17">
        <v>43334</v>
      </c>
      <c r="J28" s="18" t="s">
        <v>49</v>
      </c>
      <c r="K28" s="18"/>
      <c r="L28" s="18">
        <v>1</v>
      </c>
      <c r="M28" s="18">
        <f t="shared" si="2"/>
        <v>1300</v>
      </c>
      <c r="N28" s="32">
        <f t="shared" si="4"/>
        <v>2.2624434389140267</v>
      </c>
    </row>
    <row r="29" spans="1:14" s="28" customFormat="1" ht="15" hidden="1" customHeight="1" x14ac:dyDescent="0.2">
      <c r="A29" s="18" t="s">
        <v>58</v>
      </c>
      <c r="B29" s="19" t="s">
        <v>40</v>
      </c>
      <c r="C29" s="34">
        <v>1200</v>
      </c>
      <c r="D29" s="21">
        <v>500</v>
      </c>
      <c r="E29" s="18"/>
      <c r="F29" s="18" t="s">
        <v>316</v>
      </c>
      <c r="G29" s="40"/>
      <c r="H29" s="18" t="s">
        <v>81</v>
      </c>
      <c r="I29" s="17">
        <v>43334</v>
      </c>
      <c r="J29" s="18" t="s">
        <v>49</v>
      </c>
      <c r="K29" s="18"/>
      <c r="L29" s="18">
        <v>1</v>
      </c>
      <c r="M29" s="18">
        <f t="shared" si="2"/>
        <v>1200</v>
      </c>
      <c r="N29" s="32">
        <f t="shared" si="4"/>
        <v>2.4509803921568625</v>
      </c>
    </row>
    <row r="30" spans="1:14" s="28" customFormat="1" ht="15" hidden="1" customHeight="1" x14ac:dyDescent="0.2">
      <c r="A30" s="18" t="s">
        <v>58</v>
      </c>
      <c r="B30" s="19" t="s">
        <v>39</v>
      </c>
      <c r="C30" s="34">
        <v>1200</v>
      </c>
      <c r="D30" s="21">
        <v>500</v>
      </c>
      <c r="E30" s="18"/>
      <c r="F30" s="18" t="s">
        <v>232</v>
      </c>
      <c r="G30" s="40"/>
      <c r="H30" s="18" t="s">
        <v>81</v>
      </c>
      <c r="I30" s="17">
        <v>43334</v>
      </c>
      <c r="J30" s="18" t="s">
        <v>49</v>
      </c>
      <c r="K30" s="18"/>
      <c r="L30" s="18">
        <v>1</v>
      </c>
      <c r="M30" s="18">
        <f t="shared" si="2"/>
        <v>1200</v>
      </c>
      <c r="N30" s="32">
        <f t="shared" si="4"/>
        <v>2.4509803921568625</v>
      </c>
    </row>
    <row r="31" spans="1:14" s="28" customFormat="1" ht="15" hidden="1" customHeight="1" x14ac:dyDescent="0.2">
      <c r="A31" s="18" t="s">
        <v>58</v>
      </c>
      <c r="B31" s="19" t="s">
        <v>39</v>
      </c>
      <c r="C31" s="34">
        <v>1260</v>
      </c>
      <c r="D31" s="21">
        <v>500</v>
      </c>
      <c r="E31" s="18"/>
      <c r="F31" s="18" t="s">
        <v>232</v>
      </c>
      <c r="G31" s="40"/>
      <c r="H31" s="18" t="s">
        <v>81</v>
      </c>
      <c r="I31" s="17">
        <v>43334</v>
      </c>
      <c r="J31" s="18" t="s">
        <v>49</v>
      </c>
      <c r="K31" s="18"/>
      <c r="L31" s="18">
        <v>1</v>
      </c>
      <c r="M31" s="18">
        <f t="shared" si="2"/>
        <v>1260</v>
      </c>
      <c r="N31" s="32">
        <f t="shared" si="4"/>
        <v>2.3342670401493928</v>
      </c>
    </row>
    <row r="32" spans="1:14" s="28" customFormat="1" ht="15" hidden="1" customHeight="1" x14ac:dyDescent="0.2">
      <c r="A32" s="18" t="s">
        <v>58</v>
      </c>
      <c r="B32" s="19" t="s">
        <v>39</v>
      </c>
      <c r="C32" s="34">
        <v>1400</v>
      </c>
      <c r="D32" s="21">
        <v>500</v>
      </c>
      <c r="E32" s="18"/>
      <c r="F32" s="18" t="s">
        <v>232</v>
      </c>
      <c r="G32" s="40"/>
      <c r="H32" s="18" t="s">
        <v>81</v>
      </c>
      <c r="I32" s="17">
        <v>43334</v>
      </c>
      <c r="J32" s="18" t="s">
        <v>49</v>
      </c>
      <c r="K32" s="18"/>
      <c r="L32" s="18">
        <v>1</v>
      </c>
      <c r="M32" s="18">
        <f t="shared" si="2"/>
        <v>1400</v>
      </c>
      <c r="N32" s="32">
        <f t="shared" si="4"/>
        <v>2.1008403361344534</v>
      </c>
    </row>
    <row r="33" spans="1:14" s="28" customFormat="1" ht="15" hidden="1" customHeight="1" x14ac:dyDescent="0.2">
      <c r="A33" s="18" t="s">
        <v>82</v>
      </c>
      <c r="B33" s="19" t="s">
        <v>40</v>
      </c>
      <c r="C33" s="19">
        <v>1080</v>
      </c>
      <c r="D33" s="22">
        <v>650</v>
      </c>
      <c r="E33" s="18"/>
      <c r="F33" s="18" t="s">
        <v>316</v>
      </c>
      <c r="G33" s="40">
        <v>3</v>
      </c>
      <c r="H33" s="18" t="s">
        <v>83</v>
      </c>
      <c r="I33" s="17">
        <v>43335</v>
      </c>
      <c r="J33" s="18" t="s">
        <v>16</v>
      </c>
      <c r="K33" s="18"/>
      <c r="L33" s="18">
        <v>1</v>
      </c>
      <c r="M33" s="18">
        <f t="shared" si="2"/>
        <v>1080</v>
      </c>
      <c r="N33" s="32">
        <f t="shared" si="4"/>
        <v>3.5403050108932459</v>
      </c>
    </row>
    <row r="34" spans="1:14" s="28" customFormat="1" ht="15" hidden="1" customHeight="1" x14ac:dyDescent="0.2">
      <c r="A34" s="18" t="s">
        <v>82</v>
      </c>
      <c r="B34" s="19" t="s">
        <v>40</v>
      </c>
      <c r="C34" s="19">
        <v>920</v>
      </c>
      <c r="D34" s="22">
        <v>1000</v>
      </c>
      <c r="E34" s="18"/>
      <c r="F34" s="18" t="s">
        <v>316</v>
      </c>
      <c r="G34" s="40">
        <v>3</v>
      </c>
      <c r="H34" s="18" t="s">
        <v>83</v>
      </c>
      <c r="I34" s="17">
        <v>43335</v>
      </c>
      <c r="J34" s="18" t="s">
        <v>16</v>
      </c>
      <c r="K34" s="18"/>
      <c r="L34" s="18">
        <v>1</v>
      </c>
      <c r="M34" s="18">
        <f t="shared" si="2"/>
        <v>920</v>
      </c>
      <c r="N34" s="32">
        <f t="shared" si="4"/>
        <v>6.3938618925831197</v>
      </c>
    </row>
    <row r="35" spans="1:14" s="28" customFormat="1" ht="15" hidden="1" customHeight="1" x14ac:dyDescent="0.2">
      <c r="A35" s="18" t="s">
        <v>82</v>
      </c>
      <c r="B35" s="19" t="s">
        <v>40</v>
      </c>
      <c r="C35" s="19">
        <v>1072</v>
      </c>
      <c r="D35" s="22">
        <v>250</v>
      </c>
      <c r="E35" s="18"/>
      <c r="F35" s="18" t="s">
        <v>316</v>
      </c>
      <c r="G35" s="40">
        <v>3</v>
      </c>
      <c r="H35" s="18" t="s">
        <v>83</v>
      </c>
      <c r="I35" s="17">
        <v>43335</v>
      </c>
      <c r="J35" s="18" t="s">
        <v>16</v>
      </c>
      <c r="K35" s="18"/>
      <c r="L35" s="18">
        <v>1</v>
      </c>
      <c r="M35" s="18">
        <f t="shared" si="2"/>
        <v>1072</v>
      </c>
      <c r="N35" s="32">
        <f t="shared" si="4"/>
        <v>1.3718173836698857</v>
      </c>
    </row>
    <row r="36" spans="1:14" s="28" customFormat="1" ht="15" hidden="1" customHeight="1" x14ac:dyDescent="0.2">
      <c r="A36" s="18" t="s">
        <v>56</v>
      </c>
      <c r="B36" s="19" t="s">
        <v>40</v>
      </c>
      <c r="C36" s="19">
        <v>1200</v>
      </c>
      <c r="D36" s="22">
        <v>370</v>
      </c>
      <c r="E36" s="18"/>
      <c r="F36" s="18" t="s">
        <v>316</v>
      </c>
      <c r="G36" s="40"/>
      <c r="H36" s="18"/>
      <c r="I36" s="17">
        <v>43340</v>
      </c>
      <c r="J36" s="18" t="s">
        <v>55</v>
      </c>
      <c r="K36" s="18"/>
      <c r="L36" s="18">
        <v>1</v>
      </c>
      <c r="M36" s="18">
        <f t="shared" si="2"/>
        <v>1200</v>
      </c>
      <c r="N36" s="32">
        <f t="shared" si="4"/>
        <v>1.8137254901960782</v>
      </c>
    </row>
    <row r="37" spans="1:14" s="28" customFormat="1" ht="15" hidden="1" customHeight="1" x14ac:dyDescent="0.2">
      <c r="A37" s="18" t="s">
        <v>56</v>
      </c>
      <c r="B37" s="19" t="s">
        <v>40</v>
      </c>
      <c r="C37" s="19">
        <v>680</v>
      </c>
      <c r="D37" s="22">
        <v>720</v>
      </c>
      <c r="E37" s="18"/>
      <c r="F37" s="18" t="s">
        <v>316</v>
      </c>
      <c r="G37" s="40"/>
      <c r="H37" s="18"/>
      <c r="I37" s="17">
        <v>43340</v>
      </c>
      <c r="J37" s="18" t="s">
        <v>55</v>
      </c>
      <c r="K37" s="18"/>
      <c r="L37" s="18">
        <v>1</v>
      </c>
      <c r="M37" s="18">
        <f t="shared" si="2"/>
        <v>680</v>
      </c>
      <c r="N37" s="32">
        <f t="shared" si="4"/>
        <v>6.2283737024221448</v>
      </c>
    </row>
    <row r="38" spans="1:14" s="28" customFormat="1" ht="15" hidden="1" customHeight="1" x14ac:dyDescent="0.2">
      <c r="A38" s="18" t="s">
        <v>56</v>
      </c>
      <c r="B38" s="19" t="s">
        <v>40</v>
      </c>
      <c r="C38" s="19">
        <v>460</v>
      </c>
      <c r="D38" s="22">
        <v>170</v>
      </c>
      <c r="E38" s="18"/>
      <c r="F38" s="18" t="s">
        <v>316</v>
      </c>
      <c r="G38" s="40"/>
      <c r="H38" s="18"/>
      <c r="I38" s="17">
        <v>43340</v>
      </c>
      <c r="J38" s="18" t="s">
        <v>55</v>
      </c>
      <c r="K38" s="18"/>
      <c r="L38" s="18">
        <v>1</v>
      </c>
      <c r="M38" s="18">
        <f t="shared" si="2"/>
        <v>460</v>
      </c>
      <c r="N38" s="32">
        <f t="shared" si="4"/>
        <v>2.1739130434782608</v>
      </c>
    </row>
    <row r="39" spans="1:14" s="28" customFormat="1" ht="15" hidden="1" customHeight="1" x14ac:dyDescent="0.2">
      <c r="A39" s="18" t="s">
        <v>84</v>
      </c>
      <c r="B39" s="19" t="s">
        <v>39</v>
      </c>
      <c r="C39" s="19">
        <v>1050</v>
      </c>
      <c r="D39" s="22">
        <v>2000</v>
      </c>
      <c r="E39" s="18"/>
      <c r="F39" s="18" t="s">
        <v>200</v>
      </c>
      <c r="G39" s="40"/>
      <c r="H39" s="18" t="s">
        <v>29</v>
      </c>
      <c r="I39" s="17">
        <v>43346</v>
      </c>
      <c r="J39" s="18" t="s">
        <v>85</v>
      </c>
      <c r="K39" s="18"/>
      <c r="L39" s="18">
        <v>1</v>
      </c>
      <c r="M39" s="18">
        <f t="shared" si="2"/>
        <v>1050</v>
      </c>
      <c r="N39" s="32">
        <f t="shared" si="4"/>
        <v>11.204481792717086</v>
      </c>
    </row>
    <row r="40" spans="1:14" s="28" customFormat="1" ht="15" hidden="1" customHeight="1" x14ac:dyDescent="0.2">
      <c r="A40" s="18" t="s">
        <v>84</v>
      </c>
      <c r="B40" s="19" t="s">
        <v>39</v>
      </c>
      <c r="C40" s="19">
        <v>1210</v>
      </c>
      <c r="D40" s="22">
        <v>2000</v>
      </c>
      <c r="E40" s="18"/>
      <c r="F40" s="18" t="s">
        <v>200</v>
      </c>
      <c r="G40" s="40"/>
      <c r="H40" s="18" t="s">
        <v>29</v>
      </c>
      <c r="I40" s="17">
        <v>43346</v>
      </c>
      <c r="J40" s="18" t="s">
        <v>85</v>
      </c>
      <c r="K40" s="18"/>
      <c r="L40" s="18">
        <v>1</v>
      </c>
      <c r="M40" s="18">
        <f t="shared" si="2"/>
        <v>1210</v>
      </c>
      <c r="N40" s="32">
        <f t="shared" si="4"/>
        <v>9.7228974234321814</v>
      </c>
    </row>
    <row r="41" spans="1:14" s="28" customFormat="1" ht="15" hidden="1" customHeight="1" x14ac:dyDescent="0.2">
      <c r="A41" s="18" t="s">
        <v>84</v>
      </c>
      <c r="B41" s="19" t="s">
        <v>39</v>
      </c>
      <c r="C41" s="19">
        <v>1240</v>
      </c>
      <c r="D41" s="22">
        <v>3000</v>
      </c>
      <c r="E41" s="18"/>
      <c r="F41" s="18" t="s">
        <v>200</v>
      </c>
      <c r="G41" s="40"/>
      <c r="H41" s="18" t="s">
        <v>91</v>
      </c>
      <c r="I41" s="17">
        <v>43346</v>
      </c>
      <c r="J41" s="18" t="s">
        <v>85</v>
      </c>
      <c r="K41" s="18"/>
      <c r="L41" s="18">
        <v>1</v>
      </c>
      <c r="M41" s="18">
        <f t="shared" si="2"/>
        <v>1240</v>
      </c>
      <c r="N41" s="32">
        <f t="shared" si="4"/>
        <v>14.231499051233396</v>
      </c>
    </row>
    <row r="42" spans="1:14" s="28" customFormat="1" ht="15" hidden="1" customHeight="1" x14ac:dyDescent="0.2">
      <c r="A42" s="18" t="s">
        <v>84</v>
      </c>
      <c r="B42" s="19" t="s">
        <v>39</v>
      </c>
      <c r="C42" s="19">
        <v>1280</v>
      </c>
      <c r="D42" s="22">
        <v>3000</v>
      </c>
      <c r="E42" s="18"/>
      <c r="F42" s="18" t="s">
        <v>200</v>
      </c>
      <c r="G42" s="40"/>
      <c r="H42" s="18" t="s">
        <v>29</v>
      </c>
      <c r="I42" s="17">
        <v>43346</v>
      </c>
      <c r="J42" s="18" t="s">
        <v>85</v>
      </c>
      <c r="K42" s="18"/>
      <c r="L42" s="18">
        <v>1</v>
      </c>
      <c r="M42" s="18">
        <f t="shared" si="2"/>
        <v>1280</v>
      </c>
      <c r="N42" s="32">
        <f t="shared" si="4"/>
        <v>13.786764705882351</v>
      </c>
    </row>
    <row r="43" spans="1:14" s="28" customFormat="1" ht="15" hidden="1" customHeight="1" x14ac:dyDescent="0.2">
      <c r="A43" s="18" t="s">
        <v>86</v>
      </c>
      <c r="B43" s="19" t="s">
        <v>40</v>
      </c>
      <c r="C43" s="19">
        <v>600</v>
      </c>
      <c r="D43" s="22">
        <v>1000</v>
      </c>
      <c r="E43" s="18"/>
      <c r="F43" s="18" t="s">
        <v>123</v>
      </c>
      <c r="G43" s="40">
        <v>1</v>
      </c>
      <c r="H43" s="18"/>
      <c r="I43" s="17">
        <v>43348</v>
      </c>
      <c r="J43" s="18" t="s">
        <v>13</v>
      </c>
      <c r="K43" s="18"/>
      <c r="L43" s="18">
        <v>2</v>
      </c>
      <c r="M43" s="18">
        <f t="shared" si="2"/>
        <v>1200</v>
      </c>
      <c r="N43" s="32">
        <f t="shared" si="4"/>
        <v>4.901960784313725</v>
      </c>
    </row>
    <row r="44" spans="1:14" s="28" customFormat="1" ht="15" hidden="1" customHeight="1" x14ac:dyDescent="0.2">
      <c r="A44" s="18" t="s">
        <v>86</v>
      </c>
      <c r="B44" s="19" t="s">
        <v>40</v>
      </c>
      <c r="C44" s="19">
        <v>640</v>
      </c>
      <c r="D44" s="22">
        <v>1200</v>
      </c>
      <c r="E44" s="18">
        <f>1124.7</f>
        <v>1124.7</v>
      </c>
      <c r="F44" s="18" t="s">
        <v>123</v>
      </c>
      <c r="G44" s="40">
        <v>1</v>
      </c>
      <c r="H44" s="18"/>
      <c r="I44" s="17">
        <v>43348</v>
      </c>
      <c r="J44" s="18" t="s">
        <v>13</v>
      </c>
      <c r="K44" s="18"/>
      <c r="L44" s="18">
        <v>2</v>
      </c>
      <c r="M44" s="18">
        <f t="shared" si="2"/>
        <v>1280</v>
      </c>
      <c r="N44" s="32">
        <f t="shared" si="4"/>
        <v>0.3460477941176468</v>
      </c>
    </row>
    <row r="45" spans="1:14" s="28" customFormat="1" ht="15" hidden="1" customHeight="1" x14ac:dyDescent="0.2">
      <c r="A45" s="18" t="s">
        <v>86</v>
      </c>
      <c r="B45" s="19" t="s">
        <v>40</v>
      </c>
      <c r="C45" s="19">
        <v>720</v>
      </c>
      <c r="D45" s="22">
        <v>2500</v>
      </c>
      <c r="E45" s="18"/>
      <c r="F45" s="18" t="s">
        <v>123</v>
      </c>
      <c r="G45" s="40">
        <v>1</v>
      </c>
      <c r="H45" s="18"/>
      <c r="I45" s="17">
        <v>43348</v>
      </c>
      <c r="J45" s="18" t="s">
        <v>13</v>
      </c>
      <c r="K45" s="18"/>
      <c r="L45" s="18">
        <v>1</v>
      </c>
      <c r="M45" s="18">
        <f t="shared" si="2"/>
        <v>720</v>
      </c>
      <c r="N45" s="32">
        <f t="shared" si="4"/>
        <v>20.424836601307188</v>
      </c>
    </row>
    <row r="46" spans="1:14" s="28" customFormat="1" ht="15" hidden="1" customHeight="1" x14ac:dyDescent="0.2">
      <c r="A46" s="18" t="s">
        <v>87</v>
      </c>
      <c r="B46" s="19" t="s">
        <v>40</v>
      </c>
      <c r="C46" s="19">
        <v>1220</v>
      </c>
      <c r="D46" s="22">
        <v>400</v>
      </c>
      <c r="E46" s="18"/>
      <c r="F46" s="18" t="s">
        <v>123</v>
      </c>
      <c r="G46" s="40"/>
      <c r="H46" s="18"/>
      <c r="I46" s="17">
        <v>43349</v>
      </c>
      <c r="J46" s="18" t="s">
        <v>13</v>
      </c>
      <c r="K46" s="18"/>
      <c r="L46" s="18">
        <v>1</v>
      </c>
      <c r="M46" s="18">
        <f t="shared" si="2"/>
        <v>1220</v>
      </c>
      <c r="N46" s="32">
        <f t="shared" si="4"/>
        <v>1.9286403085824493</v>
      </c>
    </row>
    <row r="47" spans="1:14" s="28" customFormat="1" ht="15" hidden="1" customHeight="1" x14ac:dyDescent="0.2">
      <c r="A47" s="18" t="s">
        <v>87</v>
      </c>
      <c r="B47" s="19" t="s">
        <v>40</v>
      </c>
      <c r="C47" s="19">
        <v>640</v>
      </c>
      <c r="D47" s="22">
        <v>400</v>
      </c>
      <c r="E47" s="18"/>
      <c r="F47" s="18" t="s">
        <v>123</v>
      </c>
      <c r="G47" s="40"/>
      <c r="H47" s="18"/>
      <c r="I47" s="17">
        <v>43349</v>
      </c>
      <c r="J47" s="18" t="s">
        <v>13</v>
      </c>
      <c r="K47" s="18"/>
      <c r="L47" s="18">
        <v>2</v>
      </c>
      <c r="M47" s="18">
        <f t="shared" si="2"/>
        <v>1280</v>
      </c>
      <c r="N47" s="32">
        <f t="shared" si="4"/>
        <v>1.838235294117647</v>
      </c>
    </row>
    <row r="48" spans="1:14" s="28" customFormat="1" ht="15" hidden="1" customHeight="1" x14ac:dyDescent="0.2">
      <c r="A48" s="18" t="s">
        <v>87</v>
      </c>
      <c r="B48" s="19" t="s">
        <v>40</v>
      </c>
      <c r="C48" s="19">
        <v>680</v>
      </c>
      <c r="D48" s="22">
        <v>400</v>
      </c>
      <c r="E48" s="18"/>
      <c r="F48" s="18" t="s">
        <v>123</v>
      </c>
      <c r="G48" s="40"/>
      <c r="H48" s="18"/>
      <c r="I48" s="17">
        <v>43349</v>
      </c>
      <c r="J48" s="18" t="s">
        <v>13</v>
      </c>
      <c r="K48" s="18"/>
      <c r="L48" s="18">
        <v>2</v>
      </c>
      <c r="M48" s="18">
        <f t="shared" si="2"/>
        <v>1360</v>
      </c>
      <c r="N48" s="32">
        <f t="shared" si="4"/>
        <v>1.7301038062283736</v>
      </c>
    </row>
    <row r="49" spans="1:14" s="28" customFormat="1" ht="15" hidden="1" customHeight="1" x14ac:dyDescent="0.2">
      <c r="A49" s="18" t="s">
        <v>87</v>
      </c>
      <c r="B49" s="19" t="s">
        <v>40</v>
      </c>
      <c r="C49" s="19">
        <v>700</v>
      </c>
      <c r="D49" s="22">
        <v>400</v>
      </c>
      <c r="E49" s="18">
        <f>315.3</f>
        <v>315.3</v>
      </c>
      <c r="F49" s="18" t="s">
        <v>123</v>
      </c>
      <c r="G49" s="40"/>
      <c r="H49" s="18"/>
      <c r="I49" s="17">
        <v>43349</v>
      </c>
      <c r="J49" s="18" t="s">
        <v>13</v>
      </c>
      <c r="K49" s="18"/>
      <c r="L49" s="18">
        <v>1</v>
      </c>
      <c r="M49" s="18">
        <f t="shared" si="2"/>
        <v>700</v>
      </c>
      <c r="N49" s="32">
        <f t="shared" si="4"/>
        <v>0.71176470588235274</v>
      </c>
    </row>
    <row r="50" spans="1:14" s="37" customFormat="1" ht="15" hidden="1" customHeight="1" x14ac:dyDescent="0.2">
      <c r="A50" s="23" t="s">
        <v>87</v>
      </c>
      <c r="B50" s="34" t="s">
        <v>39</v>
      </c>
      <c r="C50" s="34">
        <v>720</v>
      </c>
      <c r="D50" s="35">
        <v>400</v>
      </c>
      <c r="E50" s="23"/>
      <c r="F50" s="23" t="s">
        <v>123</v>
      </c>
      <c r="G50" s="43">
        <v>1</v>
      </c>
      <c r="H50" s="23"/>
      <c r="I50" s="38">
        <v>43349</v>
      </c>
      <c r="J50" s="23" t="s">
        <v>13</v>
      </c>
      <c r="K50" s="23"/>
      <c r="L50" s="23">
        <v>1</v>
      </c>
      <c r="M50" s="23">
        <f t="shared" si="2"/>
        <v>720</v>
      </c>
      <c r="N50" s="36">
        <f t="shared" si="4"/>
        <v>3.2679738562091503</v>
      </c>
    </row>
    <row r="51" spans="1:14" s="28" customFormat="1" ht="15" hidden="1" customHeight="1" x14ac:dyDescent="0.2">
      <c r="A51" s="18" t="s">
        <v>88</v>
      </c>
      <c r="B51" s="19" t="s">
        <v>40</v>
      </c>
      <c r="C51" s="19">
        <v>660</v>
      </c>
      <c r="D51" s="22">
        <v>400</v>
      </c>
      <c r="E51" s="18"/>
      <c r="F51" s="18" t="s">
        <v>123</v>
      </c>
      <c r="G51" s="40"/>
      <c r="H51" s="18"/>
      <c r="I51" s="17">
        <v>43349</v>
      </c>
      <c r="J51" s="18" t="s">
        <v>13</v>
      </c>
      <c r="K51" s="18"/>
      <c r="L51" s="18">
        <v>1</v>
      </c>
      <c r="M51" s="18">
        <f t="shared" si="2"/>
        <v>660</v>
      </c>
      <c r="N51" s="32">
        <f t="shared" si="4"/>
        <v>3.5650623885918002</v>
      </c>
    </row>
    <row r="52" spans="1:14" s="28" customFormat="1" ht="15" hidden="1" customHeight="1" x14ac:dyDescent="0.2">
      <c r="A52" s="18" t="s">
        <v>88</v>
      </c>
      <c r="B52" s="19" t="s">
        <v>40</v>
      </c>
      <c r="C52" s="19">
        <v>1080</v>
      </c>
      <c r="D52" s="22">
        <v>400</v>
      </c>
      <c r="E52" s="18"/>
      <c r="F52" s="18" t="s">
        <v>123</v>
      </c>
      <c r="G52" s="40"/>
      <c r="H52" s="18"/>
      <c r="I52" s="17">
        <v>43349</v>
      </c>
      <c r="J52" s="18" t="s">
        <v>13</v>
      </c>
      <c r="K52" s="18"/>
      <c r="L52" s="18">
        <v>1</v>
      </c>
      <c r="M52" s="18">
        <f t="shared" si="2"/>
        <v>1080</v>
      </c>
      <c r="N52" s="32">
        <f t="shared" si="4"/>
        <v>2.1786492374727664</v>
      </c>
    </row>
    <row r="53" spans="1:14" s="28" customFormat="1" ht="15" hidden="1" customHeight="1" x14ac:dyDescent="0.2">
      <c r="A53" s="18" t="s">
        <v>89</v>
      </c>
      <c r="B53" s="19" t="s">
        <v>40</v>
      </c>
      <c r="C53" s="19">
        <v>650</v>
      </c>
      <c r="D53" s="22">
        <v>5000</v>
      </c>
      <c r="E53" s="18"/>
      <c r="F53" s="18" t="s">
        <v>316</v>
      </c>
      <c r="G53" s="40"/>
      <c r="H53" s="18" t="s">
        <v>90</v>
      </c>
      <c r="I53" s="17">
        <v>43353</v>
      </c>
      <c r="J53" s="18" t="s">
        <v>4</v>
      </c>
      <c r="K53" s="18"/>
      <c r="L53" s="18">
        <v>1</v>
      </c>
      <c r="M53" s="18">
        <f t="shared" ref="M53:M73" si="5">L53*C53</f>
        <v>650</v>
      </c>
      <c r="N53" s="32">
        <f t="shared" ref="N53:N73" si="6">(D53-E53)/(M53*0.17)</f>
        <v>45.248868778280539</v>
      </c>
    </row>
    <row r="54" spans="1:14" s="96" customFormat="1" ht="15" hidden="1" customHeight="1" x14ac:dyDescent="0.2">
      <c r="A54" s="90" t="s">
        <v>97</v>
      </c>
      <c r="B54" s="91" t="s">
        <v>40</v>
      </c>
      <c r="C54" s="91">
        <v>1280</v>
      </c>
      <c r="D54" s="92">
        <v>500</v>
      </c>
      <c r="E54" s="90">
        <f>521.2</f>
        <v>521.20000000000005</v>
      </c>
      <c r="F54" s="90" t="s">
        <v>8</v>
      </c>
      <c r="G54" s="93" t="s">
        <v>146</v>
      </c>
      <c r="H54" s="90" t="s">
        <v>25</v>
      </c>
      <c r="I54" s="94">
        <v>43441</v>
      </c>
      <c r="J54" s="90" t="s">
        <v>49</v>
      </c>
      <c r="K54" s="90"/>
      <c r="L54" s="90">
        <v>1</v>
      </c>
      <c r="M54" s="90">
        <f t="shared" si="5"/>
        <v>1280</v>
      </c>
      <c r="N54" s="95">
        <f>(D54-E54)/(M54*0.17)</f>
        <v>-9.7426470588235489E-2</v>
      </c>
    </row>
    <row r="55" spans="1:14" s="96" customFormat="1" ht="15" hidden="1" customHeight="1" x14ac:dyDescent="0.2">
      <c r="A55" s="90" t="s">
        <v>97</v>
      </c>
      <c r="B55" s="91" t="s">
        <v>40</v>
      </c>
      <c r="C55" s="91">
        <v>1100</v>
      </c>
      <c r="D55" s="92">
        <v>500</v>
      </c>
      <c r="E55" s="90">
        <f>533.8</f>
        <v>533.79999999999995</v>
      </c>
      <c r="F55" s="90" t="s">
        <v>8</v>
      </c>
      <c r="G55" s="93" t="s">
        <v>146</v>
      </c>
      <c r="H55" s="90" t="s">
        <v>25</v>
      </c>
      <c r="I55" s="94">
        <v>43441</v>
      </c>
      <c r="J55" s="90" t="s">
        <v>49</v>
      </c>
      <c r="K55" s="90"/>
      <c r="L55" s="90">
        <v>1</v>
      </c>
      <c r="M55" s="90">
        <f t="shared" si="5"/>
        <v>1100</v>
      </c>
      <c r="N55" s="95">
        <f t="shared" si="6"/>
        <v>-0.18074866310160403</v>
      </c>
    </row>
    <row r="56" spans="1:14" s="96" customFormat="1" ht="15" hidden="1" customHeight="1" x14ac:dyDescent="0.2">
      <c r="A56" s="90" t="s">
        <v>97</v>
      </c>
      <c r="B56" s="91" t="s">
        <v>40</v>
      </c>
      <c r="C56" s="91">
        <v>1320</v>
      </c>
      <c r="D56" s="92">
        <v>500</v>
      </c>
      <c r="E56" s="90">
        <f>537.4</f>
        <v>537.4</v>
      </c>
      <c r="F56" s="90" t="s">
        <v>8</v>
      </c>
      <c r="G56" s="93" t="s">
        <v>146</v>
      </c>
      <c r="H56" s="90" t="s">
        <v>25</v>
      </c>
      <c r="I56" s="94">
        <v>43441</v>
      </c>
      <c r="J56" s="90" t="s">
        <v>49</v>
      </c>
      <c r="K56" s="90"/>
      <c r="L56" s="90">
        <v>1</v>
      </c>
      <c r="M56" s="90">
        <f t="shared" si="5"/>
        <v>1320</v>
      </c>
      <c r="N56" s="95">
        <f t="shared" si="6"/>
        <v>-0.16666666666666657</v>
      </c>
    </row>
    <row r="57" spans="1:14" s="96" customFormat="1" ht="15" hidden="1" customHeight="1" x14ac:dyDescent="0.2">
      <c r="A57" s="90" t="s">
        <v>97</v>
      </c>
      <c r="B57" s="91" t="s">
        <v>40</v>
      </c>
      <c r="C57" s="91">
        <v>1380</v>
      </c>
      <c r="D57" s="92">
        <v>1000</v>
      </c>
      <c r="E57" s="90">
        <f>298.3+563.5</f>
        <v>861.8</v>
      </c>
      <c r="F57" s="90" t="s">
        <v>8</v>
      </c>
      <c r="G57" s="93" t="s">
        <v>146</v>
      </c>
      <c r="H57" s="90" t="s">
        <v>25</v>
      </c>
      <c r="I57" s="94">
        <v>43441</v>
      </c>
      <c r="J57" s="90" t="s">
        <v>49</v>
      </c>
      <c r="K57" s="90"/>
      <c r="L57" s="90">
        <v>1</v>
      </c>
      <c r="M57" s="90">
        <f t="shared" si="5"/>
        <v>1380</v>
      </c>
      <c r="N57" s="95">
        <f t="shared" si="6"/>
        <v>0.58908780903665825</v>
      </c>
    </row>
    <row r="58" spans="1:14" s="96" customFormat="1" ht="15" hidden="1" customHeight="1" x14ac:dyDescent="0.2">
      <c r="A58" s="90" t="s">
        <v>97</v>
      </c>
      <c r="B58" s="91" t="s">
        <v>40</v>
      </c>
      <c r="C58" s="91">
        <v>1200</v>
      </c>
      <c r="D58" s="92">
        <v>1000</v>
      </c>
      <c r="E58" s="90">
        <f>1052</f>
        <v>1052</v>
      </c>
      <c r="F58" s="90" t="s">
        <v>8</v>
      </c>
      <c r="G58" s="93" t="s">
        <v>146</v>
      </c>
      <c r="H58" s="90" t="s">
        <v>25</v>
      </c>
      <c r="I58" s="94">
        <v>43441</v>
      </c>
      <c r="J58" s="90" t="s">
        <v>49</v>
      </c>
      <c r="K58" s="90"/>
      <c r="L58" s="90">
        <v>1</v>
      </c>
      <c r="M58" s="90">
        <f t="shared" si="5"/>
        <v>1200</v>
      </c>
      <c r="N58" s="95">
        <f t="shared" si="6"/>
        <v>-0.25490196078431371</v>
      </c>
    </row>
    <row r="59" spans="1:14" s="104" customFormat="1" ht="15" hidden="1" customHeight="1" x14ac:dyDescent="0.2">
      <c r="A59" s="98" t="s">
        <v>97</v>
      </c>
      <c r="B59" s="99" t="s">
        <v>39</v>
      </c>
      <c r="C59" s="99">
        <v>1200</v>
      </c>
      <c r="D59" s="100">
        <v>500</v>
      </c>
      <c r="E59" s="98">
        <f>532.2</f>
        <v>532.20000000000005</v>
      </c>
      <c r="F59" s="98" t="s">
        <v>8</v>
      </c>
      <c r="G59" s="101" t="s">
        <v>146</v>
      </c>
      <c r="H59" s="98" t="s">
        <v>25</v>
      </c>
      <c r="I59" s="102">
        <v>43441</v>
      </c>
      <c r="J59" s="98" t="s">
        <v>49</v>
      </c>
      <c r="K59" s="98"/>
      <c r="L59" s="98">
        <v>1</v>
      </c>
      <c r="M59" s="98">
        <f t="shared" si="5"/>
        <v>1200</v>
      </c>
      <c r="N59" s="103">
        <f t="shared" si="6"/>
        <v>-0.15784313725490215</v>
      </c>
    </row>
    <row r="60" spans="1:14" ht="15" hidden="1" customHeight="1" x14ac:dyDescent="0.2">
      <c r="A60" s="1" t="s">
        <v>97</v>
      </c>
      <c r="B60" s="2" t="s">
        <v>39</v>
      </c>
      <c r="C60" s="47">
        <v>1240</v>
      </c>
      <c r="D60" s="7">
        <v>500</v>
      </c>
      <c r="E60" s="1">
        <f>461.2</f>
        <v>461.2</v>
      </c>
      <c r="F60" s="1" t="s">
        <v>8</v>
      </c>
      <c r="G60" s="41">
        <v>4</v>
      </c>
      <c r="H60" s="1" t="s">
        <v>25</v>
      </c>
      <c r="I60" s="8">
        <v>43441</v>
      </c>
      <c r="J60" s="1" t="s">
        <v>49</v>
      </c>
      <c r="L60" s="10">
        <v>1</v>
      </c>
      <c r="M60" s="18">
        <f t="shared" si="5"/>
        <v>1240</v>
      </c>
      <c r="N60" s="32">
        <f t="shared" si="6"/>
        <v>0.18406072106261864</v>
      </c>
    </row>
    <row r="61" spans="1:14" s="104" customFormat="1" ht="15" hidden="1" customHeight="1" x14ac:dyDescent="0.2">
      <c r="A61" s="98" t="s">
        <v>97</v>
      </c>
      <c r="B61" s="99" t="s">
        <v>39</v>
      </c>
      <c r="C61" s="99">
        <v>1280</v>
      </c>
      <c r="D61" s="100">
        <v>500</v>
      </c>
      <c r="E61" s="98">
        <f>495.2</f>
        <v>495.2</v>
      </c>
      <c r="F61" s="98" t="s">
        <v>8</v>
      </c>
      <c r="G61" s="101" t="s">
        <v>146</v>
      </c>
      <c r="H61" s="98" t="s">
        <v>25</v>
      </c>
      <c r="I61" s="102">
        <v>43441</v>
      </c>
      <c r="J61" s="98" t="s">
        <v>49</v>
      </c>
      <c r="K61" s="98"/>
      <c r="L61" s="98">
        <v>1</v>
      </c>
      <c r="M61" s="98">
        <f t="shared" si="5"/>
        <v>1280</v>
      </c>
      <c r="N61" s="103">
        <f t="shared" si="6"/>
        <v>2.2058823529411815E-2</v>
      </c>
    </row>
    <row r="62" spans="1:14" s="104" customFormat="1" ht="15" hidden="1" customHeight="1" x14ac:dyDescent="0.2">
      <c r="A62" s="98" t="s">
        <v>97</v>
      </c>
      <c r="B62" s="99" t="s">
        <v>39</v>
      </c>
      <c r="C62" s="99">
        <v>1320</v>
      </c>
      <c r="D62" s="100">
        <v>500</v>
      </c>
      <c r="E62" s="98">
        <f>498.2</f>
        <v>498.2</v>
      </c>
      <c r="F62" s="98" t="s">
        <v>8</v>
      </c>
      <c r="G62" s="101" t="s">
        <v>146</v>
      </c>
      <c r="H62" s="98" t="s">
        <v>25</v>
      </c>
      <c r="I62" s="102">
        <v>43441</v>
      </c>
      <c r="J62" s="98" t="s">
        <v>49</v>
      </c>
      <c r="K62" s="98"/>
      <c r="L62" s="98">
        <v>1</v>
      </c>
      <c r="M62" s="98">
        <f t="shared" si="5"/>
        <v>1320</v>
      </c>
      <c r="N62" s="103">
        <f t="shared" si="6"/>
        <v>8.0213903743316019E-3</v>
      </c>
    </row>
    <row r="63" spans="1:14" s="104" customFormat="1" ht="15" hidden="1" customHeight="1" x14ac:dyDescent="0.2">
      <c r="A63" s="98" t="s">
        <v>97</v>
      </c>
      <c r="B63" s="99" t="s">
        <v>39</v>
      </c>
      <c r="C63" s="99">
        <v>1380</v>
      </c>
      <c r="D63" s="100">
        <v>500</v>
      </c>
      <c r="E63" s="98">
        <f>535.8</f>
        <v>535.79999999999995</v>
      </c>
      <c r="F63" s="98" t="s">
        <v>8</v>
      </c>
      <c r="G63" s="101" t="s">
        <v>146</v>
      </c>
      <c r="H63" s="98" t="s">
        <v>25</v>
      </c>
      <c r="I63" s="102">
        <v>43441</v>
      </c>
      <c r="J63" s="98" t="s">
        <v>49</v>
      </c>
      <c r="K63" s="98"/>
      <c r="L63" s="98">
        <v>1</v>
      </c>
      <c r="M63" s="98">
        <f t="shared" si="5"/>
        <v>1380</v>
      </c>
      <c r="N63" s="103">
        <f t="shared" si="6"/>
        <v>-0.15260017050298361</v>
      </c>
    </row>
    <row r="64" spans="1:14" s="104" customFormat="1" ht="15" hidden="1" customHeight="1" x14ac:dyDescent="0.2">
      <c r="A64" s="98" t="s">
        <v>97</v>
      </c>
      <c r="B64" s="99" t="s">
        <v>37</v>
      </c>
      <c r="C64" s="99">
        <v>1050</v>
      </c>
      <c r="D64" s="100">
        <v>1000</v>
      </c>
      <c r="E64" s="98">
        <f>762.8+255.8</f>
        <v>1018.5999999999999</v>
      </c>
      <c r="F64" s="98" t="s">
        <v>8</v>
      </c>
      <c r="G64" s="101">
        <v>3</v>
      </c>
      <c r="H64" s="98" t="s">
        <v>25</v>
      </c>
      <c r="I64" s="102">
        <v>43441</v>
      </c>
      <c r="J64" s="98" t="s">
        <v>49</v>
      </c>
      <c r="K64" s="98"/>
      <c r="L64" s="98">
        <v>1</v>
      </c>
      <c r="M64" s="98">
        <f t="shared" si="5"/>
        <v>1050</v>
      </c>
      <c r="N64" s="103">
        <f t="shared" si="6"/>
        <v>-0.1042016806722684</v>
      </c>
    </row>
    <row r="65" spans="1:14" s="60" customFormat="1" ht="15" hidden="1" customHeight="1" x14ac:dyDescent="0.2">
      <c r="A65" s="55" t="s">
        <v>97</v>
      </c>
      <c r="B65" s="54" t="s">
        <v>37</v>
      </c>
      <c r="C65" s="54">
        <v>800</v>
      </c>
      <c r="D65" s="56">
        <v>1000</v>
      </c>
      <c r="E65" s="55">
        <f>1085.2</f>
        <v>1085.2</v>
      </c>
      <c r="F65" s="55" t="s">
        <v>8</v>
      </c>
      <c r="G65" s="57">
        <v>3</v>
      </c>
      <c r="H65" s="55" t="s">
        <v>25</v>
      </c>
      <c r="I65" s="58">
        <v>43441</v>
      </c>
      <c r="J65" s="55" t="s">
        <v>49</v>
      </c>
      <c r="K65" s="55"/>
      <c r="L65" s="55">
        <v>1</v>
      </c>
      <c r="M65" s="55">
        <f t="shared" si="5"/>
        <v>800</v>
      </c>
      <c r="N65" s="59">
        <f t="shared" si="6"/>
        <v>-0.62647058823529445</v>
      </c>
    </row>
    <row r="66" spans="1:14" s="104" customFormat="1" ht="15" hidden="1" customHeight="1" x14ac:dyDescent="0.2">
      <c r="A66" s="98" t="s">
        <v>97</v>
      </c>
      <c r="B66" s="99" t="s">
        <v>37</v>
      </c>
      <c r="C66" s="99">
        <v>1000</v>
      </c>
      <c r="D66" s="100">
        <v>1000</v>
      </c>
      <c r="E66" s="98">
        <f>735.8+246.9</f>
        <v>982.69999999999993</v>
      </c>
      <c r="F66" s="98" t="s">
        <v>8</v>
      </c>
      <c r="G66" s="101">
        <v>3</v>
      </c>
      <c r="H66" s="98" t="s">
        <v>25</v>
      </c>
      <c r="I66" s="102">
        <v>43441</v>
      </c>
      <c r="J66" s="98" t="s">
        <v>49</v>
      </c>
      <c r="K66" s="98"/>
      <c r="L66" s="98">
        <v>1</v>
      </c>
      <c r="M66" s="98">
        <f t="shared" si="5"/>
        <v>1000</v>
      </c>
      <c r="N66" s="103">
        <f t="shared" si="6"/>
        <v>0.10176470588235334</v>
      </c>
    </row>
    <row r="67" spans="1:14" s="60" customFormat="1" ht="15" hidden="1" customHeight="1" x14ac:dyDescent="0.2">
      <c r="A67" s="55" t="s">
        <v>97</v>
      </c>
      <c r="B67" s="54" t="s">
        <v>37</v>
      </c>
      <c r="C67" s="54">
        <v>900</v>
      </c>
      <c r="D67" s="56">
        <v>1000</v>
      </c>
      <c r="E67" s="55">
        <f>804.6+197</f>
        <v>1001.6</v>
      </c>
      <c r="F67" s="55" t="s">
        <v>8</v>
      </c>
      <c r="G67" s="57">
        <v>3</v>
      </c>
      <c r="H67" s="55" t="s">
        <v>25</v>
      </c>
      <c r="I67" s="58">
        <v>43441</v>
      </c>
      <c r="J67" s="55" t="s">
        <v>49</v>
      </c>
      <c r="K67" s="55"/>
      <c r="L67" s="55">
        <v>1</v>
      </c>
      <c r="M67" s="55">
        <f t="shared" si="5"/>
        <v>900</v>
      </c>
      <c r="N67" s="59">
        <f t="shared" si="6"/>
        <v>-1.045751633986943E-2</v>
      </c>
    </row>
    <row r="68" spans="1:14" s="104" customFormat="1" ht="15" hidden="1" customHeight="1" x14ac:dyDescent="0.2">
      <c r="A68" s="98" t="s">
        <v>97</v>
      </c>
      <c r="B68" s="99" t="s">
        <v>37</v>
      </c>
      <c r="C68" s="99">
        <v>1300</v>
      </c>
      <c r="D68" s="100">
        <v>1000</v>
      </c>
      <c r="E68" s="98">
        <f>1025</f>
        <v>1025</v>
      </c>
      <c r="F68" s="98" t="s">
        <v>8</v>
      </c>
      <c r="G68" s="101">
        <v>3</v>
      </c>
      <c r="H68" s="98" t="s">
        <v>25</v>
      </c>
      <c r="I68" s="102">
        <v>43441</v>
      </c>
      <c r="J68" s="98" t="s">
        <v>49</v>
      </c>
      <c r="K68" s="98"/>
      <c r="L68" s="98">
        <v>1</v>
      </c>
      <c r="M68" s="98">
        <f t="shared" si="5"/>
        <v>1300</v>
      </c>
      <c r="N68" s="103">
        <f t="shared" si="6"/>
        <v>-0.11312217194570134</v>
      </c>
    </row>
    <row r="69" spans="1:14" s="104" customFormat="1" ht="15" hidden="1" customHeight="1" x14ac:dyDescent="0.2">
      <c r="A69" s="98" t="s">
        <v>97</v>
      </c>
      <c r="B69" s="99" t="s">
        <v>37</v>
      </c>
      <c r="C69" s="99">
        <v>1360</v>
      </c>
      <c r="D69" s="100">
        <v>1000</v>
      </c>
      <c r="E69" s="98">
        <f>1100.4</f>
        <v>1100.4000000000001</v>
      </c>
      <c r="F69" s="98" t="s">
        <v>8</v>
      </c>
      <c r="G69" s="101">
        <v>3</v>
      </c>
      <c r="H69" s="98" t="s">
        <v>25</v>
      </c>
      <c r="I69" s="102">
        <v>43441</v>
      </c>
      <c r="J69" s="98" t="s">
        <v>49</v>
      </c>
      <c r="K69" s="98"/>
      <c r="L69" s="98">
        <v>1</v>
      </c>
      <c r="M69" s="98">
        <f t="shared" si="5"/>
        <v>1360</v>
      </c>
      <c r="N69" s="103">
        <f t="shared" si="6"/>
        <v>-0.43425605536332218</v>
      </c>
    </row>
    <row r="70" spans="1:14" s="104" customFormat="1" ht="15" hidden="1" customHeight="1" x14ac:dyDescent="0.2">
      <c r="A70" s="98" t="s">
        <v>97</v>
      </c>
      <c r="B70" s="99" t="s">
        <v>37</v>
      </c>
      <c r="C70" s="99">
        <v>1400</v>
      </c>
      <c r="D70" s="100">
        <v>1000</v>
      </c>
      <c r="E70" s="98">
        <f>1128.7</f>
        <v>1128.7</v>
      </c>
      <c r="F70" s="98" t="s">
        <v>8</v>
      </c>
      <c r="G70" s="101">
        <v>3</v>
      </c>
      <c r="H70" s="98" t="s">
        <v>25</v>
      </c>
      <c r="I70" s="102">
        <v>43441</v>
      </c>
      <c r="J70" s="98" t="s">
        <v>49</v>
      </c>
      <c r="K70" s="98"/>
      <c r="L70" s="98">
        <v>1</v>
      </c>
      <c r="M70" s="98">
        <f t="shared" si="5"/>
        <v>1400</v>
      </c>
      <c r="N70" s="103">
        <f t="shared" si="6"/>
        <v>-0.54075630252100848</v>
      </c>
    </row>
    <row r="71" spans="1:14" s="60" customFormat="1" ht="15" hidden="1" customHeight="1" x14ac:dyDescent="0.2">
      <c r="A71" s="55" t="s">
        <v>97</v>
      </c>
      <c r="B71" s="54" t="s">
        <v>36</v>
      </c>
      <c r="C71" s="54">
        <v>1380</v>
      </c>
      <c r="D71" s="56">
        <v>1000</v>
      </c>
      <c r="E71" s="55">
        <f>546.3+543.3</f>
        <v>1089.5999999999999</v>
      </c>
      <c r="F71" s="55" t="s">
        <v>8</v>
      </c>
      <c r="G71" s="57" t="s">
        <v>146</v>
      </c>
      <c r="H71" s="55" t="s">
        <v>25</v>
      </c>
      <c r="I71" s="58">
        <v>43441</v>
      </c>
      <c r="J71" s="55" t="s">
        <v>49</v>
      </c>
      <c r="K71" s="55"/>
      <c r="L71" s="55">
        <v>1</v>
      </c>
      <c r="M71" s="55">
        <f t="shared" si="5"/>
        <v>1380</v>
      </c>
      <c r="N71" s="59">
        <f t="shared" si="6"/>
        <v>-0.38192668371696464</v>
      </c>
    </row>
    <row r="72" spans="1:14" s="60" customFormat="1" ht="15" hidden="1" customHeight="1" x14ac:dyDescent="0.2">
      <c r="A72" s="55" t="s">
        <v>97</v>
      </c>
      <c r="B72" s="54" t="s">
        <v>36</v>
      </c>
      <c r="C72" s="54">
        <v>1300</v>
      </c>
      <c r="D72" s="56">
        <v>500</v>
      </c>
      <c r="E72" s="55">
        <f>514.3</f>
        <v>514.29999999999995</v>
      </c>
      <c r="F72" s="55" t="s">
        <v>8</v>
      </c>
      <c r="G72" s="57" t="s">
        <v>146</v>
      </c>
      <c r="H72" s="55" t="s">
        <v>25</v>
      </c>
      <c r="I72" s="58">
        <v>43441</v>
      </c>
      <c r="J72" s="55" t="s">
        <v>49</v>
      </c>
      <c r="K72" s="55"/>
      <c r="L72" s="55">
        <v>1</v>
      </c>
      <c r="M72" s="55">
        <f t="shared" si="5"/>
        <v>1300</v>
      </c>
      <c r="N72" s="59">
        <f t="shared" si="6"/>
        <v>-6.470588235294096E-2</v>
      </c>
    </row>
    <row r="73" spans="1:14" s="60" customFormat="1" ht="15" hidden="1" customHeight="1" x14ac:dyDescent="0.2">
      <c r="A73" s="55" t="s">
        <v>97</v>
      </c>
      <c r="B73" s="54" t="s">
        <v>36</v>
      </c>
      <c r="C73" s="54">
        <v>1200</v>
      </c>
      <c r="D73" s="56">
        <v>1000</v>
      </c>
      <c r="E73" s="55">
        <f>282.8+816</f>
        <v>1098.8</v>
      </c>
      <c r="F73" s="55" t="s">
        <v>8</v>
      </c>
      <c r="G73" s="57" t="s">
        <v>146</v>
      </c>
      <c r="H73" s="55" t="s">
        <v>25</v>
      </c>
      <c r="I73" s="58">
        <v>43441</v>
      </c>
      <c r="J73" s="55" t="s">
        <v>49</v>
      </c>
      <c r="K73" s="55"/>
      <c r="L73" s="55">
        <v>1</v>
      </c>
      <c r="M73" s="55">
        <f t="shared" si="5"/>
        <v>1200</v>
      </c>
      <c r="N73" s="59">
        <f t="shared" si="6"/>
        <v>-0.4843137254901958</v>
      </c>
    </row>
    <row r="74" spans="1:14" s="4" customFormat="1" ht="15" hidden="1" customHeight="1" x14ac:dyDescent="0.2">
      <c r="A74" s="3" t="s">
        <v>98</v>
      </c>
      <c r="B74" s="5" t="s">
        <v>39</v>
      </c>
      <c r="C74" s="5">
        <v>1000</v>
      </c>
      <c r="D74" s="6">
        <v>1500</v>
      </c>
      <c r="E74" s="3"/>
      <c r="F74" s="3" t="s">
        <v>123</v>
      </c>
      <c r="G74" s="42"/>
      <c r="H74" s="3"/>
      <c r="I74" s="9">
        <v>43441</v>
      </c>
      <c r="J74" s="3" t="s">
        <v>13</v>
      </c>
      <c r="K74" s="3"/>
      <c r="L74" s="3"/>
      <c r="M74" s="3"/>
      <c r="N74" s="31"/>
    </row>
    <row r="75" spans="1:14" s="4" customFormat="1" ht="15" hidden="1" customHeight="1" x14ac:dyDescent="0.2">
      <c r="A75" s="3" t="s">
        <v>98</v>
      </c>
      <c r="B75" s="5" t="s">
        <v>39</v>
      </c>
      <c r="C75" s="5">
        <v>920</v>
      </c>
      <c r="D75" s="6">
        <v>1000</v>
      </c>
      <c r="E75" s="3"/>
      <c r="F75" s="3" t="s">
        <v>123</v>
      </c>
      <c r="G75" s="42"/>
      <c r="H75" s="3"/>
      <c r="I75" s="9">
        <v>43441</v>
      </c>
      <c r="J75" s="3" t="s">
        <v>13</v>
      </c>
      <c r="K75" s="3"/>
      <c r="L75" s="3"/>
      <c r="M75" s="3"/>
      <c r="N75" s="31"/>
    </row>
    <row r="76" spans="1:14" s="4" customFormat="1" ht="15" hidden="1" customHeight="1" x14ac:dyDescent="0.2">
      <c r="A76" s="3" t="s">
        <v>98</v>
      </c>
      <c r="B76" s="5" t="s">
        <v>39</v>
      </c>
      <c r="C76" s="5">
        <v>800</v>
      </c>
      <c r="D76" s="6">
        <v>1000</v>
      </c>
      <c r="E76" s="3"/>
      <c r="F76" s="3" t="s">
        <v>123</v>
      </c>
      <c r="G76" s="42"/>
      <c r="H76" s="3"/>
      <c r="I76" s="9">
        <v>43441</v>
      </c>
      <c r="J76" s="3" t="s">
        <v>13</v>
      </c>
      <c r="K76" s="3"/>
      <c r="L76" s="3"/>
      <c r="M76" s="3"/>
      <c r="N76" s="31"/>
    </row>
    <row r="77" spans="1:14" s="4" customFormat="1" ht="15" hidden="1" customHeight="1" x14ac:dyDescent="0.2">
      <c r="A77" s="3" t="s">
        <v>98</v>
      </c>
      <c r="B77" s="5" t="s">
        <v>39</v>
      </c>
      <c r="C77" s="5">
        <v>720</v>
      </c>
      <c r="D77" s="6">
        <v>1000</v>
      </c>
      <c r="E77" s="3"/>
      <c r="F77" s="3" t="s">
        <v>123</v>
      </c>
      <c r="G77" s="42"/>
      <c r="H77" s="3"/>
      <c r="I77" s="9">
        <v>43441</v>
      </c>
      <c r="J77" s="3" t="s">
        <v>13</v>
      </c>
      <c r="K77" s="3"/>
      <c r="L77" s="3"/>
      <c r="M77" s="3"/>
      <c r="N77" s="31"/>
    </row>
    <row r="78" spans="1:14" s="4" customFormat="1" ht="15" hidden="1" customHeight="1" x14ac:dyDescent="0.2">
      <c r="A78" s="3" t="s">
        <v>98</v>
      </c>
      <c r="B78" s="5" t="s">
        <v>39</v>
      </c>
      <c r="C78" s="5">
        <v>860</v>
      </c>
      <c r="D78" s="6">
        <v>600</v>
      </c>
      <c r="E78" s="3"/>
      <c r="F78" s="3" t="s">
        <v>123</v>
      </c>
      <c r="G78" s="42"/>
      <c r="H78" s="3"/>
      <c r="I78" s="9">
        <v>43441</v>
      </c>
      <c r="J78" s="3" t="s">
        <v>13</v>
      </c>
      <c r="K78" s="3"/>
      <c r="L78" s="3"/>
      <c r="M78" s="3"/>
      <c r="N78" s="31"/>
    </row>
    <row r="79" spans="1:14" s="4" customFormat="1" ht="15" hidden="1" customHeight="1" x14ac:dyDescent="0.2">
      <c r="A79" s="3" t="s">
        <v>98</v>
      </c>
      <c r="B79" s="5" t="s">
        <v>39</v>
      </c>
      <c r="C79" s="5">
        <v>900</v>
      </c>
      <c r="D79" s="6">
        <v>1000</v>
      </c>
      <c r="E79" s="3"/>
      <c r="F79" s="3" t="s">
        <v>123</v>
      </c>
      <c r="G79" s="42"/>
      <c r="H79" s="3"/>
      <c r="I79" s="9">
        <v>43441</v>
      </c>
      <c r="J79" s="3" t="s">
        <v>13</v>
      </c>
      <c r="K79" s="3"/>
      <c r="L79" s="3"/>
      <c r="M79" s="3"/>
      <c r="N79" s="31"/>
    </row>
    <row r="80" spans="1:14" s="4" customFormat="1" ht="15" hidden="1" customHeight="1" x14ac:dyDescent="0.2">
      <c r="A80" s="3" t="s">
        <v>98</v>
      </c>
      <c r="B80" s="5" t="s">
        <v>39</v>
      </c>
      <c r="C80" s="5">
        <v>760</v>
      </c>
      <c r="D80" s="6">
        <v>2000</v>
      </c>
      <c r="E80" s="3"/>
      <c r="F80" s="3" t="s">
        <v>123</v>
      </c>
      <c r="G80" s="42"/>
      <c r="H80" s="3"/>
      <c r="I80" s="9">
        <v>43441</v>
      </c>
      <c r="J80" s="3" t="s">
        <v>13</v>
      </c>
      <c r="K80" s="3"/>
      <c r="L80" s="3"/>
      <c r="M80" s="3"/>
      <c r="N80" s="31"/>
    </row>
    <row r="81" spans="1:14" s="4" customFormat="1" ht="15" hidden="1" customHeight="1" x14ac:dyDescent="0.2">
      <c r="A81" s="3" t="s">
        <v>98</v>
      </c>
      <c r="B81" s="5" t="s">
        <v>39</v>
      </c>
      <c r="C81" s="5">
        <v>640</v>
      </c>
      <c r="D81" s="6">
        <v>600</v>
      </c>
      <c r="E81" s="3"/>
      <c r="F81" s="3" t="s">
        <v>123</v>
      </c>
      <c r="G81" s="42"/>
      <c r="H81" s="3"/>
      <c r="I81" s="9">
        <v>43441</v>
      </c>
      <c r="J81" s="3" t="s">
        <v>13</v>
      </c>
      <c r="K81" s="3"/>
      <c r="L81" s="3"/>
      <c r="M81" s="3"/>
      <c r="N81" s="31"/>
    </row>
    <row r="82" spans="1:14" s="4" customFormat="1" ht="15" hidden="1" customHeight="1" x14ac:dyDescent="0.2">
      <c r="A82" s="3" t="s">
        <v>98</v>
      </c>
      <c r="B82" s="5" t="s">
        <v>39</v>
      </c>
      <c r="C82" s="5">
        <v>1080</v>
      </c>
      <c r="D82" s="6">
        <v>600</v>
      </c>
      <c r="E82" s="3"/>
      <c r="F82" s="3" t="s">
        <v>123</v>
      </c>
      <c r="G82" s="42"/>
      <c r="H82" s="3"/>
      <c r="I82" s="9">
        <v>43441</v>
      </c>
      <c r="J82" s="3" t="s">
        <v>13</v>
      </c>
      <c r="K82" s="3"/>
      <c r="L82" s="3"/>
      <c r="M82" s="3"/>
      <c r="N82" s="31"/>
    </row>
    <row r="83" spans="1:14" s="4" customFormat="1" ht="15" hidden="1" customHeight="1" x14ac:dyDescent="0.2">
      <c r="A83" s="3" t="s">
        <v>99</v>
      </c>
      <c r="B83" s="5" t="s">
        <v>39</v>
      </c>
      <c r="C83" s="5">
        <v>145</v>
      </c>
      <c r="D83" s="6">
        <v>10000</v>
      </c>
      <c r="E83" s="3"/>
      <c r="F83" s="3" t="s">
        <v>123</v>
      </c>
      <c r="G83" s="42"/>
      <c r="H83" s="3"/>
      <c r="I83" s="9">
        <v>43441</v>
      </c>
      <c r="J83" s="3" t="s">
        <v>13</v>
      </c>
      <c r="K83" s="3"/>
      <c r="L83" s="3"/>
      <c r="M83" s="3"/>
      <c r="N83" s="31"/>
    </row>
    <row r="84" spans="1:14" s="4" customFormat="1" ht="15" hidden="1" customHeight="1" x14ac:dyDescent="0.2">
      <c r="A84" s="3" t="s">
        <v>100</v>
      </c>
      <c r="B84" s="5" t="s">
        <v>39</v>
      </c>
      <c r="C84" s="5">
        <v>640</v>
      </c>
      <c r="D84" s="20">
        <v>2500</v>
      </c>
      <c r="E84" s="3"/>
      <c r="F84" s="3" t="s">
        <v>123</v>
      </c>
      <c r="G84" s="42"/>
      <c r="H84" s="3"/>
      <c r="I84" s="9">
        <v>43441</v>
      </c>
      <c r="J84" s="3" t="s">
        <v>13</v>
      </c>
      <c r="K84" s="3"/>
      <c r="L84" s="3"/>
      <c r="M84" s="3"/>
      <c r="N84" s="31"/>
    </row>
    <row r="85" spans="1:14" s="4" customFormat="1" ht="15" hidden="1" customHeight="1" x14ac:dyDescent="0.2">
      <c r="A85" s="3" t="s">
        <v>100</v>
      </c>
      <c r="B85" s="5" t="s">
        <v>39</v>
      </c>
      <c r="C85" s="5">
        <v>680</v>
      </c>
      <c r="D85" s="20">
        <v>2000</v>
      </c>
      <c r="E85" s="3"/>
      <c r="F85" s="3" t="s">
        <v>123</v>
      </c>
      <c r="G85" s="42"/>
      <c r="H85" s="3"/>
      <c r="I85" s="9">
        <v>43441</v>
      </c>
      <c r="J85" s="3" t="s">
        <v>13</v>
      </c>
      <c r="K85" s="3"/>
      <c r="L85" s="3"/>
      <c r="M85" s="3"/>
      <c r="N85" s="31"/>
    </row>
    <row r="86" spans="1:14" s="4" customFormat="1" ht="15" hidden="1" customHeight="1" x14ac:dyDescent="0.2">
      <c r="A86" s="3" t="s">
        <v>100</v>
      </c>
      <c r="B86" s="5" t="s">
        <v>39</v>
      </c>
      <c r="C86" s="5">
        <v>700</v>
      </c>
      <c r="D86" s="20">
        <v>4000</v>
      </c>
      <c r="E86" s="3"/>
      <c r="F86" s="3" t="s">
        <v>123</v>
      </c>
      <c r="G86" s="42"/>
      <c r="H86" s="3"/>
      <c r="I86" s="9">
        <v>43441</v>
      </c>
      <c r="J86" s="3" t="s">
        <v>13</v>
      </c>
      <c r="K86" s="3"/>
      <c r="L86" s="3"/>
      <c r="M86" s="3"/>
      <c r="N86" s="31"/>
    </row>
    <row r="87" spans="1:14" s="4" customFormat="1" ht="15" hidden="1" customHeight="1" x14ac:dyDescent="0.2">
      <c r="A87" s="3" t="s">
        <v>100</v>
      </c>
      <c r="B87" s="5" t="s">
        <v>39</v>
      </c>
      <c r="C87" s="5">
        <v>720</v>
      </c>
      <c r="D87" s="20">
        <v>1300</v>
      </c>
      <c r="E87" s="3"/>
      <c r="F87" s="3" t="s">
        <v>123</v>
      </c>
      <c r="G87" s="42"/>
      <c r="H87" s="3"/>
      <c r="I87" s="9">
        <v>43441</v>
      </c>
      <c r="J87" s="3" t="s">
        <v>13</v>
      </c>
      <c r="K87" s="3"/>
      <c r="L87" s="3"/>
      <c r="M87" s="3"/>
      <c r="N87" s="31"/>
    </row>
    <row r="88" spans="1:14" s="4" customFormat="1" ht="15" hidden="1" customHeight="1" x14ac:dyDescent="0.2">
      <c r="A88" s="3" t="s">
        <v>100</v>
      </c>
      <c r="B88" s="5" t="s">
        <v>39</v>
      </c>
      <c r="C88" s="5">
        <v>740</v>
      </c>
      <c r="D88" s="20">
        <v>500</v>
      </c>
      <c r="E88" s="3"/>
      <c r="F88" s="3" t="s">
        <v>123</v>
      </c>
      <c r="G88" s="42"/>
      <c r="H88" s="3"/>
      <c r="I88" s="9">
        <v>43441</v>
      </c>
      <c r="J88" s="3" t="s">
        <v>13</v>
      </c>
      <c r="K88" s="3"/>
      <c r="L88" s="3"/>
      <c r="M88" s="3"/>
      <c r="N88" s="31"/>
    </row>
    <row r="89" spans="1:14" s="4" customFormat="1" ht="15" hidden="1" customHeight="1" x14ac:dyDescent="0.2">
      <c r="A89" s="3" t="s">
        <v>100</v>
      </c>
      <c r="B89" s="5" t="s">
        <v>39</v>
      </c>
      <c r="C89" s="5">
        <v>760</v>
      </c>
      <c r="D89" s="20">
        <v>3000</v>
      </c>
      <c r="E89" s="3"/>
      <c r="F89" s="3" t="s">
        <v>123</v>
      </c>
      <c r="G89" s="42"/>
      <c r="H89" s="3"/>
      <c r="I89" s="9">
        <v>43441</v>
      </c>
      <c r="J89" s="3" t="s">
        <v>13</v>
      </c>
      <c r="K89" s="3"/>
      <c r="L89" s="3"/>
      <c r="M89" s="3"/>
      <c r="N89" s="31"/>
    </row>
    <row r="90" spans="1:14" s="4" customFormat="1" ht="15" hidden="1" customHeight="1" x14ac:dyDescent="0.2">
      <c r="A90" s="3" t="s">
        <v>100</v>
      </c>
      <c r="B90" s="5" t="s">
        <v>39</v>
      </c>
      <c r="C90" s="5">
        <v>780</v>
      </c>
      <c r="D90" s="20">
        <v>1000</v>
      </c>
      <c r="E90" s="3"/>
      <c r="F90" s="3" t="s">
        <v>123</v>
      </c>
      <c r="G90" s="42"/>
      <c r="H90" s="3"/>
      <c r="I90" s="9">
        <v>43441</v>
      </c>
      <c r="J90" s="3" t="s">
        <v>13</v>
      </c>
      <c r="K90" s="3"/>
      <c r="L90" s="3"/>
      <c r="M90" s="3"/>
      <c r="N90" s="31"/>
    </row>
    <row r="91" spans="1:14" s="4" customFormat="1" ht="15" hidden="1" customHeight="1" x14ac:dyDescent="0.2">
      <c r="A91" s="3" t="s">
        <v>100</v>
      </c>
      <c r="B91" s="5" t="s">
        <v>39</v>
      </c>
      <c r="C91" s="5">
        <v>800</v>
      </c>
      <c r="D91" s="20">
        <v>4000</v>
      </c>
      <c r="E91" s="3"/>
      <c r="F91" s="3" t="s">
        <v>123</v>
      </c>
      <c r="G91" s="42"/>
      <c r="H91" s="3"/>
      <c r="I91" s="9">
        <v>43441</v>
      </c>
      <c r="J91" s="3" t="s">
        <v>13</v>
      </c>
      <c r="K91" s="3"/>
      <c r="L91" s="3"/>
      <c r="M91" s="3"/>
      <c r="N91" s="31"/>
    </row>
    <row r="92" spans="1:14" s="4" customFormat="1" ht="15" hidden="1" customHeight="1" x14ac:dyDescent="0.2">
      <c r="A92" s="3" t="s">
        <v>100</v>
      </c>
      <c r="B92" s="5" t="s">
        <v>39</v>
      </c>
      <c r="C92" s="5">
        <v>840</v>
      </c>
      <c r="D92" s="20">
        <v>1000</v>
      </c>
      <c r="E92" s="3"/>
      <c r="F92" s="3" t="s">
        <v>123</v>
      </c>
      <c r="G92" s="42"/>
      <c r="H92" s="3"/>
      <c r="I92" s="9">
        <v>43441</v>
      </c>
      <c r="J92" s="3" t="s">
        <v>13</v>
      </c>
      <c r="K92" s="3"/>
      <c r="L92" s="3"/>
      <c r="M92" s="3"/>
      <c r="N92" s="31"/>
    </row>
    <row r="93" spans="1:14" s="4" customFormat="1" ht="15" hidden="1" customHeight="1" x14ac:dyDescent="0.2">
      <c r="A93" s="3" t="s">
        <v>100</v>
      </c>
      <c r="B93" s="5" t="s">
        <v>39</v>
      </c>
      <c r="C93" s="5">
        <v>860</v>
      </c>
      <c r="D93" s="20">
        <v>5000</v>
      </c>
      <c r="E93" s="3"/>
      <c r="F93" s="3" t="s">
        <v>123</v>
      </c>
      <c r="G93" s="42"/>
      <c r="H93" s="3"/>
      <c r="I93" s="9">
        <v>43441</v>
      </c>
      <c r="J93" s="3" t="s">
        <v>13</v>
      </c>
      <c r="K93" s="3"/>
      <c r="L93" s="3"/>
      <c r="M93" s="3"/>
      <c r="N93" s="31"/>
    </row>
    <row r="94" spans="1:14" s="4" customFormat="1" ht="15" hidden="1" customHeight="1" x14ac:dyDescent="0.2">
      <c r="A94" s="3" t="s">
        <v>100</v>
      </c>
      <c r="B94" s="5" t="s">
        <v>39</v>
      </c>
      <c r="C94" s="5">
        <v>880</v>
      </c>
      <c r="D94" s="20">
        <v>300</v>
      </c>
      <c r="E94" s="3"/>
      <c r="F94" s="3" t="s">
        <v>123</v>
      </c>
      <c r="G94" s="42"/>
      <c r="H94" s="3"/>
      <c r="I94" s="9">
        <v>43441</v>
      </c>
      <c r="J94" s="3" t="s">
        <v>13</v>
      </c>
      <c r="K94" s="3"/>
      <c r="L94" s="3"/>
      <c r="M94" s="3"/>
      <c r="N94" s="31"/>
    </row>
    <row r="95" spans="1:14" s="4" customFormat="1" ht="15" hidden="1" customHeight="1" x14ac:dyDescent="0.2">
      <c r="A95" s="3" t="s">
        <v>100</v>
      </c>
      <c r="B95" s="5" t="s">
        <v>39</v>
      </c>
      <c r="C95" s="5">
        <v>900</v>
      </c>
      <c r="D95" s="20">
        <v>3000</v>
      </c>
      <c r="E95" s="3"/>
      <c r="F95" s="3" t="s">
        <v>123</v>
      </c>
      <c r="G95" s="42"/>
      <c r="H95" s="3"/>
      <c r="I95" s="9">
        <v>43441</v>
      </c>
      <c r="J95" s="3" t="s">
        <v>13</v>
      </c>
      <c r="K95" s="3"/>
      <c r="L95" s="3"/>
      <c r="M95" s="3"/>
      <c r="N95" s="31"/>
    </row>
    <row r="96" spans="1:14" s="4" customFormat="1" ht="15" hidden="1" customHeight="1" x14ac:dyDescent="0.2">
      <c r="A96" s="3" t="s">
        <v>100</v>
      </c>
      <c r="B96" s="5" t="s">
        <v>39</v>
      </c>
      <c r="C96" s="5">
        <v>940</v>
      </c>
      <c r="D96" s="20">
        <v>200</v>
      </c>
      <c r="E96" s="3"/>
      <c r="F96" s="3" t="s">
        <v>123</v>
      </c>
      <c r="G96" s="42"/>
      <c r="H96" s="3"/>
      <c r="I96" s="9">
        <v>43441</v>
      </c>
      <c r="J96" s="3" t="s">
        <v>13</v>
      </c>
      <c r="K96" s="3"/>
      <c r="L96" s="3"/>
      <c r="M96" s="3"/>
      <c r="N96" s="31"/>
    </row>
    <row r="97" spans="1:14" s="4" customFormat="1" ht="15" hidden="1" customHeight="1" x14ac:dyDescent="0.2">
      <c r="A97" s="3" t="s">
        <v>100</v>
      </c>
      <c r="B97" s="5" t="s">
        <v>39</v>
      </c>
      <c r="C97" s="5">
        <v>980</v>
      </c>
      <c r="D97" s="20">
        <v>700</v>
      </c>
      <c r="E97" s="3"/>
      <c r="F97" s="3" t="s">
        <v>123</v>
      </c>
      <c r="G97" s="42"/>
      <c r="H97" s="3"/>
      <c r="I97" s="9">
        <v>43441</v>
      </c>
      <c r="J97" s="3" t="s">
        <v>13</v>
      </c>
      <c r="K97" s="3"/>
      <c r="L97" s="3"/>
      <c r="M97" s="3"/>
      <c r="N97" s="31"/>
    </row>
    <row r="98" spans="1:14" s="4" customFormat="1" ht="15" hidden="1" customHeight="1" x14ac:dyDescent="0.2">
      <c r="A98" s="3" t="s">
        <v>100</v>
      </c>
      <c r="B98" s="5" t="s">
        <v>39</v>
      </c>
      <c r="C98" s="5">
        <v>1000</v>
      </c>
      <c r="D98" s="20">
        <v>1200</v>
      </c>
      <c r="E98" s="3"/>
      <c r="F98" s="3" t="s">
        <v>123</v>
      </c>
      <c r="G98" s="42"/>
      <c r="H98" s="3"/>
      <c r="I98" s="9">
        <v>43441</v>
      </c>
      <c r="J98" s="3" t="s">
        <v>13</v>
      </c>
      <c r="K98" s="3"/>
      <c r="L98" s="3"/>
      <c r="M98" s="3"/>
      <c r="N98" s="31"/>
    </row>
    <row r="99" spans="1:14" s="4" customFormat="1" ht="15" hidden="1" customHeight="1" x14ac:dyDescent="0.2">
      <c r="A99" s="5" t="s">
        <v>100</v>
      </c>
      <c r="B99" s="5" t="s">
        <v>39</v>
      </c>
      <c r="C99" s="5">
        <v>1040</v>
      </c>
      <c r="D99" s="20">
        <v>300</v>
      </c>
      <c r="E99" s="3"/>
      <c r="F99" s="3" t="s">
        <v>123</v>
      </c>
      <c r="G99" s="42"/>
      <c r="H99" s="3"/>
      <c r="I99" s="9">
        <v>43441</v>
      </c>
      <c r="J99" s="3" t="s">
        <v>13</v>
      </c>
      <c r="K99" s="3"/>
      <c r="L99" s="3"/>
      <c r="M99" s="3"/>
      <c r="N99" s="31"/>
    </row>
    <row r="100" spans="1:14" s="4" customFormat="1" ht="15" hidden="1" customHeight="1" x14ac:dyDescent="0.2">
      <c r="A100" s="5" t="s">
        <v>100</v>
      </c>
      <c r="B100" s="5" t="s">
        <v>39</v>
      </c>
      <c r="C100" s="5">
        <v>1060</v>
      </c>
      <c r="D100" s="20">
        <v>500</v>
      </c>
      <c r="E100" s="3"/>
      <c r="F100" s="3" t="s">
        <v>123</v>
      </c>
      <c r="G100" s="42"/>
      <c r="H100" s="3"/>
      <c r="I100" s="9">
        <v>43441</v>
      </c>
      <c r="J100" s="3" t="s">
        <v>13</v>
      </c>
      <c r="K100" s="3"/>
      <c r="L100" s="3"/>
      <c r="M100" s="3"/>
      <c r="N100" s="31"/>
    </row>
    <row r="101" spans="1:14" s="4" customFormat="1" ht="15" hidden="1" customHeight="1" x14ac:dyDescent="0.2">
      <c r="A101" s="5" t="s">
        <v>100</v>
      </c>
      <c r="B101" s="5" t="s">
        <v>39</v>
      </c>
      <c r="C101" s="5">
        <v>600</v>
      </c>
      <c r="D101" s="20">
        <v>3000</v>
      </c>
      <c r="E101" s="3"/>
      <c r="F101" s="3" t="s">
        <v>123</v>
      </c>
      <c r="G101" s="42"/>
      <c r="H101" s="3"/>
      <c r="I101" s="9">
        <v>43441</v>
      </c>
      <c r="J101" s="3" t="s">
        <v>13</v>
      </c>
      <c r="K101" s="3"/>
      <c r="L101" s="3"/>
      <c r="M101" s="3"/>
      <c r="N101" s="31"/>
    </row>
    <row r="102" spans="1:14" s="4" customFormat="1" ht="15" hidden="1" customHeight="1" x14ac:dyDescent="0.2">
      <c r="A102" s="5" t="s">
        <v>100</v>
      </c>
      <c r="B102" s="5" t="s">
        <v>39</v>
      </c>
      <c r="C102" s="5">
        <v>660</v>
      </c>
      <c r="D102" s="20">
        <v>200</v>
      </c>
      <c r="E102" s="3"/>
      <c r="F102" s="3" t="s">
        <v>123</v>
      </c>
      <c r="G102" s="42"/>
      <c r="H102" s="3"/>
      <c r="I102" s="9">
        <v>43441</v>
      </c>
      <c r="J102" s="3" t="s">
        <v>13</v>
      </c>
      <c r="K102" s="3"/>
      <c r="L102" s="3"/>
      <c r="M102" s="3"/>
      <c r="N102" s="31"/>
    </row>
    <row r="103" spans="1:14" s="4" customFormat="1" ht="15" hidden="1" customHeight="1" x14ac:dyDescent="0.2">
      <c r="A103" s="5" t="s">
        <v>100</v>
      </c>
      <c r="B103" s="5" t="s">
        <v>37</v>
      </c>
      <c r="C103" s="5">
        <v>700</v>
      </c>
      <c r="D103" s="20">
        <v>300</v>
      </c>
      <c r="E103" s="3"/>
      <c r="F103" s="3" t="s">
        <v>123</v>
      </c>
      <c r="G103" s="42"/>
      <c r="H103" s="3"/>
      <c r="I103" s="9">
        <v>43441</v>
      </c>
      <c r="J103" s="3" t="s">
        <v>13</v>
      </c>
      <c r="K103" s="3"/>
      <c r="L103" s="3"/>
      <c r="M103" s="3"/>
      <c r="N103" s="31"/>
    </row>
    <row r="104" spans="1:14" s="4" customFormat="1" ht="15" hidden="1" customHeight="1" x14ac:dyDescent="0.2">
      <c r="A104" s="5" t="s">
        <v>100</v>
      </c>
      <c r="B104" s="5" t="s">
        <v>37</v>
      </c>
      <c r="C104" s="5">
        <v>720</v>
      </c>
      <c r="D104" s="6">
        <v>200</v>
      </c>
      <c r="E104" s="3"/>
      <c r="F104" s="3" t="s">
        <v>123</v>
      </c>
      <c r="G104" s="42"/>
      <c r="H104" s="3"/>
      <c r="I104" s="9">
        <v>43441</v>
      </c>
      <c r="J104" s="3" t="s">
        <v>13</v>
      </c>
      <c r="K104" s="3"/>
      <c r="L104" s="3"/>
      <c r="M104" s="3"/>
      <c r="N104" s="31"/>
    </row>
    <row r="105" spans="1:14" s="4" customFormat="1" ht="15" hidden="1" customHeight="1" x14ac:dyDescent="0.2">
      <c r="A105" s="5" t="s">
        <v>100</v>
      </c>
      <c r="B105" s="5" t="s">
        <v>37</v>
      </c>
      <c r="C105" s="5">
        <v>760</v>
      </c>
      <c r="D105" s="6">
        <v>1500</v>
      </c>
      <c r="E105" s="3"/>
      <c r="F105" s="3" t="s">
        <v>123</v>
      </c>
      <c r="G105" s="42"/>
      <c r="H105" s="3"/>
      <c r="I105" s="9">
        <v>43441</v>
      </c>
      <c r="J105" s="3" t="s">
        <v>13</v>
      </c>
      <c r="K105" s="3"/>
      <c r="L105" s="3"/>
      <c r="M105" s="3"/>
      <c r="N105" s="31"/>
    </row>
    <row r="106" spans="1:14" s="4" customFormat="1" ht="15" hidden="1" customHeight="1" x14ac:dyDescent="0.2">
      <c r="A106" s="5" t="s">
        <v>100</v>
      </c>
      <c r="B106" s="5" t="s">
        <v>37</v>
      </c>
      <c r="C106" s="5">
        <v>980</v>
      </c>
      <c r="D106" s="6">
        <v>200</v>
      </c>
      <c r="E106" s="3"/>
      <c r="F106" s="3" t="s">
        <v>123</v>
      </c>
      <c r="G106" s="42"/>
      <c r="H106" s="3"/>
      <c r="I106" s="9">
        <v>43441</v>
      </c>
      <c r="J106" s="3" t="s">
        <v>13</v>
      </c>
      <c r="K106" s="3"/>
      <c r="L106" s="3"/>
      <c r="M106" s="3"/>
      <c r="N106" s="31"/>
    </row>
    <row r="107" spans="1:14" s="4" customFormat="1" ht="15" hidden="1" customHeight="1" x14ac:dyDescent="0.2">
      <c r="A107" s="5" t="s">
        <v>100</v>
      </c>
      <c r="B107" s="5" t="s">
        <v>37</v>
      </c>
      <c r="C107" s="5">
        <v>800</v>
      </c>
      <c r="D107" s="6">
        <v>2000</v>
      </c>
      <c r="E107" s="3"/>
      <c r="F107" s="3" t="s">
        <v>123</v>
      </c>
      <c r="G107" s="42"/>
      <c r="H107" s="3"/>
      <c r="I107" s="9">
        <v>43441</v>
      </c>
      <c r="J107" s="3" t="s">
        <v>13</v>
      </c>
      <c r="K107" s="3"/>
      <c r="L107" s="3"/>
      <c r="M107" s="3"/>
      <c r="N107" s="31"/>
    </row>
    <row r="108" spans="1:14" s="4" customFormat="1" ht="15" hidden="1" customHeight="1" x14ac:dyDescent="0.2">
      <c r="A108" s="5" t="s">
        <v>100</v>
      </c>
      <c r="B108" s="5" t="s">
        <v>38</v>
      </c>
      <c r="C108" s="5">
        <v>760</v>
      </c>
      <c r="D108" s="6">
        <v>2000</v>
      </c>
      <c r="E108" s="3"/>
      <c r="F108" s="3" t="s">
        <v>123</v>
      </c>
      <c r="G108" s="42"/>
      <c r="H108" s="3"/>
      <c r="I108" s="9">
        <v>43441</v>
      </c>
      <c r="J108" s="3" t="s">
        <v>13</v>
      </c>
      <c r="K108" s="3"/>
      <c r="L108" s="3"/>
      <c r="M108" s="3"/>
      <c r="N108" s="31"/>
    </row>
    <row r="109" spans="1:14" s="4" customFormat="1" ht="15" hidden="1" customHeight="1" x14ac:dyDescent="0.2">
      <c r="A109" s="5" t="s">
        <v>100</v>
      </c>
      <c r="B109" s="5" t="s">
        <v>38</v>
      </c>
      <c r="C109" s="5">
        <v>840</v>
      </c>
      <c r="D109" s="6">
        <v>500</v>
      </c>
      <c r="E109" s="3"/>
      <c r="F109" s="3" t="s">
        <v>123</v>
      </c>
      <c r="G109" s="42"/>
      <c r="H109" s="3"/>
      <c r="I109" s="9">
        <v>43441</v>
      </c>
      <c r="J109" s="3" t="s">
        <v>13</v>
      </c>
      <c r="K109" s="3"/>
      <c r="L109" s="3"/>
      <c r="M109" s="3"/>
      <c r="N109" s="31"/>
    </row>
    <row r="110" spans="1:14" s="4" customFormat="1" ht="15" hidden="1" customHeight="1" x14ac:dyDescent="0.2">
      <c r="A110" s="5" t="s">
        <v>100</v>
      </c>
      <c r="B110" s="5" t="s">
        <v>38</v>
      </c>
      <c r="C110" s="5">
        <v>920</v>
      </c>
      <c r="D110" s="6">
        <v>1100</v>
      </c>
      <c r="E110" s="3"/>
      <c r="F110" s="3" t="s">
        <v>123</v>
      </c>
      <c r="G110" s="42"/>
      <c r="H110" s="3"/>
      <c r="I110" s="9">
        <v>43441</v>
      </c>
      <c r="J110" s="3" t="s">
        <v>13</v>
      </c>
      <c r="K110" s="3"/>
      <c r="L110" s="3"/>
      <c r="M110" s="3"/>
      <c r="N110" s="31"/>
    </row>
    <row r="111" spans="1:14" s="4" customFormat="1" ht="15" hidden="1" customHeight="1" x14ac:dyDescent="0.2">
      <c r="A111" s="5" t="s">
        <v>100</v>
      </c>
      <c r="B111" s="5" t="s">
        <v>36</v>
      </c>
      <c r="C111" s="5">
        <v>640</v>
      </c>
      <c r="D111" s="6">
        <v>1500</v>
      </c>
      <c r="E111" s="3"/>
      <c r="F111" s="3" t="s">
        <v>123</v>
      </c>
      <c r="G111" s="42"/>
      <c r="H111" s="3"/>
      <c r="I111" s="9">
        <v>43441</v>
      </c>
      <c r="J111" s="3" t="s">
        <v>13</v>
      </c>
      <c r="K111" s="3"/>
      <c r="L111" s="3"/>
      <c r="M111" s="3"/>
      <c r="N111" s="31"/>
    </row>
    <row r="112" spans="1:14" s="4" customFormat="1" ht="15" hidden="1" customHeight="1" x14ac:dyDescent="0.2">
      <c r="A112" s="5" t="s">
        <v>100</v>
      </c>
      <c r="B112" s="5" t="s">
        <v>36</v>
      </c>
      <c r="C112" s="5">
        <v>680</v>
      </c>
      <c r="D112" s="6">
        <v>200</v>
      </c>
      <c r="E112" s="3"/>
      <c r="F112" s="3" t="s">
        <v>123</v>
      </c>
      <c r="G112" s="42"/>
      <c r="H112" s="3"/>
      <c r="I112" s="9">
        <v>43441</v>
      </c>
      <c r="J112" s="3" t="s">
        <v>13</v>
      </c>
      <c r="K112" s="3"/>
      <c r="L112" s="3"/>
      <c r="M112" s="3"/>
      <c r="N112" s="31"/>
    </row>
    <row r="113" spans="1:14" s="4" customFormat="1" ht="15" hidden="1" customHeight="1" x14ac:dyDescent="0.2">
      <c r="A113" s="5" t="s">
        <v>100</v>
      </c>
      <c r="B113" s="5" t="s">
        <v>36</v>
      </c>
      <c r="C113" s="5">
        <v>700</v>
      </c>
      <c r="D113" s="6">
        <v>200</v>
      </c>
      <c r="E113" s="3"/>
      <c r="F113" s="3" t="s">
        <v>123</v>
      </c>
      <c r="G113" s="42"/>
      <c r="H113" s="3"/>
      <c r="I113" s="9">
        <v>43441</v>
      </c>
      <c r="J113" s="3" t="s">
        <v>13</v>
      </c>
      <c r="K113" s="3"/>
      <c r="L113" s="3"/>
      <c r="M113" s="3"/>
      <c r="N113" s="31"/>
    </row>
    <row r="114" spans="1:14" s="4" customFormat="1" ht="15" hidden="1" customHeight="1" x14ac:dyDescent="0.2">
      <c r="A114" s="5" t="s">
        <v>100</v>
      </c>
      <c r="B114" s="5" t="s">
        <v>36</v>
      </c>
      <c r="C114" s="5">
        <v>720</v>
      </c>
      <c r="D114" s="6">
        <v>500</v>
      </c>
      <c r="E114" s="3"/>
      <c r="F114" s="3" t="s">
        <v>123</v>
      </c>
      <c r="G114" s="42"/>
      <c r="H114" s="3"/>
      <c r="I114" s="9">
        <v>43441</v>
      </c>
      <c r="J114" s="3" t="s">
        <v>13</v>
      </c>
      <c r="K114" s="3"/>
      <c r="L114" s="3"/>
      <c r="M114" s="3"/>
      <c r="N114" s="31"/>
    </row>
    <row r="115" spans="1:14" s="4" customFormat="1" ht="15" hidden="1" customHeight="1" x14ac:dyDescent="0.2">
      <c r="A115" s="3" t="s">
        <v>100</v>
      </c>
      <c r="B115" s="5" t="s">
        <v>36</v>
      </c>
      <c r="C115" s="5">
        <v>800</v>
      </c>
      <c r="D115" s="6">
        <v>1500</v>
      </c>
      <c r="E115" s="3"/>
      <c r="F115" s="3" t="s">
        <v>123</v>
      </c>
      <c r="G115" s="42"/>
      <c r="H115" s="3"/>
      <c r="I115" s="9">
        <v>43441</v>
      </c>
      <c r="J115" s="3" t="s">
        <v>13</v>
      </c>
      <c r="K115" s="3"/>
      <c r="L115" s="3"/>
      <c r="M115" s="3"/>
      <c r="N115" s="31"/>
    </row>
    <row r="116" spans="1:14" s="4" customFormat="1" ht="15" hidden="1" customHeight="1" x14ac:dyDescent="0.2">
      <c r="A116" s="3" t="s">
        <v>100</v>
      </c>
      <c r="B116" s="5" t="s">
        <v>36</v>
      </c>
      <c r="C116" s="5">
        <v>960</v>
      </c>
      <c r="D116" s="6">
        <v>500</v>
      </c>
      <c r="E116" s="3"/>
      <c r="F116" s="3" t="s">
        <v>123</v>
      </c>
      <c r="G116" s="42"/>
      <c r="H116" s="3"/>
      <c r="I116" s="9">
        <v>43441</v>
      </c>
      <c r="J116" s="3" t="s">
        <v>13</v>
      </c>
      <c r="K116" s="3"/>
      <c r="L116" s="3"/>
      <c r="M116" s="3"/>
      <c r="N116" s="31"/>
    </row>
    <row r="117" spans="1:14" s="4" customFormat="1" ht="15" hidden="1" customHeight="1" x14ac:dyDescent="0.2">
      <c r="A117" s="3" t="s">
        <v>100</v>
      </c>
      <c r="B117" s="5" t="s">
        <v>36</v>
      </c>
      <c r="C117" s="5">
        <v>940</v>
      </c>
      <c r="D117" s="6">
        <v>400</v>
      </c>
      <c r="E117" s="3"/>
      <c r="F117" s="3" t="s">
        <v>123</v>
      </c>
      <c r="G117" s="42"/>
      <c r="H117" s="3"/>
      <c r="I117" s="9">
        <v>43441</v>
      </c>
      <c r="J117" s="3" t="s">
        <v>13</v>
      </c>
      <c r="K117" s="3"/>
      <c r="L117" s="3"/>
      <c r="M117" s="3"/>
      <c r="N117" s="31"/>
    </row>
    <row r="118" spans="1:14" s="4" customFormat="1" ht="15" hidden="1" customHeight="1" x14ac:dyDescent="0.2">
      <c r="A118" s="3" t="s">
        <v>100</v>
      </c>
      <c r="B118" s="5" t="s">
        <v>36</v>
      </c>
      <c r="C118" s="5">
        <v>920</v>
      </c>
      <c r="D118" s="6">
        <v>800</v>
      </c>
      <c r="E118" s="3"/>
      <c r="F118" s="3" t="s">
        <v>123</v>
      </c>
      <c r="G118" s="42"/>
      <c r="H118" s="3"/>
      <c r="I118" s="9">
        <v>43441</v>
      </c>
      <c r="J118" s="3" t="s">
        <v>13</v>
      </c>
      <c r="K118" s="3"/>
      <c r="L118" s="3"/>
      <c r="M118" s="3"/>
      <c r="N118" s="31"/>
    </row>
    <row r="119" spans="1:14" s="4" customFormat="1" ht="15" hidden="1" customHeight="1" x14ac:dyDescent="0.2">
      <c r="A119" s="3" t="s">
        <v>100</v>
      </c>
      <c r="B119" s="5" t="s">
        <v>36</v>
      </c>
      <c r="C119" s="5">
        <v>1000</v>
      </c>
      <c r="D119" s="6">
        <v>500</v>
      </c>
      <c r="E119" s="3"/>
      <c r="F119" s="3" t="s">
        <v>123</v>
      </c>
      <c r="G119" s="42"/>
      <c r="H119" s="3"/>
      <c r="I119" s="9">
        <v>43441</v>
      </c>
      <c r="J119" s="3" t="s">
        <v>13</v>
      </c>
      <c r="K119" s="3"/>
      <c r="L119" s="3"/>
      <c r="M119" s="3"/>
      <c r="N119" s="31"/>
    </row>
    <row r="120" spans="1:14" s="4" customFormat="1" ht="15" hidden="1" customHeight="1" x14ac:dyDescent="0.2">
      <c r="A120" s="3" t="s">
        <v>100</v>
      </c>
      <c r="B120" s="5" t="s">
        <v>36</v>
      </c>
      <c r="C120" s="5">
        <v>1040</v>
      </c>
      <c r="D120" s="6">
        <v>300</v>
      </c>
      <c r="E120" s="3"/>
      <c r="F120" s="3" t="s">
        <v>123</v>
      </c>
      <c r="G120" s="42"/>
      <c r="H120" s="3"/>
      <c r="I120" s="9">
        <v>43441</v>
      </c>
      <c r="J120" s="3" t="s">
        <v>13</v>
      </c>
      <c r="K120" s="3"/>
      <c r="L120" s="3"/>
      <c r="M120" s="3"/>
      <c r="N120" s="31"/>
    </row>
    <row r="121" spans="1:14" s="4" customFormat="1" ht="15" hidden="1" customHeight="1" x14ac:dyDescent="0.2">
      <c r="A121" s="3" t="s">
        <v>101</v>
      </c>
      <c r="B121" s="5" t="s">
        <v>39</v>
      </c>
      <c r="C121" s="5">
        <v>900</v>
      </c>
      <c r="D121" s="6">
        <v>4000</v>
      </c>
      <c r="E121" s="3">
        <f>1315.6+1767.2+892</f>
        <v>3974.8</v>
      </c>
      <c r="F121" s="3" t="s">
        <v>8</v>
      </c>
      <c r="G121" s="42" t="s">
        <v>146</v>
      </c>
      <c r="H121" s="3" t="s">
        <v>103</v>
      </c>
      <c r="I121" s="9">
        <v>43441</v>
      </c>
      <c r="J121" s="3" t="s">
        <v>57</v>
      </c>
      <c r="K121" s="3"/>
      <c r="L121" s="3">
        <v>1</v>
      </c>
      <c r="M121" s="18">
        <f t="shared" ref="M121:M184" si="7">L121*C121</f>
        <v>900</v>
      </c>
      <c r="N121" s="32">
        <f t="shared" ref="N121:N184" si="8">(D121-E121)/(M121*0.17)</f>
        <v>0.16470588235293998</v>
      </c>
    </row>
    <row r="122" spans="1:14" s="60" customFormat="1" ht="15" hidden="1" customHeight="1" x14ac:dyDescent="0.2">
      <c r="A122" s="55" t="s">
        <v>101</v>
      </c>
      <c r="B122" s="54" t="s">
        <v>39</v>
      </c>
      <c r="C122" s="54">
        <v>1020</v>
      </c>
      <c r="D122" s="56">
        <v>2000</v>
      </c>
      <c r="E122" s="55">
        <f>203.1+1873.9</f>
        <v>2077</v>
      </c>
      <c r="F122" s="55" t="s">
        <v>8</v>
      </c>
      <c r="G122" s="57">
        <v>3</v>
      </c>
      <c r="H122" s="55" t="s">
        <v>103</v>
      </c>
      <c r="I122" s="58">
        <v>43441</v>
      </c>
      <c r="J122" s="55" t="s">
        <v>57</v>
      </c>
      <c r="K122" s="55"/>
      <c r="L122" s="55">
        <v>1</v>
      </c>
      <c r="M122" s="55">
        <f t="shared" si="7"/>
        <v>1020</v>
      </c>
      <c r="N122" s="59">
        <f t="shared" si="8"/>
        <v>-0.44405997693194926</v>
      </c>
    </row>
    <row r="123" spans="1:14" s="4" customFormat="1" ht="15" hidden="1" customHeight="1" x14ac:dyDescent="0.2">
      <c r="A123" s="3" t="s">
        <v>101</v>
      </c>
      <c r="B123" s="5" t="s">
        <v>39</v>
      </c>
      <c r="C123" s="5">
        <v>1050</v>
      </c>
      <c r="D123" s="6">
        <v>2000</v>
      </c>
      <c r="E123" s="3">
        <f>765.6+1287.7</f>
        <v>2053.3000000000002</v>
      </c>
      <c r="F123" s="3" t="s">
        <v>8</v>
      </c>
      <c r="G123" s="42" t="s">
        <v>146</v>
      </c>
      <c r="H123" s="3" t="s">
        <v>103</v>
      </c>
      <c r="I123" s="9">
        <v>43441</v>
      </c>
      <c r="J123" s="3" t="s">
        <v>57</v>
      </c>
      <c r="K123" s="3"/>
      <c r="L123" s="3">
        <v>1</v>
      </c>
      <c r="M123" s="18">
        <f t="shared" si="7"/>
        <v>1050</v>
      </c>
      <c r="N123" s="32">
        <f t="shared" si="8"/>
        <v>-0.29859943977591136</v>
      </c>
    </row>
    <row r="124" spans="1:14" s="60" customFormat="1" ht="15" hidden="1" customHeight="1" x14ac:dyDescent="0.2">
      <c r="A124" s="55" t="s">
        <v>101</v>
      </c>
      <c r="B124" s="54" t="s">
        <v>39</v>
      </c>
      <c r="C124" s="54">
        <v>1080</v>
      </c>
      <c r="D124" s="56">
        <v>3000</v>
      </c>
      <c r="E124" s="55">
        <f>1230.4+1805.7</f>
        <v>3036.1000000000004</v>
      </c>
      <c r="F124" s="55" t="s">
        <v>8</v>
      </c>
      <c r="G124" s="57" t="s">
        <v>146</v>
      </c>
      <c r="H124" s="55" t="s">
        <v>103</v>
      </c>
      <c r="I124" s="58">
        <v>43441</v>
      </c>
      <c r="J124" s="55" t="s">
        <v>57</v>
      </c>
      <c r="K124" s="55"/>
      <c r="L124" s="55">
        <v>1</v>
      </c>
      <c r="M124" s="55">
        <f t="shared" si="7"/>
        <v>1080</v>
      </c>
      <c r="N124" s="59">
        <f t="shared" si="8"/>
        <v>-0.19662309368191916</v>
      </c>
    </row>
    <row r="125" spans="1:14" s="78" customFormat="1" ht="15" hidden="1" customHeight="1" x14ac:dyDescent="0.2">
      <c r="A125" s="16" t="s">
        <v>101</v>
      </c>
      <c r="B125" s="73" t="s">
        <v>39</v>
      </c>
      <c r="C125" s="73">
        <v>1100</v>
      </c>
      <c r="D125" s="74">
        <v>2000</v>
      </c>
      <c r="E125" s="16">
        <f>749.8+1245.9</f>
        <v>1995.7</v>
      </c>
      <c r="F125" s="16" t="s">
        <v>8</v>
      </c>
      <c r="G125" s="75" t="s">
        <v>146</v>
      </c>
      <c r="H125" s="16" t="s">
        <v>103</v>
      </c>
      <c r="I125" s="76">
        <v>43441</v>
      </c>
      <c r="J125" s="16" t="s">
        <v>57</v>
      </c>
      <c r="K125" s="16"/>
      <c r="L125" s="16">
        <v>1</v>
      </c>
      <c r="M125" s="16">
        <f t="shared" si="7"/>
        <v>1100</v>
      </c>
      <c r="N125" s="77">
        <f t="shared" si="8"/>
        <v>2.299465240641687E-2</v>
      </c>
    </row>
    <row r="126" spans="1:14" s="4" customFormat="1" ht="15" hidden="1" customHeight="1" x14ac:dyDescent="0.2">
      <c r="A126" s="3" t="s">
        <v>101</v>
      </c>
      <c r="B126" s="5" t="s">
        <v>39</v>
      </c>
      <c r="C126" s="5">
        <v>1140</v>
      </c>
      <c r="D126" s="6">
        <v>4000</v>
      </c>
      <c r="E126" s="64">
        <f>206.8+1307.8+2423.8</f>
        <v>3938.4</v>
      </c>
      <c r="F126" s="3" t="s">
        <v>8</v>
      </c>
      <c r="G126" s="42" t="s">
        <v>146</v>
      </c>
      <c r="H126" s="3" t="s">
        <v>103</v>
      </c>
      <c r="I126" s="9">
        <v>43441</v>
      </c>
      <c r="J126" s="3" t="s">
        <v>57</v>
      </c>
      <c r="K126" s="3"/>
      <c r="L126" s="3">
        <v>1</v>
      </c>
      <c r="M126" s="18">
        <f t="shared" si="7"/>
        <v>1140</v>
      </c>
      <c r="N126" s="32">
        <f t="shared" si="8"/>
        <v>0.31785345717234215</v>
      </c>
    </row>
    <row r="127" spans="1:14" s="71" customFormat="1" ht="15" hidden="1" customHeight="1" x14ac:dyDescent="0.2">
      <c r="A127" s="65" t="s">
        <v>101</v>
      </c>
      <c r="B127" s="66" t="s">
        <v>39</v>
      </c>
      <c r="C127" s="66">
        <v>1185</v>
      </c>
      <c r="D127" s="67">
        <v>1000</v>
      </c>
      <c r="E127" s="72">
        <f>995</f>
        <v>995</v>
      </c>
      <c r="F127" s="65" t="s">
        <v>8</v>
      </c>
      <c r="G127" s="68" t="s">
        <v>146</v>
      </c>
      <c r="H127" s="65" t="s">
        <v>103</v>
      </c>
      <c r="I127" s="69">
        <v>43441</v>
      </c>
      <c r="J127" s="65" t="s">
        <v>57</v>
      </c>
      <c r="K127" s="65"/>
      <c r="L127" s="65">
        <v>1</v>
      </c>
      <c r="M127" s="65">
        <f t="shared" si="7"/>
        <v>1185</v>
      </c>
      <c r="N127" s="70">
        <f t="shared" si="8"/>
        <v>2.4820054604120127E-2</v>
      </c>
    </row>
    <row r="128" spans="1:14" s="78" customFormat="1" ht="15" hidden="1" customHeight="1" x14ac:dyDescent="0.2">
      <c r="A128" s="16" t="s">
        <v>101</v>
      </c>
      <c r="B128" s="73" t="s">
        <v>39</v>
      </c>
      <c r="C128" s="73">
        <v>1200</v>
      </c>
      <c r="D128" s="74">
        <v>4000</v>
      </c>
      <c r="E128" s="80">
        <f>1668+505.5+1909</f>
        <v>4082.5</v>
      </c>
      <c r="F128" s="46" t="s">
        <v>8</v>
      </c>
      <c r="G128" s="75" t="s">
        <v>146</v>
      </c>
      <c r="H128" s="16" t="s">
        <v>103</v>
      </c>
      <c r="I128" s="76">
        <v>43441</v>
      </c>
      <c r="J128" s="16" t="s">
        <v>57</v>
      </c>
      <c r="K128" s="16"/>
      <c r="L128" s="16">
        <v>1</v>
      </c>
      <c r="M128" s="16">
        <f t="shared" si="7"/>
        <v>1200</v>
      </c>
      <c r="N128" s="77">
        <f t="shared" si="8"/>
        <v>-0.4044117647058823</v>
      </c>
    </row>
    <row r="129" spans="1:14" s="71" customFormat="1" ht="15" hidden="1" customHeight="1" x14ac:dyDescent="0.2">
      <c r="A129" s="65" t="s">
        <v>101</v>
      </c>
      <c r="B129" s="66" t="s">
        <v>39</v>
      </c>
      <c r="C129" s="66">
        <v>1230</v>
      </c>
      <c r="D129" s="67">
        <v>2000</v>
      </c>
      <c r="E129" s="65">
        <f>2067.5</f>
        <v>2067.5</v>
      </c>
      <c r="F129" s="65" t="s">
        <v>8</v>
      </c>
      <c r="G129" s="68" t="s">
        <v>146</v>
      </c>
      <c r="H129" s="65" t="s">
        <v>103</v>
      </c>
      <c r="I129" s="69">
        <v>43441</v>
      </c>
      <c r="J129" s="65" t="s">
        <v>57</v>
      </c>
      <c r="K129" s="65"/>
      <c r="L129" s="65">
        <v>1</v>
      </c>
      <c r="M129" s="65">
        <f t="shared" si="7"/>
        <v>1230</v>
      </c>
      <c r="N129" s="70">
        <f t="shared" si="8"/>
        <v>-0.32281205164992821</v>
      </c>
    </row>
    <row r="130" spans="1:14" s="78" customFormat="1" ht="15" hidden="1" customHeight="1" x14ac:dyDescent="0.2">
      <c r="A130" s="16" t="s">
        <v>101</v>
      </c>
      <c r="B130" s="73" t="s">
        <v>39</v>
      </c>
      <c r="C130" s="73">
        <v>1260</v>
      </c>
      <c r="D130" s="74">
        <v>4000</v>
      </c>
      <c r="E130" s="16">
        <f>4009.4</f>
        <v>4009.4</v>
      </c>
      <c r="F130" s="16" t="s">
        <v>8</v>
      </c>
      <c r="G130" s="75" t="s">
        <v>146</v>
      </c>
      <c r="H130" s="16" t="s">
        <v>103</v>
      </c>
      <c r="I130" s="76">
        <v>43441</v>
      </c>
      <c r="J130" s="16" t="s">
        <v>57</v>
      </c>
      <c r="K130" s="16"/>
      <c r="L130" s="16">
        <v>1</v>
      </c>
      <c r="M130" s="16">
        <f t="shared" si="7"/>
        <v>1260</v>
      </c>
      <c r="N130" s="77">
        <f t="shared" si="8"/>
        <v>-4.388422035480901E-2</v>
      </c>
    </row>
    <row r="131" spans="1:14" s="78" customFormat="1" ht="15" hidden="1" customHeight="1" x14ac:dyDescent="0.2">
      <c r="A131" s="16" t="s">
        <v>101</v>
      </c>
      <c r="B131" s="73" t="s">
        <v>39</v>
      </c>
      <c r="C131" s="73">
        <v>1290</v>
      </c>
      <c r="D131" s="74">
        <v>6000</v>
      </c>
      <c r="E131" s="16">
        <f>3782.6+2487.5</f>
        <v>6270.1</v>
      </c>
      <c r="F131" s="16" t="s">
        <v>8</v>
      </c>
      <c r="G131" s="75" t="s">
        <v>146</v>
      </c>
      <c r="H131" s="16" t="s">
        <v>103</v>
      </c>
      <c r="I131" s="76">
        <v>43441</v>
      </c>
      <c r="J131" s="16" t="s">
        <v>57</v>
      </c>
      <c r="K131" s="16"/>
      <c r="L131" s="16">
        <v>1</v>
      </c>
      <c r="M131" s="16">
        <f t="shared" si="7"/>
        <v>1290</v>
      </c>
      <c r="N131" s="77">
        <f t="shared" si="8"/>
        <v>-1.2316461468308268</v>
      </c>
    </row>
    <row r="132" spans="1:14" s="4" customFormat="1" ht="15" hidden="1" customHeight="1" x14ac:dyDescent="0.2">
      <c r="A132" s="3" t="s">
        <v>101</v>
      </c>
      <c r="B132" s="5" t="s">
        <v>39</v>
      </c>
      <c r="C132" s="5">
        <v>1320</v>
      </c>
      <c r="D132" s="6">
        <v>3000</v>
      </c>
      <c r="E132" s="3">
        <f>964+2269.8</f>
        <v>3233.8</v>
      </c>
      <c r="F132" s="3" t="s">
        <v>8</v>
      </c>
      <c r="G132" s="42" t="s">
        <v>146</v>
      </c>
      <c r="H132" s="3" t="s">
        <v>103</v>
      </c>
      <c r="I132" s="9">
        <v>43441</v>
      </c>
      <c r="J132" s="3" t="s">
        <v>57</v>
      </c>
      <c r="K132" s="3"/>
      <c r="L132" s="3">
        <v>1</v>
      </c>
      <c r="M132" s="18">
        <f t="shared" si="7"/>
        <v>1320</v>
      </c>
      <c r="N132" s="32">
        <f t="shared" si="8"/>
        <v>-1.0418894830659544</v>
      </c>
    </row>
    <row r="133" spans="1:14" s="52" customFormat="1" ht="15" hidden="1" customHeight="1" x14ac:dyDescent="0.2">
      <c r="A133" s="46" t="s">
        <v>102</v>
      </c>
      <c r="B133" s="47" t="s">
        <v>37</v>
      </c>
      <c r="C133" s="47">
        <v>1000</v>
      </c>
      <c r="D133" s="48">
        <v>2000</v>
      </c>
      <c r="E133" s="46">
        <f>2108.8</f>
        <v>2108.8000000000002</v>
      </c>
      <c r="F133" s="46" t="s">
        <v>8</v>
      </c>
      <c r="G133" s="49" t="s">
        <v>146</v>
      </c>
      <c r="H133" s="46" t="s">
        <v>103</v>
      </c>
      <c r="I133" s="50">
        <v>43441</v>
      </c>
      <c r="J133" s="46" t="s">
        <v>57</v>
      </c>
      <c r="K133" s="46"/>
      <c r="L133" s="46">
        <v>1</v>
      </c>
      <c r="M133" s="46">
        <f t="shared" si="7"/>
        <v>1000</v>
      </c>
      <c r="N133" s="51">
        <f t="shared" si="8"/>
        <v>-0.64000000000000112</v>
      </c>
    </row>
    <row r="134" spans="1:14" s="52" customFormat="1" ht="15" hidden="1" customHeight="1" x14ac:dyDescent="0.2">
      <c r="A134" s="46" t="s">
        <v>102</v>
      </c>
      <c r="B134" s="47" t="s">
        <v>37</v>
      </c>
      <c r="C134" s="47">
        <v>900</v>
      </c>
      <c r="D134" s="48">
        <v>4000</v>
      </c>
      <c r="E134" s="46">
        <f>754.6+3258.9</f>
        <v>4013.5</v>
      </c>
      <c r="F134" s="46" t="s">
        <v>8</v>
      </c>
      <c r="G134" s="49" t="s">
        <v>146</v>
      </c>
      <c r="H134" s="46" t="s">
        <v>103</v>
      </c>
      <c r="I134" s="50">
        <v>43441</v>
      </c>
      <c r="J134" s="46" t="s">
        <v>57</v>
      </c>
      <c r="K134" s="46"/>
      <c r="L134" s="46">
        <v>1</v>
      </c>
      <c r="M134" s="46">
        <f t="shared" si="7"/>
        <v>900</v>
      </c>
      <c r="N134" s="51">
        <f t="shared" si="8"/>
        <v>-8.8235294117647065E-2</v>
      </c>
    </row>
    <row r="135" spans="1:14" s="52" customFormat="1" ht="15" hidden="1" customHeight="1" x14ac:dyDescent="0.2">
      <c r="A135" s="46" t="s">
        <v>102</v>
      </c>
      <c r="B135" s="47" t="s">
        <v>37</v>
      </c>
      <c r="C135" s="47">
        <v>1020</v>
      </c>
      <c r="D135" s="48">
        <v>2000</v>
      </c>
      <c r="E135" s="46">
        <f>859.6+1234</f>
        <v>2093.6</v>
      </c>
      <c r="F135" s="46" t="s">
        <v>8</v>
      </c>
      <c r="G135" s="49" t="s">
        <v>146</v>
      </c>
      <c r="H135" s="46" t="s">
        <v>103</v>
      </c>
      <c r="I135" s="50">
        <v>43441</v>
      </c>
      <c r="J135" s="46" t="s">
        <v>57</v>
      </c>
      <c r="K135" s="46"/>
      <c r="L135" s="46">
        <v>1</v>
      </c>
      <c r="M135" s="46">
        <f t="shared" si="7"/>
        <v>1020</v>
      </c>
      <c r="N135" s="51">
        <f t="shared" si="8"/>
        <v>-0.53979238754325209</v>
      </c>
    </row>
    <row r="136" spans="1:14" s="52" customFormat="1" ht="15" hidden="1" customHeight="1" x14ac:dyDescent="0.2">
      <c r="A136" s="46" t="s">
        <v>102</v>
      </c>
      <c r="B136" s="47" t="s">
        <v>37</v>
      </c>
      <c r="C136" s="47">
        <v>1050</v>
      </c>
      <c r="D136" s="48">
        <v>3000</v>
      </c>
      <c r="E136" s="46">
        <f>3002.4</f>
        <v>3002.4</v>
      </c>
      <c r="F136" s="46" t="s">
        <v>8</v>
      </c>
      <c r="G136" s="49" t="s">
        <v>146</v>
      </c>
      <c r="H136" s="46" t="s">
        <v>103</v>
      </c>
      <c r="I136" s="50">
        <v>43441</v>
      </c>
      <c r="J136" s="46" t="s">
        <v>57</v>
      </c>
      <c r="K136" s="46"/>
      <c r="L136" s="46">
        <v>1</v>
      </c>
      <c r="M136" s="46">
        <f t="shared" si="7"/>
        <v>1050</v>
      </c>
      <c r="N136" s="51">
        <f t="shared" si="8"/>
        <v>-1.3445378151261013E-2</v>
      </c>
    </row>
    <row r="137" spans="1:14" s="52" customFormat="1" ht="15" hidden="1" customHeight="1" x14ac:dyDescent="0.2">
      <c r="A137" s="46" t="s">
        <v>102</v>
      </c>
      <c r="B137" s="47" t="s">
        <v>37</v>
      </c>
      <c r="C137" s="47">
        <v>1080</v>
      </c>
      <c r="D137" s="48">
        <v>3000</v>
      </c>
      <c r="E137" s="46">
        <f>3048.1</f>
        <v>3048.1</v>
      </c>
      <c r="F137" s="46" t="s">
        <v>8</v>
      </c>
      <c r="G137" s="49" t="s">
        <v>146</v>
      </c>
      <c r="H137" s="46" t="s">
        <v>103</v>
      </c>
      <c r="I137" s="50">
        <v>43441</v>
      </c>
      <c r="J137" s="46" t="s">
        <v>57</v>
      </c>
      <c r="K137" s="46"/>
      <c r="L137" s="46">
        <v>1</v>
      </c>
      <c r="M137" s="46">
        <f t="shared" si="7"/>
        <v>1080</v>
      </c>
      <c r="N137" s="51">
        <f t="shared" si="8"/>
        <v>-0.26198257080609971</v>
      </c>
    </row>
    <row r="138" spans="1:14" s="52" customFormat="1" ht="15" hidden="1" customHeight="1" x14ac:dyDescent="0.2">
      <c r="A138" s="46" t="s">
        <v>102</v>
      </c>
      <c r="B138" s="47" t="s">
        <v>37</v>
      </c>
      <c r="C138" s="47">
        <v>1200</v>
      </c>
      <c r="D138" s="48">
        <v>4000</v>
      </c>
      <c r="E138" s="46">
        <f>3202.1+795.5</f>
        <v>3997.6</v>
      </c>
      <c r="F138" s="46" t="s">
        <v>8</v>
      </c>
      <c r="G138" s="49" t="s">
        <v>146</v>
      </c>
      <c r="H138" s="46" t="s">
        <v>103</v>
      </c>
      <c r="I138" s="50">
        <v>43441</v>
      </c>
      <c r="J138" s="46" t="s">
        <v>57</v>
      </c>
      <c r="K138" s="46"/>
      <c r="L138" s="46">
        <v>1</v>
      </c>
      <c r="M138" s="46">
        <f t="shared" si="7"/>
        <v>1200</v>
      </c>
      <c r="N138" s="51">
        <f t="shared" si="8"/>
        <v>1.1764705882353385E-2</v>
      </c>
    </row>
    <row r="139" spans="1:14" s="52" customFormat="1" ht="15" hidden="1" customHeight="1" x14ac:dyDescent="0.2">
      <c r="A139" s="46" t="s">
        <v>102</v>
      </c>
      <c r="B139" s="47" t="s">
        <v>37</v>
      </c>
      <c r="C139" s="47">
        <v>1260</v>
      </c>
      <c r="D139" s="48">
        <v>4000</v>
      </c>
      <c r="E139" s="46">
        <f>3953</f>
        <v>3953</v>
      </c>
      <c r="F139" s="46" t="s">
        <v>8</v>
      </c>
      <c r="G139" s="49" t="s">
        <v>146</v>
      </c>
      <c r="H139" s="46" t="s">
        <v>103</v>
      </c>
      <c r="I139" s="50">
        <v>43441</v>
      </c>
      <c r="J139" s="46" t="s">
        <v>57</v>
      </c>
      <c r="K139" s="46"/>
      <c r="L139" s="46">
        <v>1</v>
      </c>
      <c r="M139" s="46">
        <f t="shared" si="7"/>
        <v>1260</v>
      </c>
      <c r="N139" s="51">
        <f t="shared" si="8"/>
        <v>0.21942110177404292</v>
      </c>
    </row>
    <row r="140" spans="1:14" s="52" customFormat="1" ht="15" hidden="1" customHeight="1" x14ac:dyDescent="0.2">
      <c r="A140" s="46" t="s">
        <v>102</v>
      </c>
      <c r="B140" s="47" t="s">
        <v>37</v>
      </c>
      <c r="C140" s="47">
        <v>1290</v>
      </c>
      <c r="D140" s="48">
        <v>2000</v>
      </c>
      <c r="E140" s="46">
        <f>2010.1</f>
        <v>2010.1</v>
      </c>
      <c r="F140" s="46" t="s">
        <v>8</v>
      </c>
      <c r="G140" s="49" t="s">
        <v>146</v>
      </c>
      <c r="H140" s="46" t="s">
        <v>103</v>
      </c>
      <c r="I140" s="50">
        <v>43441</v>
      </c>
      <c r="J140" s="46" t="s">
        <v>57</v>
      </c>
      <c r="K140" s="46"/>
      <c r="L140" s="46">
        <v>1</v>
      </c>
      <c r="M140" s="46">
        <f t="shared" si="7"/>
        <v>1290</v>
      </c>
      <c r="N140" s="51">
        <f t="shared" si="8"/>
        <v>-4.6055631554947143E-2</v>
      </c>
    </row>
    <row r="141" spans="1:14" s="52" customFormat="1" ht="15" hidden="1" customHeight="1" x14ac:dyDescent="0.2">
      <c r="A141" s="46" t="s">
        <v>102</v>
      </c>
      <c r="B141" s="47" t="s">
        <v>37</v>
      </c>
      <c r="C141" s="47">
        <v>1300</v>
      </c>
      <c r="D141" s="48">
        <v>2000</v>
      </c>
      <c r="E141" s="46">
        <f>2023.3</f>
        <v>2023.3</v>
      </c>
      <c r="F141" s="46" t="s">
        <v>8</v>
      </c>
      <c r="G141" s="49" t="s">
        <v>146</v>
      </c>
      <c r="H141" s="46" t="s">
        <v>103</v>
      </c>
      <c r="I141" s="50">
        <v>43441</v>
      </c>
      <c r="J141" s="46" t="s">
        <v>57</v>
      </c>
      <c r="K141" s="46"/>
      <c r="L141" s="46">
        <v>1</v>
      </c>
      <c r="M141" s="46">
        <f t="shared" si="7"/>
        <v>1300</v>
      </c>
      <c r="N141" s="51">
        <f t="shared" si="8"/>
        <v>-0.10542986425339344</v>
      </c>
    </row>
    <row r="142" spans="1:14" s="52" customFormat="1" ht="15" hidden="1" customHeight="1" x14ac:dyDescent="0.2">
      <c r="A142" s="46" t="s">
        <v>102</v>
      </c>
      <c r="B142" s="47" t="s">
        <v>37</v>
      </c>
      <c r="C142" s="47">
        <v>1160</v>
      </c>
      <c r="D142" s="48">
        <v>2000</v>
      </c>
      <c r="E142" s="46">
        <f>1531.8+503.9</f>
        <v>2035.6999999999998</v>
      </c>
      <c r="F142" s="46" t="s">
        <v>8</v>
      </c>
      <c r="G142" s="49" t="s">
        <v>146</v>
      </c>
      <c r="H142" s="46" t="s">
        <v>103</v>
      </c>
      <c r="I142" s="50">
        <v>43441</v>
      </c>
      <c r="J142" s="46" t="s">
        <v>57</v>
      </c>
      <c r="K142" s="46"/>
      <c r="L142" s="46">
        <v>1</v>
      </c>
      <c r="M142" s="46">
        <f t="shared" si="7"/>
        <v>1160</v>
      </c>
      <c r="N142" s="51">
        <f t="shared" si="8"/>
        <v>-0.18103448275861975</v>
      </c>
    </row>
    <row r="143" spans="1:14" s="52" customFormat="1" ht="15" hidden="1" customHeight="1" x14ac:dyDescent="0.2">
      <c r="A143" s="46" t="s">
        <v>102</v>
      </c>
      <c r="B143" s="47" t="s">
        <v>37</v>
      </c>
      <c r="C143" s="47">
        <v>1185</v>
      </c>
      <c r="D143" s="48">
        <v>2000</v>
      </c>
      <c r="E143" s="46">
        <f>1785.2+288.8</f>
        <v>2074</v>
      </c>
      <c r="F143" s="46" t="s">
        <v>8</v>
      </c>
      <c r="G143" s="49" t="s">
        <v>146</v>
      </c>
      <c r="H143" s="46" t="s">
        <v>103</v>
      </c>
      <c r="I143" s="50">
        <v>43441</v>
      </c>
      <c r="J143" s="46" t="s">
        <v>57</v>
      </c>
      <c r="K143" s="46"/>
      <c r="L143" s="46">
        <v>1</v>
      </c>
      <c r="M143" s="46">
        <f t="shared" si="7"/>
        <v>1185</v>
      </c>
      <c r="N143" s="51">
        <f t="shared" si="8"/>
        <v>-0.36733680814097786</v>
      </c>
    </row>
    <row r="144" spans="1:14" s="52" customFormat="1" ht="15" hidden="1" customHeight="1" x14ac:dyDescent="0.2">
      <c r="A144" s="46" t="s">
        <v>102</v>
      </c>
      <c r="B144" s="47" t="s">
        <v>37</v>
      </c>
      <c r="C144" s="47">
        <v>1320</v>
      </c>
      <c r="D144" s="48">
        <v>2000</v>
      </c>
      <c r="E144" s="46">
        <f>2031.8</f>
        <v>2031.8</v>
      </c>
      <c r="F144" s="46" t="s">
        <v>8</v>
      </c>
      <c r="G144" s="49" t="s">
        <v>146</v>
      </c>
      <c r="H144" s="46" t="s">
        <v>103</v>
      </c>
      <c r="I144" s="50">
        <v>43441</v>
      </c>
      <c r="J144" s="46" t="s">
        <v>57</v>
      </c>
      <c r="K144" s="46"/>
      <c r="L144" s="46">
        <v>1</v>
      </c>
      <c r="M144" s="46">
        <f t="shared" si="7"/>
        <v>1320</v>
      </c>
      <c r="N144" s="51">
        <f t="shared" si="8"/>
        <v>-0.14171122994652385</v>
      </c>
    </row>
    <row r="145" spans="1:14" s="52" customFormat="1" ht="15" hidden="1" customHeight="1" x14ac:dyDescent="0.2">
      <c r="A145" s="46" t="s">
        <v>102</v>
      </c>
      <c r="B145" s="47" t="s">
        <v>37</v>
      </c>
      <c r="C145" s="47">
        <v>1120</v>
      </c>
      <c r="D145" s="48">
        <v>2000</v>
      </c>
      <c r="E145" s="46">
        <f>1646.9+547.9</f>
        <v>2194.8000000000002</v>
      </c>
      <c r="F145" s="46" t="s">
        <v>8</v>
      </c>
      <c r="G145" s="49" t="s">
        <v>146</v>
      </c>
      <c r="H145" s="46" t="s">
        <v>103</v>
      </c>
      <c r="I145" s="50">
        <v>43441</v>
      </c>
      <c r="J145" s="46" t="s">
        <v>57</v>
      </c>
      <c r="K145" s="46"/>
      <c r="L145" s="46">
        <v>1</v>
      </c>
      <c r="M145" s="46">
        <f t="shared" si="7"/>
        <v>1120</v>
      </c>
      <c r="N145" s="51">
        <f t="shared" si="8"/>
        <v>-1.02310924369748</v>
      </c>
    </row>
    <row r="146" spans="1:14" s="52" customFormat="1" ht="15" hidden="1" customHeight="1" x14ac:dyDescent="0.2">
      <c r="A146" s="46" t="s">
        <v>102</v>
      </c>
      <c r="B146" s="47" t="s">
        <v>37</v>
      </c>
      <c r="C146" s="47">
        <v>1280</v>
      </c>
      <c r="D146" s="48">
        <v>2000</v>
      </c>
      <c r="E146" s="46">
        <f>1995.8</f>
        <v>1995.8</v>
      </c>
      <c r="F146" s="46" t="s">
        <v>8</v>
      </c>
      <c r="G146" s="49" t="s">
        <v>146</v>
      </c>
      <c r="H146" s="46" t="s">
        <v>103</v>
      </c>
      <c r="I146" s="50">
        <v>43441</v>
      </c>
      <c r="J146" s="46" t="s">
        <v>57</v>
      </c>
      <c r="K146" s="46"/>
      <c r="L146" s="46">
        <v>1</v>
      </c>
      <c r="M146" s="46">
        <f t="shared" si="7"/>
        <v>1280</v>
      </c>
      <c r="N146" s="51">
        <f t="shared" si="8"/>
        <v>1.93014705882355E-2</v>
      </c>
    </row>
    <row r="147" spans="1:14" s="52" customFormat="1" ht="15" hidden="1" customHeight="1" x14ac:dyDescent="0.2">
      <c r="A147" s="46" t="s">
        <v>102</v>
      </c>
      <c r="B147" s="47" t="s">
        <v>37</v>
      </c>
      <c r="C147" s="47">
        <v>1140</v>
      </c>
      <c r="D147" s="48">
        <v>1000</v>
      </c>
      <c r="E147" s="46">
        <f>837.7+279.2</f>
        <v>1116.9000000000001</v>
      </c>
      <c r="F147" s="46" t="s">
        <v>8</v>
      </c>
      <c r="G147" s="49" t="s">
        <v>146</v>
      </c>
      <c r="H147" s="46" t="s">
        <v>103</v>
      </c>
      <c r="I147" s="50">
        <v>43441</v>
      </c>
      <c r="J147" s="46" t="s">
        <v>57</v>
      </c>
      <c r="K147" s="46"/>
      <c r="L147" s="46">
        <v>1</v>
      </c>
      <c r="M147" s="46">
        <f t="shared" si="7"/>
        <v>1140</v>
      </c>
      <c r="N147" s="51">
        <f t="shared" si="8"/>
        <v>-0.6031991744066052</v>
      </c>
    </row>
    <row r="148" spans="1:14" s="4" customFormat="1" ht="15" hidden="1" customHeight="1" x14ac:dyDescent="0.2">
      <c r="A148" s="3" t="s">
        <v>104</v>
      </c>
      <c r="B148" s="5" t="s">
        <v>38</v>
      </c>
      <c r="C148" s="5">
        <v>1050</v>
      </c>
      <c r="D148" s="6">
        <v>10000</v>
      </c>
      <c r="E148" s="3">
        <f>1796.9</f>
        <v>1796.9</v>
      </c>
      <c r="F148" s="3" t="s">
        <v>316</v>
      </c>
      <c r="G148" s="42"/>
      <c r="H148" s="3" t="s">
        <v>103</v>
      </c>
      <c r="I148" s="9">
        <v>43441</v>
      </c>
      <c r="J148" s="3" t="s">
        <v>57</v>
      </c>
      <c r="K148" s="3"/>
      <c r="L148" s="3"/>
      <c r="M148" s="18">
        <f t="shared" si="7"/>
        <v>0</v>
      </c>
      <c r="N148" s="32" t="e">
        <f t="shared" si="8"/>
        <v>#DIV/0!</v>
      </c>
    </row>
    <row r="149" spans="1:14" s="4" customFormat="1" ht="15" hidden="1" customHeight="1" x14ac:dyDescent="0.2">
      <c r="A149" s="3" t="s">
        <v>104</v>
      </c>
      <c r="B149" s="5" t="s">
        <v>38</v>
      </c>
      <c r="C149" s="5">
        <v>1080</v>
      </c>
      <c r="D149" s="6">
        <v>6000</v>
      </c>
      <c r="E149" s="3"/>
      <c r="F149" s="3" t="s">
        <v>316</v>
      </c>
      <c r="G149" s="42"/>
      <c r="H149" s="3" t="s">
        <v>103</v>
      </c>
      <c r="I149" s="9">
        <v>43441</v>
      </c>
      <c r="J149" s="3" t="s">
        <v>57</v>
      </c>
      <c r="K149" s="3"/>
      <c r="L149" s="3"/>
      <c r="M149" s="18">
        <f t="shared" si="7"/>
        <v>0</v>
      </c>
      <c r="N149" s="32" t="e">
        <f t="shared" si="8"/>
        <v>#DIV/0!</v>
      </c>
    </row>
    <row r="150" spans="1:14" s="4" customFormat="1" ht="15" hidden="1" customHeight="1" x14ac:dyDescent="0.2">
      <c r="A150" s="3" t="s">
        <v>104</v>
      </c>
      <c r="B150" s="5" t="s">
        <v>38</v>
      </c>
      <c r="C150" s="5">
        <v>1220</v>
      </c>
      <c r="D150" s="6">
        <v>2000</v>
      </c>
      <c r="E150" s="3"/>
      <c r="F150" s="3" t="s">
        <v>316</v>
      </c>
      <c r="G150" s="42"/>
      <c r="H150" s="3" t="s">
        <v>103</v>
      </c>
      <c r="I150" s="9">
        <v>43441</v>
      </c>
      <c r="J150" s="3" t="s">
        <v>57</v>
      </c>
      <c r="K150" s="3"/>
      <c r="L150" s="3"/>
      <c r="M150" s="18">
        <f t="shared" si="7"/>
        <v>0</v>
      </c>
      <c r="N150" s="32" t="e">
        <f t="shared" si="8"/>
        <v>#DIV/0!</v>
      </c>
    </row>
    <row r="151" spans="1:14" s="4" customFormat="1" ht="15" hidden="1" customHeight="1" x14ac:dyDescent="0.2">
      <c r="A151" s="3" t="s">
        <v>104</v>
      </c>
      <c r="B151" s="5" t="s">
        <v>38</v>
      </c>
      <c r="C151" s="5">
        <v>1200</v>
      </c>
      <c r="D151" s="6">
        <v>5000</v>
      </c>
      <c r="E151" s="3"/>
      <c r="F151" s="3" t="s">
        <v>316</v>
      </c>
      <c r="G151" s="45"/>
      <c r="H151" s="3" t="s">
        <v>103</v>
      </c>
      <c r="I151" s="9">
        <v>43441</v>
      </c>
      <c r="J151" s="3" t="s">
        <v>57</v>
      </c>
      <c r="K151" s="3"/>
      <c r="L151" s="3"/>
      <c r="M151" s="18">
        <f t="shared" si="7"/>
        <v>0</v>
      </c>
      <c r="N151" s="32" t="e">
        <f t="shared" si="8"/>
        <v>#DIV/0!</v>
      </c>
    </row>
    <row r="152" spans="1:14" s="4" customFormat="1" ht="15" hidden="1" customHeight="1" x14ac:dyDescent="0.2">
      <c r="A152" s="3" t="s">
        <v>104</v>
      </c>
      <c r="B152" s="5" t="s">
        <v>38</v>
      </c>
      <c r="C152" s="5">
        <v>1175</v>
      </c>
      <c r="D152" s="6">
        <v>2000</v>
      </c>
      <c r="E152" s="3"/>
      <c r="F152" s="3" t="s">
        <v>316</v>
      </c>
      <c r="G152" s="45"/>
      <c r="H152" s="3" t="s">
        <v>103</v>
      </c>
      <c r="I152" s="9">
        <v>43441</v>
      </c>
      <c r="J152" s="3" t="s">
        <v>57</v>
      </c>
      <c r="K152" s="3"/>
      <c r="L152" s="3"/>
      <c r="M152" s="18">
        <f t="shared" si="7"/>
        <v>0</v>
      </c>
      <c r="N152" s="32" t="e">
        <f t="shared" si="8"/>
        <v>#DIV/0!</v>
      </c>
    </row>
    <row r="153" spans="1:14" s="4" customFormat="1" ht="15" hidden="1" customHeight="1" x14ac:dyDescent="0.2">
      <c r="A153" s="3" t="s">
        <v>104</v>
      </c>
      <c r="B153" s="5" t="s">
        <v>38</v>
      </c>
      <c r="C153" s="5">
        <v>900</v>
      </c>
      <c r="D153" s="6">
        <v>3000</v>
      </c>
      <c r="E153" s="3"/>
      <c r="F153" s="3" t="s">
        <v>316</v>
      </c>
      <c r="G153" s="45"/>
      <c r="H153" s="3" t="s">
        <v>103</v>
      </c>
      <c r="I153" s="9">
        <v>43441</v>
      </c>
      <c r="J153" s="3" t="s">
        <v>57</v>
      </c>
      <c r="K153" s="3"/>
      <c r="L153" s="3"/>
      <c r="M153" s="18">
        <f t="shared" si="7"/>
        <v>0</v>
      </c>
      <c r="N153" s="32" t="e">
        <f t="shared" si="8"/>
        <v>#DIV/0!</v>
      </c>
    </row>
    <row r="154" spans="1:14" s="4" customFormat="1" ht="15" hidden="1" customHeight="1" x14ac:dyDescent="0.2">
      <c r="A154" s="3" t="s">
        <v>104</v>
      </c>
      <c r="B154" s="5" t="s">
        <v>38</v>
      </c>
      <c r="C154" s="5">
        <v>1020</v>
      </c>
      <c r="D154" s="6">
        <v>2000</v>
      </c>
      <c r="E154" s="3"/>
      <c r="F154" s="3" t="s">
        <v>316</v>
      </c>
      <c r="G154" s="45"/>
      <c r="H154" s="3" t="s">
        <v>103</v>
      </c>
      <c r="I154" s="9">
        <v>43441</v>
      </c>
      <c r="J154" s="3" t="s">
        <v>57</v>
      </c>
      <c r="K154" s="3"/>
      <c r="L154" s="3"/>
      <c r="M154" s="18">
        <f t="shared" si="7"/>
        <v>0</v>
      </c>
      <c r="N154" s="32" t="e">
        <f t="shared" si="8"/>
        <v>#DIV/0!</v>
      </c>
    </row>
    <row r="155" spans="1:14" s="4" customFormat="1" ht="15" hidden="1" customHeight="1" x14ac:dyDescent="0.2">
      <c r="A155" s="3" t="s">
        <v>104</v>
      </c>
      <c r="B155" s="5" t="s">
        <v>38</v>
      </c>
      <c r="C155" s="5">
        <v>1180</v>
      </c>
      <c r="D155" s="6">
        <v>4000</v>
      </c>
      <c r="E155" s="3"/>
      <c r="F155" s="3" t="s">
        <v>316</v>
      </c>
      <c r="G155" s="45"/>
      <c r="H155" s="3" t="s">
        <v>103</v>
      </c>
      <c r="I155" s="9">
        <v>43441</v>
      </c>
      <c r="J155" s="3" t="s">
        <v>57</v>
      </c>
      <c r="K155" s="3"/>
      <c r="L155" s="3"/>
      <c r="M155" s="18">
        <f t="shared" si="7"/>
        <v>0</v>
      </c>
      <c r="N155" s="32" t="e">
        <f t="shared" si="8"/>
        <v>#DIV/0!</v>
      </c>
    </row>
    <row r="156" spans="1:14" s="4" customFormat="1" ht="15" hidden="1" customHeight="1" x14ac:dyDescent="0.2">
      <c r="A156" s="3" t="s">
        <v>104</v>
      </c>
      <c r="B156" s="5" t="s">
        <v>38</v>
      </c>
      <c r="C156" s="5">
        <v>1320</v>
      </c>
      <c r="D156" s="6">
        <v>3000</v>
      </c>
      <c r="E156" s="3"/>
      <c r="F156" s="3" t="s">
        <v>316</v>
      </c>
      <c r="G156" s="42"/>
      <c r="H156" s="3" t="s">
        <v>103</v>
      </c>
      <c r="I156" s="9">
        <v>43441</v>
      </c>
      <c r="J156" s="3" t="s">
        <v>57</v>
      </c>
      <c r="K156" s="3"/>
      <c r="L156" s="3"/>
      <c r="M156" s="18">
        <f t="shared" si="7"/>
        <v>0</v>
      </c>
      <c r="N156" s="32" t="e">
        <f t="shared" si="8"/>
        <v>#DIV/0!</v>
      </c>
    </row>
    <row r="157" spans="1:14" s="96" customFormat="1" ht="15" hidden="1" customHeight="1" x14ac:dyDescent="0.2">
      <c r="A157" s="90" t="s">
        <v>105</v>
      </c>
      <c r="B157" s="91" t="s">
        <v>36</v>
      </c>
      <c r="C157" s="91">
        <v>1020</v>
      </c>
      <c r="D157" s="92">
        <v>2000</v>
      </c>
      <c r="E157" s="97">
        <f>1225.4+657.6+217.6</f>
        <v>2100.6</v>
      </c>
      <c r="F157" s="90" t="s">
        <v>8</v>
      </c>
      <c r="G157" s="93" t="s">
        <v>146</v>
      </c>
      <c r="H157" s="90" t="s">
        <v>103</v>
      </c>
      <c r="I157" s="94">
        <v>43441</v>
      </c>
      <c r="J157" s="90" t="s">
        <v>57</v>
      </c>
      <c r="K157" s="90"/>
      <c r="L157" s="90">
        <v>1</v>
      </c>
      <c r="M157" s="90">
        <f t="shared" si="7"/>
        <v>1020</v>
      </c>
      <c r="N157" s="95">
        <f t="shared" si="8"/>
        <v>-0.5801614763552474</v>
      </c>
    </row>
    <row r="158" spans="1:14" s="96" customFormat="1" ht="15" hidden="1" customHeight="1" x14ac:dyDescent="0.2">
      <c r="A158" s="90" t="s">
        <v>105</v>
      </c>
      <c r="B158" s="91" t="s">
        <v>36</v>
      </c>
      <c r="C158" s="91">
        <v>1050</v>
      </c>
      <c r="D158" s="92">
        <v>4000</v>
      </c>
      <c r="E158" s="97">
        <f>485.6+461.9+2807.2+205.5</f>
        <v>3960.2</v>
      </c>
      <c r="F158" s="90" t="s">
        <v>8</v>
      </c>
      <c r="G158" s="93">
        <v>4</v>
      </c>
      <c r="H158" s="90" t="s">
        <v>103</v>
      </c>
      <c r="I158" s="94">
        <v>43441</v>
      </c>
      <c r="J158" s="90" t="s">
        <v>57</v>
      </c>
      <c r="K158" s="90"/>
      <c r="L158" s="90">
        <v>1</v>
      </c>
      <c r="M158" s="90">
        <f t="shared" si="7"/>
        <v>1050</v>
      </c>
      <c r="N158" s="95">
        <f t="shared" si="8"/>
        <v>0.22296918767507104</v>
      </c>
    </row>
    <row r="159" spans="1:14" s="4" customFormat="1" ht="15" hidden="1" customHeight="1" x14ac:dyDescent="0.2">
      <c r="A159" s="3" t="s">
        <v>105</v>
      </c>
      <c r="B159" s="5" t="s">
        <v>36</v>
      </c>
      <c r="C159" s="5">
        <v>1200</v>
      </c>
      <c r="D159" s="48">
        <v>4000</v>
      </c>
      <c r="E159" s="46">
        <f>1392.1+2790.9</f>
        <v>4183</v>
      </c>
      <c r="F159" s="46" t="s">
        <v>8</v>
      </c>
      <c r="G159" s="49" t="s">
        <v>146</v>
      </c>
      <c r="H159" s="3" t="s">
        <v>103</v>
      </c>
      <c r="I159" s="9">
        <v>43441</v>
      </c>
      <c r="J159" s="3" t="s">
        <v>57</v>
      </c>
      <c r="K159" s="3"/>
      <c r="L159" s="10">
        <v>1</v>
      </c>
      <c r="M159" s="10">
        <f t="shared" si="7"/>
        <v>1200</v>
      </c>
      <c r="N159" s="29">
        <f t="shared" si="8"/>
        <v>-0.89705882352941169</v>
      </c>
    </row>
    <row r="160" spans="1:14" s="96" customFormat="1" ht="15" hidden="1" customHeight="1" x14ac:dyDescent="0.2">
      <c r="A160" s="90" t="s">
        <v>105</v>
      </c>
      <c r="B160" s="91" t="s">
        <v>36</v>
      </c>
      <c r="C160" s="91">
        <v>1240</v>
      </c>
      <c r="D160" s="92">
        <v>5000</v>
      </c>
      <c r="E160" s="97">
        <f>298.7+2767.7+1884.7</f>
        <v>4951.0999999999995</v>
      </c>
      <c r="F160" s="90" t="s">
        <v>8</v>
      </c>
      <c r="G160" s="93" t="s">
        <v>146</v>
      </c>
      <c r="H160" s="90" t="s">
        <v>103</v>
      </c>
      <c r="I160" s="94">
        <v>43441</v>
      </c>
      <c r="J160" s="90" t="s">
        <v>57</v>
      </c>
      <c r="K160" s="90"/>
      <c r="L160" s="90">
        <v>1</v>
      </c>
      <c r="M160" s="90">
        <f t="shared" si="7"/>
        <v>1240</v>
      </c>
      <c r="N160" s="95">
        <f t="shared" si="8"/>
        <v>0.23197343453510694</v>
      </c>
    </row>
    <row r="161" spans="1:14" s="4" customFormat="1" ht="15" hidden="1" customHeight="1" x14ac:dyDescent="0.2">
      <c r="A161" s="3" t="s">
        <v>105</v>
      </c>
      <c r="B161" s="5" t="s">
        <v>36</v>
      </c>
      <c r="C161" s="5">
        <v>1260</v>
      </c>
      <c r="D161" s="48">
        <v>4000</v>
      </c>
      <c r="E161" s="46">
        <f>1168.7+2923.1</f>
        <v>4091.8</v>
      </c>
      <c r="F161" s="46" t="s">
        <v>8</v>
      </c>
      <c r="G161" s="49" t="s">
        <v>146</v>
      </c>
      <c r="H161" s="3" t="s">
        <v>103</v>
      </c>
      <c r="I161" s="9">
        <v>43441</v>
      </c>
      <c r="J161" s="3" t="s">
        <v>57</v>
      </c>
      <c r="K161" s="3"/>
      <c r="L161" s="10">
        <v>1</v>
      </c>
      <c r="M161" s="18">
        <f t="shared" si="7"/>
        <v>1260</v>
      </c>
      <c r="N161" s="32">
        <f t="shared" si="8"/>
        <v>-0.42857142857142938</v>
      </c>
    </row>
    <row r="162" spans="1:14" s="4" customFormat="1" ht="15" hidden="1" customHeight="1" x14ac:dyDescent="0.2">
      <c r="A162" s="3" t="s">
        <v>105</v>
      </c>
      <c r="B162" s="5" t="s">
        <v>36</v>
      </c>
      <c r="C162" s="5">
        <v>1320</v>
      </c>
      <c r="D162" s="6">
        <v>2000</v>
      </c>
      <c r="E162" s="3" t="s">
        <v>316</v>
      </c>
      <c r="F162" s="3" t="s">
        <v>316</v>
      </c>
      <c r="G162" s="42"/>
      <c r="H162" s="3" t="s">
        <v>103</v>
      </c>
      <c r="I162" s="9">
        <v>43441</v>
      </c>
      <c r="J162" s="3" t="s">
        <v>57</v>
      </c>
      <c r="K162" s="3"/>
      <c r="L162" s="3">
        <v>1</v>
      </c>
      <c r="M162" s="18">
        <f t="shared" si="7"/>
        <v>1320</v>
      </c>
      <c r="N162" s="32" t="e">
        <f t="shared" si="8"/>
        <v>#VALUE!</v>
      </c>
    </row>
    <row r="163" spans="1:14" s="4" customFormat="1" ht="15" hidden="1" customHeight="1" x14ac:dyDescent="0.2">
      <c r="A163" s="3" t="s">
        <v>105</v>
      </c>
      <c r="B163" s="5" t="s">
        <v>36</v>
      </c>
      <c r="C163" s="5">
        <v>1140</v>
      </c>
      <c r="D163" s="6">
        <v>2000</v>
      </c>
      <c r="E163" s="3" t="s">
        <v>316</v>
      </c>
      <c r="F163" s="3" t="s">
        <v>316</v>
      </c>
      <c r="G163" s="42"/>
      <c r="H163" s="3" t="s">
        <v>103</v>
      </c>
      <c r="I163" s="9">
        <v>43441</v>
      </c>
      <c r="J163" s="3" t="s">
        <v>57</v>
      </c>
      <c r="K163" s="3"/>
      <c r="L163" s="3">
        <v>1</v>
      </c>
      <c r="M163" s="10">
        <f t="shared" si="7"/>
        <v>1140</v>
      </c>
      <c r="N163" s="29" t="e">
        <f t="shared" si="8"/>
        <v>#VALUE!</v>
      </c>
    </row>
    <row r="164" spans="1:14" s="96" customFormat="1" ht="15" hidden="1" customHeight="1" x14ac:dyDescent="0.2">
      <c r="A164" s="90" t="s">
        <v>105</v>
      </c>
      <c r="B164" s="91" t="s">
        <v>36</v>
      </c>
      <c r="C164" s="91">
        <v>1280</v>
      </c>
      <c r="D164" s="92">
        <f>5000+12000</f>
        <v>17000</v>
      </c>
      <c r="E164" s="90">
        <f>6546.3+8748.3+1780.9</f>
        <v>17075.5</v>
      </c>
      <c r="F164" s="90" t="s">
        <v>8</v>
      </c>
      <c r="G164" s="93" t="s">
        <v>146</v>
      </c>
      <c r="H164" s="90" t="s">
        <v>103</v>
      </c>
      <c r="I164" s="94">
        <v>43441</v>
      </c>
      <c r="J164" s="90" t="s">
        <v>57</v>
      </c>
      <c r="K164" s="90"/>
      <c r="L164" s="90">
        <v>1</v>
      </c>
      <c r="M164" s="90">
        <f t="shared" si="7"/>
        <v>1280</v>
      </c>
      <c r="N164" s="95">
        <f t="shared" si="8"/>
        <v>-0.34696691176470584</v>
      </c>
    </row>
    <row r="165" spans="1:14" s="4" customFormat="1" ht="15" hidden="1" customHeight="1" x14ac:dyDescent="0.2">
      <c r="A165" s="3" t="s">
        <v>105</v>
      </c>
      <c r="B165" s="5" t="s">
        <v>36</v>
      </c>
      <c r="C165" s="5">
        <v>1090</v>
      </c>
      <c r="D165" s="6">
        <v>5000</v>
      </c>
      <c r="E165" s="3" t="s">
        <v>316</v>
      </c>
      <c r="F165" s="3" t="s">
        <v>316</v>
      </c>
      <c r="G165" s="42"/>
      <c r="H165" s="3" t="s">
        <v>103</v>
      </c>
      <c r="I165" s="9">
        <v>43441</v>
      </c>
      <c r="J165" s="3" t="s">
        <v>57</v>
      </c>
      <c r="K165" s="3"/>
      <c r="L165" s="3">
        <v>1</v>
      </c>
      <c r="M165" s="18">
        <f t="shared" si="7"/>
        <v>1090</v>
      </c>
      <c r="N165" s="32" t="e">
        <f t="shared" si="8"/>
        <v>#VALUE!</v>
      </c>
    </row>
    <row r="166" spans="1:14" s="4" customFormat="1" ht="15" hidden="1" customHeight="1" x14ac:dyDescent="0.2">
      <c r="A166" s="3" t="s">
        <v>105</v>
      </c>
      <c r="B166" s="5" t="s">
        <v>36</v>
      </c>
      <c r="C166" s="5">
        <v>1080</v>
      </c>
      <c r="D166" s="6">
        <v>4000</v>
      </c>
      <c r="E166" s="3">
        <f>1010.2+239.8+2390.1</f>
        <v>3640.1</v>
      </c>
      <c r="F166" s="3" t="s">
        <v>8</v>
      </c>
      <c r="G166" s="42"/>
      <c r="H166" s="3" t="s">
        <v>103</v>
      </c>
      <c r="I166" s="9">
        <v>43441</v>
      </c>
      <c r="J166" s="3" t="s">
        <v>57</v>
      </c>
      <c r="K166" s="3"/>
      <c r="L166" s="3">
        <v>1</v>
      </c>
      <c r="M166" s="18">
        <f t="shared" si="7"/>
        <v>1080</v>
      </c>
      <c r="N166" s="32">
        <f t="shared" si="8"/>
        <v>1.9602396514161222</v>
      </c>
    </row>
    <row r="167" spans="1:14" s="4" customFormat="1" ht="15" hidden="1" customHeight="1" x14ac:dyDescent="0.2">
      <c r="A167" s="3" t="s">
        <v>119</v>
      </c>
      <c r="B167" s="5" t="s">
        <v>36</v>
      </c>
      <c r="C167" s="5">
        <v>1080</v>
      </c>
      <c r="D167" s="6">
        <v>10000</v>
      </c>
      <c r="E167" s="3" t="s">
        <v>316</v>
      </c>
      <c r="F167" s="3" t="s">
        <v>316</v>
      </c>
      <c r="G167" s="42"/>
      <c r="H167" s="3" t="s">
        <v>103</v>
      </c>
      <c r="I167" s="9">
        <v>43441</v>
      </c>
      <c r="J167" s="3" t="s">
        <v>57</v>
      </c>
      <c r="K167" s="3"/>
      <c r="L167" s="3">
        <v>1</v>
      </c>
      <c r="M167" s="18">
        <f t="shared" si="7"/>
        <v>1080</v>
      </c>
      <c r="N167" s="32" t="e">
        <f t="shared" si="8"/>
        <v>#VALUE!</v>
      </c>
    </row>
    <row r="168" spans="1:14" s="4" customFormat="1" ht="15" hidden="1" customHeight="1" x14ac:dyDescent="0.2">
      <c r="A168" s="3" t="s">
        <v>119</v>
      </c>
      <c r="B168" s="5" t="s">
        <v>36</v>
      </c>
      <c r="C168" s="5">
        <v>1240</v>
      </c>
      <c r="D168" s="6">
        <v>15000</v>
      </c>
      <c r="E168" s="3">
        <f>777.6</f>
        <v>777.6</v>
      </c>
      <c r="F168" s="3" t="s">
        <v>316</v>
      </c>
      <c r="G168" s="42"/>
      <c r="H168" s="3" t="s">
        <v>103</v>
      </c>
      <c r="I168" s="9">
        <v>43441</v>
      </c>
      <c r="J168" s="3" t="s">
        <v>57</v>
      </c>
      <c r="K168" s="3"/>
      <c r="L168" s="3">
        <v>1</v>
      </c>
      <c r="M168" s="18">
        <f t="shared" si="7"/>
        <v>1240</v>
      </c>
      <c r="N168" s="32">
        <f t="shared" si="8"/>
        <v>67.468690702087287</v>
      </c>
    </row>
    <row r="169" spans="1:14" s="4" customFormat="1" ht="15" hidden="1" customHeight="1" x14ac:dyDescent="0.2">
      <c r="A169" s="3" t="s">
        <v>119</v>
      </c>
      <c r="B169" s="5" t="s">
        <v>36</v>
      </c>
      <c r="C169" s="5">
        <v>1280</v>
      </c>
      <c r="D169" s="6">
        <f>25000-12000</f>
        <v>13000</v>
      </c>
      <c r="E169" s="3" t="s">
        <v>316</v>
      </c>
      <c r="F169" s="3" t="s">
        <v>316</v>
      </c>
      <c r="G169" s="42"/>
      <c r="H169" s="3" t="s">
        <v>103</v>
      </c>
      <c r="I169" s="9">
        <v>43441</v>
      </c>
      <c r="J169" s="3" t="s">
        <v>57</v>
      </c>
      <c r="K169" s="3"/>
      <c r="L169" s="3">
        <v>1</v>
      </c>
      <c r="M169" s="18">
        <f t="shared" si="7"/>
        <v>1280</v>
      </c>
      <c r="N169" s="32" t="e">
        <f t="shared" si="8"/>
        <v>#VALUE!</v>
      </c>
    </row>
    <row r="170" spans="1:14" s="4" customFormat="1" ht="15" hidden="1" customHeight="1" x14ac:dyDescent="0.2">
      <c r="A170" s="3" t="s">
        <v>119</v>
      </c>
      <c r="B170" s="5" t="s">
        <v>36</v>
      </c>
      <c r="C170" s="5">
        <v>1305</v>
      </c>
      <c r="D170" s="6">
        <v>4000</v>
      </c>
      <c r="E170" s="3" t="s">
        <v>316</v>
      </c>
      <c r="F170" s="3" t="s">
        <v>316</v>
      </c>
      <c r="G170" s="42"/>
      <c r="H170" s="3" t="s">
        <v>103</v>
      </c>
      <c r="I170" s="9">
        <v>43441</v>
      </c>
      <c r="J170" s="3" t="s">
        <v>57</v>
      </c>
      <c r="K170" s="3"/>
      <c r="L170" s="3">
        <v>1</v>
      </c>
      <c r="M170" s="18">
        <f t="shared" si="7"/>
        <v>1305</v>
      </c>
      <c r="N170" s="32" t="e">
        <f t="shared" si="8"/>
        <v>#VALUE!</v>
      </c>
    </row>
    <row r="171" spans="1:14" s="96" customFormat="1" ht="15" hidden="1" customHeight="1" x14ac:dyDescent="0.2">
      <c r="A171" s="90" t="s">
        <v>106</v>
      </c>
      <c r="B171" s="91" t="s">
        <v>40</v>
      </c>
      <c r="C171" s="91">
        <v>650</v>
      </c>
      <c r="D171" s="92">
        <v>8000</v>
      </c>
      <c r="E171" s="90">
        <f>1468.7+2258.4+2125.5+2233.1</f>
        <v>8085.7000000000007</v>
      </c>
      <c r="F171" s="90" t="s">
        <v>8</v>
      </c>
      <c r="G171" s="93">
        <v>1</v>
      </c>
      <c r="H171" s="90" t="s">
        <v>71</v>
      </c>
      <c r="I171" s="94">
        <v>43441</v>
      </c>
      <c r="J171" s="90" t="s">
        <v>4</v>
      </c>
      <c r="K171" s="90"/>
      <c r="L171" s="90">
        <v>1</v>
      </c>
      <c r="M171" s="90">
        <f t="shared" si="7"/>
        <v>650</v>
      </c>
      <c r="N171" s="95">
        <f t="shared" si="8"/>
        <v>-0.77556561085973497</v>
      </c>
    </row>
    <row r="172" spans="1:14" s="96" customFormat="1" ht="15" hidden="1" customHeight="1" x14ac:dyDescent="0.2">
      <c r="A172" s="90" t="s">
        <v>106</v>
      </c>
      <c r="B172" s="91" t="s">
        <v>40</v>
      </c>
      <c r="C172" s="91">
        <v>720</v>
      </c>
      <c r="D172" s="92">
        <v>4000</v>
      </c>
      <c r="E172" s="90">
        <f>1761.7+2223.5</f>
        <v>3985.2</v>
      </c>
      <c r="F172" s="90" t="s">
        <v>8</v>
      </c>
      <c r="G172" s="93" t="s">
        <v>146</v>
      </c>
      <c r="H172" s="90" t="s">
        <v>71</v>
      </c>
      <c r="I172" s="94">
        <v>43441</v>
      </c>
      <c r="J172" s="90" t="s">
        <v>4</v>
      </c>
      <c r="K172" s="90"/>
      <c r="L172" s="90">
        <v>1</v>
      </c>
      <c r="M172" s="90">
        <f t="shared" si="7"/>
        <v>720</v>
      </c>
      <c r="N172" s="95">
        <f t="shared" si="8"/>
        <v>0.12091503267974005</v>
      </c>
    </row>
    <row r="173" spans="1:14" s="4" customFormat="1" ht="15" hidden="1" customHeight="1" x14ac:dyDescent="0.2">
      <c r="A173" s="3" t="s">
        <v>106</v>
      </c>
      <c r="B173" s="5" t="s">
        <v>39</v>
      </c>
      <c r="C173" s="5">
        <v>960</v>
      </c>
      <c r="D173" s="6">
        <v>2000</v>
      </c>
      <c r="E173" s="3" t="s">
        <v>281</v>
      </c>
      <c r="F173" s="3" t="s">
        <v>283</v>
      </c>
      <c r="G173" s="42">
        <v>4</v>
      </c>
      <c r="H173" s="3" t="s">
        <v>71</v>
      </c>
      <c r="I173" s="9">
        <v>43441</v>
      </c>
      <c r="J173" s="3" t="s">
        <v>4</v>
      </c>
      <c r="K173" s="3"/>
      <c r="L173" s="3"/>
      <c r="M173" s="18">
        <f t="shared" si="7"/>
        <v>0</v>
      </c>
      <c r="N173" s="32" t="e">
        <f t="shared" si="8"/>
        <v>#VALUE!</v>
      </c>
    </row>
    <row r="174" spans="1:14" s="4" customFormat="1" ht="15" hidden="1" customHeight="1" x14ac:dyDescent="0.2">
      <c r="A174" s="3" t="s">
        <v>106</v>
      </c>
      <c r="B174" s="5" t="s">
        <v>39</v>
      </c>
      <c r="C174" s="5">
        <v>1000</v>
      </c>
      <c r="D174" s="6">
        <f>4000-2000</f>
        <v>2000</v>
      </c>
      <c r="E174" s="3" t="s">
        <v>281</v>
      </c>
      <c r="F174" s="3" t="s">
        <v>283</v>
      </c>
      <c r="G174" s="42">
        <v>4</v>
      </c>
      <c r="H174" s="3" t="s">
        <v>71</v>
      </c>
      <c r="I174" s="9">
        <v>43441</v>
      </c>
      <c r="J174" s="3" t="s">
        <v>4</v>
      </c>
      <c r="K174" s="3"/>
      <c r="L174" s="3"/>
      <c r="M174" s="18">
        <f t="shared" si="7"/>
        <v>0</v>
      </c>
      <c r="N174" s="32" t="e">
        <f t="shared" si="8"/>
        <v>#VALUE!</v>
      </c>
    </row>
    <row r="175" spans="1:14" s="104" customFormat="1" ht="15" hidden="1" customHeight="1" x14ac:dyDescent="0.2">
      <c r="A175" s="98" t="s">
        <v>106</v>
      </c>
      <c r="B175" s="99" t="s">
        <v>39</v>
      </c>
      <c r="C175" s="99">
        <v>1040</v>
      </c>
      <c r="D175" s="105">
        <f>5000</f>
        <v>5000</v>
      </c>
      <c r="E175" s="98">
        <f>942.3+901.4+2345.2+909.6</f>
        <v>5098.5</v>
      </c>
      <c r="F175" s="98" t="s">
        <v>8</v>
      </c>
      <c r="G175" s="101" t="s">
        <v>146</v>
      </c>
      <c r="H175" s="98" t="s">
        <v>71</v>
      </c>
      <c r="I175" s="102">
        <v>43441</v>
      </c>
      <c r="J175" s="98" t="s">
        <v>4</v>
      </c>
      <c r="K175" s="98"/>
      <c r="L175" s="98">
        <v>1</v>
      </c>
      <c r="M175" s="98">
        <f t="shared" si="7"/>
        <v>1040</v>
      </c>
      <c r="N175" s="103">
        <f t="shared" si="8"/>
        <v>-0.5571266968325792</v>
      </c>
    </row>
    <row r="176" spans="1:14" s="78" customFormat="1" ht="15" hidden="1" customHeight="1" x14ac:dyDescent="0.2">
      <c r="A176" s="72" t="s">
        <v>106</v>
      </c>
      <c r="B176" s="73" t="s">
        <v>39</v>
      </c>
      <c r="C176" s="73">
        <v>1050</v>
      </c>
      <c r="D176" s="74">
        <v>5000</v>
      </c>
      <c r="E176" s="1">
        <f>2028.4+3068.1</f>
        <v>5096.5</v>
      </c>
      <c r="F176" s="16" t="s">
        <v>8</v>
      </c>
      <c r="G176" s="75" t="s">
        <v>146</v>
      </c>
      <c r="H176" s="81" t="s">
        <v>120</v>
      </c>
      <c r="I176" s="76" t="s">
        <v>121</v>
      </c>
      <c r="J176" s="16" t="s">
        <v>4</v>
      </c>
      <c r="K176" s="16"/>
      <c r="L176" s="16">
        <v>1</v>
      </c>
      <c r="M176" s="16">
        <f t="shared" si="7"/>
        <v>1050</v>
      </c>
      <c r="N176" s="77">
        <f t="shared" si="8"/>
        <v>-0.54061624649859941</v>
      </c>
    </row>
    <row r="177" spans="1:15" s="104" customFormat="1" ht="15" hidden="1" customHeight="1" x14ac:dyDescent="0.2">
      <c r="A177" s="98" t="s">
        <v>106</v>
      </c>
      <c r="B177" s="99" t="s">
        <v>39</v>
      </c>
      <c r="C177" s="99">
        <v>1120</v>
      </c>
      <c r="D177" s="105">
        <f>3000</f>
        <v>3000</v>
      </c>
      <c r="E177" s="98">
        <f>510.7+2520.2</f>
        <v>3030.8999999999996</v>
      </c>
      <c r="F177" s="98" t="s">
        <v>8</v>
      </c>
      <c r="G177" s="101" t="s">
        <v>146</v>
      </c>
      <c r="H177" s="98" t="s">
        <v>71</v>
      </c>
      <c r="I177" s="102">
        <v>43441</v>
      </c>
      <c r="J177" s="98" t="s">
        <v>4</v>
      </c>
      <c r="K177" s="98"/>
      <c r="L177" s="98">
        <v>1</v>
      </c>
      <c r="M177" s="98">
        <f t="shared" si="7"/>
        <v>1120</v>
      </c>
      <c r="N177" s="103">
        <f t="shared" si="8"/>
        <v>-0.16228991596638465</v>
      </c>
      <c r="O177" s="104">
        <v>10</v>
      </c>
    </row>
    <row r="178" spans="1:15" s="78" customFormat="1" ht="15" hidden="1" customHeight="1" x14ac:dyDescent="0.2">
      <c r="A178" s="16" t="s">
        <v>106</v>
      </c>
      <c r="B178" s="73" t="s">
        <v>39</v>
      </c>
      <c r="C178" s="73">
        <v>1140</v>
      </c>
      <c r="D178" s="74">
        <v>2000</v>
      </c>
      <c r="E178" s="16">
        <f>2082.1</f>
        <v>2082.1</v>
      </c>
      <c r="F178" s="16" t="s">
        <v>8</v>
      </c>
      <c r="G178" s="75" t="s">
        <v>146</v>
      </c>
      <c r="H178" s="81" t="s">
        <v>120</v>
      </c>
      <c r="I178" s="76" t="s">
        <v>121</v>
      </c>
      <c r="J178" s="16" t="s">
        <v>4</v>
      </c>
      <c r="K178" s="16"/>
      <c r="L178" s="16">
        <v>1</v>
      </c>
      <c r="M178" s="16">
        <f t="shared" si="7"/>
        <v>1140</v>
      </c>
      <c r="N178" s="77">
        <f t="shared" si="8"/>
        <v>-0.42363261093911198</v>
      </c>
    </row>
    <row r="179" spans="1:15" s="78" customFormat="1" ht="15" hidden="1" customHeight="1" x14ac:dyDescent="0.2">
      <c r="A179" s="16" t="s">
        <v>106</v>
      </c>
      <c r="B179" s="73" t="s">
        <v>39</v>
      </c>
      <c r="C179" s="73">
        <v>1200</v>
      </c>
      <c r="D179" s="74">
        <v>2000</v>
      </c>
      <c r="E179" s="81">
        <f>2036.3</f>
        <v>2036.3</v>
      </c>
      <c r="F179" s="16" t="s">
        <v>8</v>
      </c>
      <c r="G179" s="75" t="s">
        <v>146</v>
      </c>
      <c r="H179" s="81" t="s">
        <v>120</v>
      </c>
      <c r="I179" s="76" t="s">
        <v>121</v>
      </c>
      <c r="J179" s="16" t="s">
        <v>4</v>
      </c>
      <c r="K179" s="16"/>
      <c r="L179" s="16">
        <v>1</v>
      </c>
      <c r="M179" s="16">
        <f t="shared" si="7"/>
        <v>1200</v>
      </c>
      <c r="N179" s="77">
        <f t="shared" si="8"/>
        <v>-0.17794117647058799</v>
      </c>
    </row>
    <row r="180" spans="1:15" s="4" customFormat="1" ht="15" hidden="1" customHeight="1" x14ac:dyDescent="0.2">
      <c r="A180" s="3" t="s">
        <v>106</v>
      </c>
      <c r="B180" s="5" t="s">
        <v>37</v>
      </c>
      <c r="C180" s="5">
        <v>1000</v>
      </c>
      <c r="D180" s="6">
        <v>2000</v>
      </c>
      <c r="E180" s="3"/>
      <c r="F180" s="3" t="s">
        <v>278</v>
      </c>
      <c r="G180" s="42">
        <v>3</v>
      </c>
      <c r="H180" s="3" t="s">
        <v>71</v>
      </c>
      <c r="I180" s="9">
        <v>43441</v>
      </c>
      <c r="J180" s="3" t="s">
        <v>4</v>
      </c>
      <c r="K180" s="3"/>
      <c r="L180" s="3"/>
      <c r="M180" s="18">
        <f t="shared" si="7"/>
        <v>0</v>
      </c>
      <c r="N180" s="32" t="e">
        <f t="shared" si="8"/>
        <v>#DIV/0!</v>
      </c>
    </row>
    <row r="181" spans="1:15" s="4" customFormat="1" ht="15" hidden="1" customHeight="1" x14ac:dyDescent="0.2">
      <c r="A181" s="3" t="s">
        <v>106</v>
      </c>
      <c r="B181" s="5" t="s">
        <v>37</v>
      </c>
      <c r="C181" s="5">
        <v>1065</v>
      </c>
      <c r="D181" s="6">
        <v>1000</v>
      </c>
      <c r="E181" s="3"/>
      <c r="F181" s="3" t="s">
        <v>278</v>
      </c>
      <c r="G181" s="42">
        <v>3</v>
      </c>
      <c r="H181" s="3" t="s">
        <v>71</v>
      </c>
      <c r="I181" s="9">
        <v>43441</v>
      </c>
      <c r="J181" s="3" t="s">
        <v>4</v>
      </c>
      <c r="K181" s="3"/>
      <c r="L181" s="3"/>
      <c r="M181" s="18">
        <f t="shared" si="7"/>
        <v>0</v>
      </c>
      <c r="N181" s="32" t="e">
        <f t="shared" si="8"/>
        <v>#DIV/0!</v>
      </c>
    </row>
    <row r="182" spans="1:15" s="4" customFormat="1" ht="15" hidden="1" customHeight="1" x14ac:dyDescent="0.2">
      <c r="A182" s="3" t="s">
        <v>106</v>
      </c>
      <c r="B182" s="5" t="s">
        <v>37</v>
      </c>
      <c r="C182" s="5">
        <v>1200</v>
      </c>
      <c r="D182" s="6">
        <v>2000</v>
      </c>
      <c r="E182" s="3">
        <f>1344+487.8+278.8</f>
        <v>2110.6</v>
      </c>
      <c r="F182" s="3" t="s">
        <v>8</v>
      </c>
      <c r="G182" s="42">
        <v>3</v>
      </c>
      <c r="H182" s="30" t="s">
        <v>120</v>
      </c>
      <c r="I182" s="9" t="s">
        <v>121</v>
      </c>
      <c r="J182" s="3" t="s">
        <v>4</v>
      </c>
      <c r="K182" s="3"/>
      <c r="L182" s="3">
        <v>1</v>
      </c>
      <c r="M182" s="18">
        <f t="shared" si="7"/>
        <v>1200</v>
      </c>
      <c r="N182" s="32">
        <f t="shared" si="8"/>
        <v>-0.54215686274509756</v>
      </c>
    </row>
    <row r="183" spans="1:15" s="52" customFormat="1" ht="15" hidden="1" customHeight="1" x14ac:dyDescent="0.2">
      <c r="A183" s="46" t="s">
        <v>50</v>
      </c>
      <c r="B183" s="47" t="s">
        <v>37</v>
      </c>
      <c r="C183" s="54">
        <v>320</v>
      </c>
      <c r="D183" s="48">
        <f>3000+500</f>
        <v>3500</v>
      </c>
      <c r="E183" s="46">
        <f>1855.8+1644.2</f>
        <v>3500</v>
      </c>
      <c r="F183" s="46" t="s">
        <v>8</v>
      </c>
      <c r="G183" s="49" t="s">
        <v>146</v>
      </c>
      <c r="H183" s="46"/>
      <c r="I183" s="50">
        <v>43441</v>
      </c>
      <c r="J183" s="46" t="s">
        <v>51</v>
      </c>
      <c r="K183" s="46"/>
      <c r="L183" s="46">
        <v>3</v>
      </c>
      <c r="M183" s="46">
        <f t="shared" si="7"/>
        <v>960</v>
      </c>
      <c r="N183" s="51">
        <f t="shared" si="8"/>
        <v>0</v>
      </c>
    </row>
    <row r="184" spans="1:15" s="52" customFormat="1" ht="15" hidden="1" customHeight="1" x14ac:dyDescent="0.2">
      <c r="A184" s="46" t="s">
        <v>107</v>
      </c>
      <c r="B184" s="47" t="s">
        <v>37</v>
      </c>
      <c r="C184" s="54">
        <v>300</v>
      </c>
      <c r="D184" s="48">
        <v>100</v>
      </c>
      <c r="E184" s="46">
        <f>101.6</f>
        <v>101.6</v>
      </c>
      <c r="F184" s="46" t="s">
        <v>8</v>
      </c>
      <c r="G184" s="49" t="s">
        <v>146</v>
      </c>
      <c r="H184" s="46" t="s">
        <v>144</v>
      </c>
      <c r="I184" s="50">
        <v>43441</v>
      </c>
      <c r="J184" s="46" t="s">
        <v>14</v>
      </c>
      <c r="K184" s="46"/>
      <c r="L184" s="46">
        <v>4</v>
      </c>
      <c r="M184" s="46">
        <f t="shared" si="7"/>
        <v>1200</v>
      </c>
      <c r="N184" s="51">
        <f t="shared" si="8"/>
        <v>-7.8431372549019312E-3</v>
      </c>
    </row>
    <row r="185" spans="1:15" s="52" customFormat="1" ht="15" hidden="1" customHeight="1" x14ac:dyDescent="0.2">
      <c r="A185" s="46" t="s">
        <v>107</v>
      </c>
      <c r="B185" s="53" t="s">
        <v>37</v>
      </c>
      <c r="C185" s="54">
        <v>380</v>
      </c>
      <c r="D185" s="48">
        <v>200</v>
      </c>
      <c r="E185" s="46">
        <f>200.2</f>
        <v>200.2</v>
      </c>
      <c r="F185" s="46" t="s">
        <v>8</v>
      </c>
      <c r="G185" s="49" t="s">
        <v>146</v>
      </c>
      <c r="H185" s="46" t="s">
        <v>144</v>
      </c>
      <c r="I185" s="50">
        <v>43441</v>
      </c>
      <c r="J185" s="46" t="s">
        <v>14</v>
      </c>
      <c r="K185" s="46"/>
      <c r="L185" s="46">
        <v>3</v>
      </c>
      <c r="M185" s="46">
        <f t="shared" ref="M185:M251" si="9">L185*C185</f>
        <v>1140</v>
      </c>
      <c r="N185" s="51">
        <f t="shared" ref="N185:N251" si="10">(D185-E185)/(M185*0.17)</f>
        <v>-1.0319917440659888E-3</v>
      </c>
    </row>
    <row r="186" spans="1:15" s="52" customFormat="1" ht="15" hidden="1" customHeight="1" x14ac:dyDescent="0.2">
      <c r="A186" s="46" t="s">
        <v>107</v>
      </c>
      <c r="B186" s="53" t="s">
        <v>37</v>
      </c>
      <c r="C186" s="54">
        <v>400</v>
      </c>
      <c r="D186" s="48">
        <v>200</v>
      </c>
      <c r="E186" s="46">
        <f>201.6</f>
        <v>201.6</v>
      </c>
      <c r="F186" s="46" t="s">
        <v>8</v>
      </c>
      <c r="G186" s="49" t="s">
        <v>146</v>
      </c>
      <c r="H186" s="46" t="s">
        <v>144</v>
      </c>
      <c r="I186" s="50">
        <v>43441</v>
      </c>
      <c r="J186" s="46" t="s">
        <v>14</v>
      </c>
      <c r="K186" s="46"/>
      <c r="L186" s="46">
        <v>3</v>
      </c>
      <c r="M186" s="46">
        <f t="shared" si="9"/>
        <v>1200</v>
      </c>
      <c r="N186" s="51">
        <f t="shared" si="10"/>
        <v>-7.8431372549019312E-3</v>
      </c>
    </row>
    <row r="187" spans="1:15" s="4" customFormat="1" ht="15" hidden="1" customHeight="1" x14ac:dyDescent="0.2">
      <c r="A187" s="3" t="s">
        <v>107</v>
      </c>
      <c r="B187" s="14" t="s">
        <v>37</v>
      </c>
      <c r="C187" s="54">
        <v>430</v>
      </c>
      <c r="D187" s="6">
        <v>600</v>
      </c>
      <c r="E187" s="3">
        <f>593.2</f>
        <v>593.20000000000005</v>
      </c>
      <c r="F187" s="3" t="s">
        <v>8</v>
      </c>
      <c r="G187" s="42">
        <v>3</v>
      </c>
      <c r="H187" s="3" t="s">
        <v>144</v>
      </c>
      <c r="I187" s="9">
        <v>43441</v>
      </c>
      <c r="J187" s="3" t="s">
        <v>14</v>
      </c>
      <c r="K187" s="3"/>
      <c r="L187" s="3">
        <v>3</v>
      </c>
      <c r="M187" s="18">
        <f t="shared" si="9"/>
        <v>1290</v>
      </c>
      <c r="N187" s="32">
        <f t="shared" si="10"/>
        <v>3.1007751937984288E-2</v>
      </c>
    </row>
    <row r="188" spans="1:15" s="52" customFormat="1" ht="15" hidden="1" customHeight="1" x14ac:dyDescent="0.2">
      <c r="A188" s="46" t="s">
        <v>107</v>
      </c>
      <c r="B188" s="53" t="s">
        <v>37</v>
      </c>
      <c r="C188" s="54">
        <v>470</v>
      </c>
      <c r="D188" s="48">
        <v>200</v>
      </c>
      <c r="E188" s="46">
        <f>200</f>
        <v>200</v>
      </c>
      <c r="F188" s="46" t="s">
        <v>8</v>
      </c>
      <c r="G188" s="49" t="s">
        <v>146</v>
      </c>
      <c r="H188" s="46" t="s">
        <v>144</v>
      </c>
      <c r="I188" s="50">
        <v>43441</v>
      </c>
      <c r="J188" s="46" t="s">
        <v>14</v>
      </c>
      <c r="K188" s="46"/>
      <c r="L188" s="46">
        <v>2</v>
      </c>
      <c r="M188" s="46">
        <f t="shared" si="9"/>
        <v>940</v>
      </c>
      <c r="N188" s="51">
        <f t="shared" si="10"/>
        <v>0</v>
      </c>
    </row>
    <row r="189" spans="1:15" s="52" customFormat="1" ht="15" hidden="1" customHeight="1" x14ac:dyDescent="0.2">
      <c r="A189" s="46" t="s">
        <v>108</v>
      </c>
      <c r="B189" s="47" t="s">
        <v>36</v>
      </c>
      <c r="C189" s="47">
        <v>320</v>
      </c>
      <c r="D189" s="48">
        <v>60</v>
      </c>
      <c r="E189" s="46">
        <f>40.2</f>
        <v>40.200000000000003</v>
      </c>
      <c r="F189" s="46" t="s">
        <v>8</v>
      </c>
      <c r="G189" s="49" t="s">
        <v>146</v>
      </c>
      <c r="H189" s="46"/>
      <c r="I189" s="50">
        <v>43441</v>
      </c>
      <c r="J189" s="46" t="s">
        <v>42</v>
      </c>
      <c r="K189" s="46"/>
      <c r="L189" s="46"/>
      <c r="M189" s="46">
        <f t="shared" si="9"/>
        <v>0</v>
      </c>
      <c r="N189" s="51" t="e">
        <f t="shared" si="10"/>
        <v>#DIV/0!</v>
      </c>
    </row>
    <row r="190" spans="1:15" s="52" customFormat="1" ht="15" hidden="1" customHeight="1" x14ac:dyDescent="0.2">
      <c r="A190" s="46" t="s">
        <v>108</v>
      </c>
      <c r="B190" s="53" t="s">
        <v>36</v>
      </c>
      <c r="C190" s="47">
        <v>360</v>
      </c>
      <c r="D190" s="48">
        <v>100</v>
      </c>
      <c r="E190" s="46">
        <f>90.2</f>
        <v>90.2</v>
      </c>
      <c r="F190" s="46" t="s">
        <v>8</v>
      </c>
      <c r="G190" s="49" t="s">
        <v>146</v>
      </c>
      <c r="H190" s="46"/>
      <c r="I190" s="50">
        <v>43441</v>
      </c>
      <c r="J190" s="46" t="s">
        <v>42</v>
      </c>
      <c r="K190" s="46"/>
      <c r="L190" s="46">
        <v>3</v>
      </c>
      <c r="M190" s="46">
        <f t="shared" si="9"/>
        <v>1080</v>
      </c>
      <c r="N190" s="51">
        <f t="shared" si="10"/>
        <v>5.3376906318082763E-2</v>
      </c>
    </row>
    <row r="191" spans="1:15" s="4" customFormat="1" ht="15" hidden="1" customHeight="1" x14ac:dyDescent="0.2">
      <c r="A191" s="3" t="s">
        <v>108</v>
      </c>
      <c r="B191" s="14" t="s">
        <v>36</v>
      </c>
      <c r="C191" s="5">
        <v>430</v>
      </c>
      <c r="D191" s="92">
        <v>50</v>
      </c>
      <c r="E191" s="3"/>
      <c r="F191" s="3"/>
      <c r="G191" s="42"/>
      <c r="H191" s="3"/>
      <c r="I191" s="9">
        <v>43441</v>
      </c>
      <c r="J191" s="3" t="s">
        <v>42</v>
      </c>
      <c r="K191" s="3"/>
      <c r="L191" s="3"/>
      <c r="M191" s="18">
        <f t="shared" si="9"/>
        <v>0</v>
      </c>
      <c r="N191" s="32" t="e">
        <f t="shared" si="10"/>
        <v>#DIV/0!</v>
      </c>
    </row>
    <row r="192" spans="1:15" s="4" customFormat="1" ht="15" hidden="1" customHeight="1" x14ac:dyDescent="0.2">
      <c r="A192" s="3" t="s">
        <v>108</v>
      </c>
      <c r="B192" s="14" t="s">
        <v>36</v>
      </c>
      <c r="C192" s="5">
        <v>400</v>
      </c>
      <c r="D192" s="92">
        <v>50</v>
      </c>
      <c r="E192" s="3"/>
      <c r="F192" s="3"/>
      <c r="G192" s="42"/>
      <c r="H192" s="3"/>
      <c r="I192" s="9">
        <v>43441</v>
      </c>
      <c r="J192" s="3" t="s">
        <v>42</v>
      </c>
      <c r="K192" s="3"/>
      <c r="L192" s="3"/>
      <c r="M192" s="18">
        <f t="shared" si="9"/>
        <v>0</v>
      </c>
      <c r="N192" s="32" t="e">
        <f t="shared" si="10"/>
        <v>#DIV/0!</v>
      </c>
    </row>
    <row r="193" spans="1:14" s="4" customFormat="1" ht="15" hidden="1" customHeight="1" x14ac:dyDescent="0.2">
      <c r="A193" s="3" t="s">
        <v>108</v>
      </c>
      <c r="B193" s="14" t="s">
        <v>36</v>
      </c>
      <c r="C193" s="5">
        <v>340</v>
      </c>
      <c r="D193" s="92">
        <v>50</v>
      </c>
      <c r="E193" s="3"/>
      <c r="F193" s="3"/>
      <c r="G193" s="42"/>
      <c r="H193" s="3"/>
      <c r="I193" s="9">
        <v>43441</v>
      </c>
      <c r="J193" s="3" t="s">
        <v>42</v>
      </c>
      <c r="K193" s="3"/>
      <c r="L193" s="3"/>
      <c r="M193" s="18">
        <f t="shared" si="9"/>
        <v>0</v>
      </c>
      <c r="N193" s="32" t="e">
        <f t="shared" si="10"/>
        <v>#DIV/0!</v>
      </c>
    </row>
    <row r="194" spans="1:14" s="4" customFormat="1" ht="15" hidden="1" customHeight="1" x14ac:dyDescent="0.2">
      <c r="A194" s="3" t="s">
        <v>109</v>
      </c>
      <c r="B194" s="5" t="s">
        <v>37</v>
      </c>
      <c r="C194" s="54">
        <v>430</v>
      </c>
      <c r="D194" s="6">
        <v>400</v>
      </c>
      <c r="E194" s="3">
        <f>410.3</f>
        <v>410.3</v>
      </c>
      <c r="F194" s="3" t="s">
        <v>8</v>
      </c>
      <c r="G194" s="45">
        <v>3</v>
      </c>
      <c r="H194" s="3" t="s">
        <v>35</v>
      </c>
      <c r="I194" s="9">
        <v>43441</v>
      </c>
      <c r="J194" s="3" t="s">
        <v>12</v>
      </c>
      <c r="K194" s="3"/>
      <c r="L194" s="3">
        <v>3</v>
      </c>
      <c r="M194" s="18">
        <f t="shared" si="9"/>
        <v>1290</v>
      </c>
      <c r="N194" s="32">
        <f t="shared" si="10"/>
        <v>-4.6967624259005976E-2</v>
      </c>
    </row>
    <row r="195" spans="1:14" s="52" customFormat="1" ht="15" hidden="1" customHeight="1" x14ac:dyDescent="0.2">
      <c r="A195" s="46" t="s">
        <v>109</v>
      </c>
      <c r="B195" s="53" t="s">
        <v>37</v>
      </c>
      <c r="C195" s="54">
        <v>470</v>
      </c>
      <c r="D195" s="48">
        <v>1600</v>
      </c>
      <c r="E195" s="46">
        <f>1654.4</f>
        <v>1654.4</v>
      </c>
      <c r="F195" s="46" t="s">
        <v>8</v>
      </c>
      <c r="G195" s="49" t="s">
        <v>146</v>
      </c>
      <c r="H195" s="46"/>
      <c r="I195" s="50">
        <v>43441</v>
      </c>
      <c r="J195" s="46" t="s">
        <v>12</v>
      </c>
      <c r="K195" s="46"/>
      <c r="L195" s="46">
        <v>2</v>
      </c>
      <c r="M195" s="46">
        <f t="shared" si="9"/>
        <v>940</v>
      </c>
      <c r="N195" s="51">
        <f t="shared" si="10"/>
        <v>-0.34042553191489416</v>
      </c>
    </row>
    <row r="196" spans="1:14" s="4" customFormat="1" ht="15" hidden="1" customHeight="1" x14ac:dyDescent="0.2">
      <c r="A196" s="3" t="s">
        <v>110</v>
      </c>
      <c r="B196" s="5" t="s">
        <v>39</v>
      </c>
      <c r="C196" s="54">
        <v>340</v>
      </c>
      <c r="D196" s="6">
        <f>500+500</f>
        <v>1000</v>
      </c>
      <c r="E196" s="3">
        <f>1039.6</f>
        <v>1039.5999999999999</v>
      </c>
      <c r="F196" s="3" t="s">
        <v>8</v>
      </c>
      <c r="G196" s="42">
        <v>4</v>
      </c>
      <c r="H196" s="3" t="s">
        <v>45</v>
      </c>
      <c r="I196" s="9" t="s">
        <v>235</v>
      </c>
      <c r="J196" s="3" t="s">
        <v>6</v>
      </c>
      <c r="K196" s="3"/>
      <c r="L196" s="3">
        <v>4</v>
      </c>
      <c r="M196" s="18">
        <f t="shared" si="9"/>
        <v>1360</v>
      </c>
      <c r="N196" s="32">
        <f t="shared" si="10"/>
        <v>-0.1712802768166086</v>
      </c>
    </row>
    <row r="197" spans="1:14" s="78" customFormat="1" ht="15" hidden="1" customHeight="1" x14ac:dyDescent="0.2">
      <c r="A197" s="16" t="s">
        <v>111</v>
      </c>
      <c r="B197" s="73" t="s">
        <v>37</v>
      </c>
      <c r="C197" s="73">
        <v>180</v>
      </c>
      <c r="D197" s="74">
        <v>500</v>
      </c>
      <c r="E197" s="16">
        <f>525</f>
        <v>525</v>
      </c>
      <c r="F197" s="16" t="s">
        <v>8</v>
      </c>
      <c r="G197" s="75" t="s">
        <v>146</v>
      </c>
      <c r="H197" s="16"/>
      <c r="I197" s="76">
        <v>43441</v>
      </c>
      <c r="J197" s="16" t="s">
        <v>47</v>
      </c>
      <c r="K197" s="16"/>
      <c r="L197" s="16">
        <v>5</v>
      </c>
      <c r="M197" s="16">
        <f t="shared" si="9"/>
        <v>900</v>
      </c>
      <c r="N197" s="77">
        <f t="shared" si="10"/>
        <v>-0.16339869281045752</v>
      </c>
    </row>
    <row r="198" spans="1:14" s="52" customFormat="1" ht="15" hidden="1" customHeight="1" x14ac:dyDescent="0.2">
      <c r="A198" s="46" t="s">
        <v>112</v>
      </c>
      <c r="B198" s="47" t="s">
        <v>38</v>
      </c>
      <c r="C198" s="47">
        <v>420</v>
      </c>
      <c r="D198" s="48">
        <v>200</v>
      </c>
      <c r="E198" s="46">
        <f>207.6</f>
        <v>207.6</v>
      </c>
      <c r="F198" s="46" t="s">
        <v>8</v>
      </c>
      <c r="G198" s="49">
        <v>3</v>
      </c>
      <c r="H198" s="46"/>
      <c r="I198" s="50">
        <v>43441</v>
      </c>
      <c r="J198" s="46" t="s">
        <v>19</v>
      </c>
      <c r="K198" s="46"/>
      <c r="L198" s="46">
        <v>2</v>
      </c>
      <c r="M198" s="46">
        <f t="shared" si="9"/>
        <v>840</v>
      </c>
      <c r="N198" s="51">
        <f t="shared" si="10"/>
        <v>-5.3221288515406119E-2</v>
      </c>
    </row>
    <row r="199" spans="1:14" s="52" customFormat="1" ht="15" hidden="1" customHeight="1" x14ac:dyDescent="0.2">
      <c r="A199" s="46" t="s">
        <v>113</v>
      </c>
      <c r="B199" s="47" t="s">
        <v>38</v>
      </c>
      <c r="C199" s="47">
        <v>510</v>
      </c>
      <c r="D199" s="48">
        <v>300</v>
      </c>
      <c r="E199" s="46">
        <f>374.2</f>
        <v>374.2</v>
      </c>
      <c r="F199" s="46" t="s">
        <v>8</v>
      </c>
      <c r="G199" s="49">
        <v>3</v>
      </c>
      <c r="H199" s="46"/>
      <c r="I199" s="50">
        <v>43441</v>
      </c>
      <c r="J199" s="46" t="s">
        <v>7</v>
      </c>
      <c r="K199" s="46"/>
      <c r="L199" s="46">
        <v>2</v>
      </c>
      <c r="M199" s="46">
        <f t="shared" si="9"/>
        <v>1020</v>
      </c>
      <c r="N199" s="51">
        <f t="shared" si="10"/>
        <v>-0.42791234140715101</v>
      </c>
    </row>
    <row r="200" spans="1:14" s="52" customFormat="1" ht="15" hidden="1" customHeight="1" x14ac:dyDescent="0.2">
      <c r="A200" s="46" t="s">
        <v>113</v>
      </c>
      <c r="B200" s="47" t="s">
        <v>38</v>
      </c>
      <c r="C200" s="47">
        <v>450</v>
      </c>
      <c r="D200" s="48">
        <f>500-200</f>
        <v>300</v>
      </c>
      <c r="E200" s="46">
        <f>324.2</f>
        <v>324.2</v>
      </c>
      <c r="F200" s="46" t="s">
        <v>8</v>
      </c>
      <c r="G200" s="49">
        <v>3</v>
      </c>
      <c r="H200" s="46"/>
      <c r="I200" s="50" t="s">
        <v>147</v>
      </c>
      <c r="J200" s="46" t="s">
        <v>7</v>
      </c>
      <c r="K200" s="46"/>
      <c r="L200" s="46">
        <v>2</v>
      </c>
      <c r="M200" s="46">
        <f t="shared" si="9"/>
        <v>900</v>
      </c>
      <c r="N200" s="51">
        <f t="shared" si="10"/>
        <v>-0.15816993464052281</v>
      </c>
    </row>
    <row r="201" spans="1:14" s="60" customFormat="1" ht="15" hidden="1" customHeight="1" x14ac:dyDescent="0.2">
      <c r="A201" s="55" t="s">
        <v>114</v>
      </c>
      <c r="B201" s="54" t="s">
        <v>36</v>
      </c>
      <c r="C201" s="47">
        <v>490</v>
      </c>
      <c r="D201" s="56">
        <v>600</v>
      </c>
      <c r="E201" s="55">
        <f>632.4</f>
        <v>632.4</v>
      </c>
      <c r="F201" s="55" t="s">
        <v>8</v>
      </c>
      <c r="G201" s="57" t="s">
        <v>146</v>
      </c>
      <c r="H201" s="55"/>
      <c r="I201" s="58">
        <v>43441</v>
      </c>
      <c r="J201" s="55" t="s">
        <v>15</v>
      </c>
      <c r="K201" s="55"/>
      <c r="L201" s="55">
        <v>2</v>
      </c>
      <c r="M201" s="55">
        <f t="shared" si="9"/>
        <v>980</v>
      </c>
      <c r="N201" s="59">
        <f t="shared" si="10"/>
        <v>-0.19447779111644642</v>
      </c>
    </row>
    <row r="202" spans="1:14" s="4" customFormat="1" ht="15" hidden="1" customHeight="1" x14ac:dyDescent="0.2">
      <c r="A202" s="3" t="s">
        <v>109</v>
      </c>
      <c r="B202" s="5" t="s">
        <v>36</v>
      </c>
      <c r="C202" s="5">
        <v>440</v>
      </c>
      <c r="D202" s="6">
        <v>300</v>
      </c>
      <c r="E202" s="3">
        <f>378.4</f>
        <v>378.4</v>
      </c>
      <c r="F202" s="3" t="s">
        <v>8</v>
      </c>
      <c r="G202" s="42"/>
      <c r="H202" s="3"/>
      <c r="I202" s="9">
        <v>43441</v>
      </c>
      <c r="J202" s="3" t="s">
        <v>11</v>
      </c>
      <c r="K202" s="3"/>
      <c r="L202" s="3"/>
      <c r="M202" s="18">
        <f t="shared" si="9"/>
        <v>0</v>
      </c>
      <c r="N202" s="32" t="e">
        <f t="shared" si="10"/>
        <v>#DIV/0!</v>
      </c>
    </row>
    <row r="203" spans="1:14" s="4" customFormat="1" ht="15" hidden="1" customHeight="1" x14ac:dyDescent="0.2">
      <c r="A203" s="3" t="s">
        <v>115</v>
      </c>
      <c r="B203" s="5" t="s">
        <v>36</v>
      </c>
      <c r="C203" s="5">
        <v>460</v>
      </c>
      <c r="D203" s="6">
        <v>2000</v>
      </c>
      <c r="E203" s="3" t="s">
        <v>343</v>
      </c>
      <c r="F203" s="3" t="s">
        <v>343</v>
      </c>
      <c r="G203" s="42"/>
      <c r="H203" s="3"/>
      <c r="I203" s="9">
        <v>43441</v>
      </c>
      <c r="J203" s="3" t="s">
        <v>116</v>
      </c>
      <c r="K203" s="3"/>
      <c r="L203" s="3"/>
      <c r="M203" s="18">
        <f t="shared" si="9"/>
        <v>0</v>
      </c>
      <c r="N203" s="32" t="e">
        <f t="shared" si="10"/>
        <v>#VALUE!</v>
      </c>
    </row>
    <row r="204" spans="1:14" s="104" customFormat="1" ht="15" hidden="1" customHeight="1" x14ac:dyDescent="0.2">
      <c r="A204" s="98" t="s">
        <v>106</v>
      </c>
      <c r="B204" s="99" t="s">
        <v>39</v>
      </c>
      <c r="C204" s="99">
        <v>1050</v>
      </c>
      <c r="D204" s="105">
        <v>5000</v>
      </c>
      <c r="E204" s="98">
        <f>2363.3+949.6+1816.7</f>
        <v>5129.6000000000004</v>
      </c>
      <c r="F204" s="98" t="s">
        <v>8</v>
      </c>
      <c r="G204" s="101" t="s">
        <v>146</v>
      </c>
      <c r="H204" s="98"/>
      <c r="I204" s="102" t="s">
        <v>263</v>
      </c>
      <c r="J204" s="98" t="s">
        <v>4</v>
      </c>
      <c r="K204" s="98"/>
      <c r="L204" s="98">
        <v>1</v>
      </c>
      <c r="M204" s="98">
        <f t="shared" si="9"/>
        <v>1050</v>
      </c>
      <c r="N204" s="103">
        <f t="shared" si="10"/>
        <v>-0.72605042016806931</v>
      </c>
    </row>
    <row r="205" spans="1:14" s="104" customFormat="1" ht="15" hidden="1" customHeight="1" x14ac:dyDescent="0.2">
      <c r="A205" s="98" t="s">
        <v>117</v>
      </c>
      <c r="B205" s="99" t="s">
        <v>39</v>
      </c>
      <c r="C205" s="91">
        <v>410</v>
      </c>
      <c r="D205" s="100">
        <v>2800</v>
      </c>
      <c r="E205" s="98">
        <f>397.2+1602.3+821.1</f>
        <v>2820.6</v>
      </c>
      <c r="F205" s="98" t="s">
        <v>8</v>
      </c>
      <c r="G205" s="101" t="s">
        <v>146</v>
      </c>
      <c r="H205" s="98"/>
      <c r="I205" s="102">
        <v>43441</v>
      </c>
      <c r="J205" s="98" t="s">
        <v>18</v>
      </c>
      <c r="K205" s="98"/>
      <c r="L205" s="98">
        <v>3</v>
      </c>
      <c r="M205" s="98">
        <f t="shared" si="9"/>
        <v>1230</v>
      </c>
      <c r="N205" s="103">
        <f t="shared" si="10"/>
        <v>-9.8517455762792472E-2</v>
      </c>
    </row>
    <row r="206" spans="1:14" s="104" customFormat="1" ht="15" hidden="1" customHeight="1" x14ac:dyDescent="0.2">
      <c r="A206" s="98" t="s">
        <v>117</v>
      </c>
      <c r="B206" s="99" t="s">
        <v>36</v>
      </c>
      <c r="C206" s="99">
        <v>420</v>
      </c>
      <c r="D206" s="100">
        <v>1200</v>
      </c>
      <c r="E206" s="98">
        <f>485.7+732</f>
        <v>1217.7</v>
      </c>
      <c r="F206" s="98" t="s">
        <v>8</v>
      </c>
      <c r="G206" s="101" t="s">
        <v>146</v>
      </c>
      <c r="H206" s="98"/>
      <c r="I206" s="102">
        <v>43441</v>
      </c>
      <c r="J206" s="98" t="s">
        <v>18</v>
      </c>
      <c r="K206" s="98"/>
      <c r="L206" s="98">
        <v>3</v>
      </c>
      <c r="M206" s="98">
        <f t="shared" si="9"/>
        <v>1260</v>
      </c>
      <c r="N206" s="103">
        <f t="shared" si="10"/>
        <v>-8.2633053221288721E-2</v>
      </c>
    </row>
    <row r="207" spans="1:14" s="104" customFormat="1" ht="15" hidden="1" customHeight="1" x14ac:dyDescent="0.2">
      <c r="A207" s="98" t="s">
        <v>341</v>
      </c>
      <c r="B207" s="99" t="s">
        <v>38</v>
      </c>
      <c r="C207" s="99">
        <v>320</v>
      </c>
      <c r="D207" s="100">
        <v>100</v>
      </c>
      <c r="E207" s="98">
        <f>114.3</f>
        <v>114.3</v>
      </c>
      <c r="F207" s="98" t="s">
        <v>8</v>
      </c>
      <c r="G207" s="101"/>
      <c r="H207" s="98"/>
      <c r="I207" s="102">
        <v>43441</v>
      </c>
      <c r="J207" s="98" t="s">
        <v>18</v>
      </c>
      <c r="K207" s="98"/>
      <c r="L207" s="98">
        <v>3</v>
      </c>
      <c r="M207" s="98">
        <f t="shared" si="9"/>
        <v>960</v>
      </c>
      <c r="N207" s="103">
        <f t="shared" si="10"/>
        <v>-8.7622549019607823E-2</v>
      </c>
    </row>
    <row r="208" spans="1:14" s="4" customFormat="1" ht="15" hidden="1" customHeight="1" x14ac:dyDescent="0.2">
      <c r="A208" s="3" t="s">
        <v>118</v>
      </c>
      <c r="B208" s="5" t="s">
        <v>37</v>
      </c>
      <c r="C208" s="5">
        <v>190</v>
      </c>
      <c r="D208" s="6" t="s">
        <v>22</v>
      </c>
      <c r="E208" s="3">
        <f>35.5</f>
        <v>35.5</v>
      </c>
      <c r="F208" s="3" t="s">
        <v>8</v>
      </c>
      <c r="G208" s="42"/>
      <c r="H208" s="3" t="s">
        <v>44</v>
      </c>
      <c r="I208" s="9">
        <v>43441</v>
      </c>
      <c r="J208" s="3" t="s">
        <v>48</v>
      </c>
      <c r="K208" s="3"/>
      <c r="L208" s="3">
        <v>1</v>
      </c>
      <c r="M208" s="18">
        <f t="shared" si="9"/>
        <v>190</v>
      </c>
      <c r="N208" s="32" t="e">
        <f t="shared" si="10"/>
        <v>#VALUE!</v>
      </c>
    </row>
    <row r="209" spans="1:15" s="4" customFormat="1" ht="15" hidden="1" customHeight="1" x14ac:dyDescent="0.2">
      <c r="A209" s="3" t="s">
        <v>118</v>
      </c>
      <c r="B209" s="5" t="s">
        <v>37</v>
      </c>
      <c r="C209" s="5">
        <v>305</v>
      </c>
      <c r="D209" s="6" t="s">
        <v>10</v>
      </c>
      <c r="E209" s="3">
        <f>112.6</f>
        <v>112.6</v>
      </c>
      <c r="F209" s="3" t="s">
        <v>8</v>
      </c>
      <c r="G209" s="42"/>
      <c r="H209" s="3" t="s">
        <v>44</v>
      </c>
      <c r="I209" s="9">
        <v>43441</v>
      </c>
      <c r="J209" s="3" t="s">
        <v>48</v>
      </c>
      <c r="K209" s="3"/>
      <c r="L209" s="3">
        <v>1</v>
      </c>
      <c r="M209" s="18">
        <f t="shared" si="9"/>
        <v>305</v>
      </c>
      <c r="N209" s="32" t="e">
        <f t="shared" si="10"/>
        <v>#VALUE!</v>
      </c>
    </row>
    <row r="210" spans="1:15" s="88" customFormat="1" ht="15" hidden="1" customHeight="1" x14ac:dyDescent="0.2">
      <c r="A210" s="82" t="s">
        <v>106</v>
      </c>
      <c r="B210" s="83" t="s">
        <v>39</v>
      </c>
      <c r="C210" s="83">
        <v>1000</v>
      </c>
      <c r="D210" s="84">
        <v>2000</v>
      </c>
      <c r="E210" s="82">
        <v>2015.1</v>
      </c>
      <c r="F210" s="82" t="s">
        <v>8</v>
      </c>
      <c r="G210" s="85">
        <v>4</v>
      </c>
      <c r="H210" s="89" t="s">
        <v>120</v>
      </c>
      <c r="I210" s="86" t="s">
        <v>121</v>
      </c>
      <c r="J210" s="82" t="s">
        <v>4</v>
      </c>
      <c r="K210" s="82"/>
      <c r="L210" s="82">
        <v>1</v>
      </c>
      <c r="M210" s="82">
        <f t="shared" si="9"/>
        <v>1000</v>
      </c>
      <c r="N210" s="87">
        <f t="shared" si="10"/>
        <v>-8.8823529411764177E-2</v>
      </c>
    </row>
    <row r="211" spans="1:15" s="88" customFormat="1" ht="15" hidden="1" customHeight="1" x14ac:dyDescent="0.2">
      <c r="A211" s="82" t="s">
        <v>106</v>
      </c>
      <c r="B211" s="83" t="s">
        <v>39</v>
      </c>
      <c r="C211" s="83">
        <v>1040</v>
      </c>
      <c r="D211" s="84">
        <v>4100</v>
      </c>
      <c r="E211" s="82">
        <f>1853.7+2404.6</f>
        <v>4258.3</v>
      </c>
      <c r="F211" s="82" t="s">
        <v>8</v>
      </c>
      <c r="G211" s="85">
        <v>4</v>
      </c>
      <c r="H211" s="89" t="s">
        <v>120</v>
      </c>
      <c r="I211" s="86" t="s">
        <v>121</v>
      </c>
      <c r="J211" s="82" t="s">
        <v>4</v>
      </c>
      <c r="K211" s="82"/>
      <c r="L211" s="82">
        <v>1</v>
      </c>
      <c r="M211" s="82">
        <f t="shared" si="9"/>
        <v>1040</v>
      </c>
      <c r="N211" s="87">
        <f t="shared" si="10"/>
        <v>-0.89536199095022717</v>
      </c>
    </row>
    <row r="212" spans="1:15" s="78" customFormat="1" ht="15" hidden="1" customHeight="1" x14ac:dyDescent="0.2">
      <c r="A212" s="16" t="s">
        <v>106</v>
      </c>
      <c r="B212" s="73" t="s">
        <v>39</v>
      </c>
      <c r="C212" s="73">
        <v>1120</v>
      </c>
      <c r="D212" s="79">
        <v>2000</v>
      </c>
      <c r="E212" s="16">
        <f>2048.6</f>
        <v>2048.6</v>
      </c>
      <c r="F212" s="16" t="s">
        <v>8</v>
      </c>
      <c r="G212" s="75" t="s">
        <v>146</v>
      </c>
      <c r="H212" s="81" t="s">
        <v>120</v>
      </c>
      <c r="I212" s="76" t="s">
        <v>121</v>
      </c>
      <c r="J212" s="16" t="s">
        <v>4</v>
      </c>
      <c r="K212" s="16"/>
      <c r="L212" s="16">
        <v>1</v>
      </c>
      <c r="M212" s="16">
        <f t="shared" si="9"/>
        <v>1120</v>
      </c>
      <c r="N212" s="77">
        <f t="shared" si="10"/>
        <v>-0.25525210084033567</v>
      </c>
      <c r="O212" s="78">
        <v>10</v>
      </c>
    </row>
    <row r="213" spans="1:15" s="104" customFormat="1" ht="15" hidden="1" customHeight="1" x14ac:dyDescent="0.2">
      <c r="A213" s="98" t="s">
        <v>106</v>
      </c>
      <c r="B213" s="99" t="s">
        <v>39</v>
      </c>
      <c r="C213" s="99">
        <v>1140</v>
      </c>
      <c r="D213" s="105">
        <v>1500</v>
      </c>
      <c r="E213" s="98">
        <f>257.4+1273</f>
        <v>1530.4</v>
      </c>
      <c r="F213" s="98" t="s">
        <v>8</v>
      </c>
      <c r="G213" s="101" t="s">
        <v>146</v>
      </c>
      <c r="H213" s="106"/>
      <c r="I213" s="102" t="s">
        <v>282</v>
      </c>
      <c r="J213" s="98" t="s">
        <v>4</v>
      </c>
      <c r="K213" s="98"/>
      <c r="L213" s="98">
        <v>1</v>
      </c>
      <c r="M213" s="98">
        <f t="shared" si="9"/>
        <v>1140</v>
      </c>
      <c r="N213" s="103">
        <f t="shared" si="10"/>
        <v>-0.15686274509803969</v>
      </c>
    </row>
    <row r="214" spans="1:15" s="104" customFormat="1" ht="15" hidden="1" customHeight="1" x14ac:dyDescent="0.2">
      <c r="A214" s="98" t="s">
        <v>106</v>
      </c>
      <c r="B214" s="99" t="s">
        <v>39</v>
      </c>
      <c r="C214" s="99">
        <v>1200</v>
      </c>
      <c r="D214" s="105">
        <v>4000</v>
      </c>
      <c r="E214" s="98">
        <f>1079.8+2075.6+1035.8</f>
        <v>4191.2</v>
      </c>
      <c r="F214" s="98" t="s">
        <v>8</v>
      </c>
      <c r="G214" s="101" t="s">
        <v>146</v>
      </c>
      <c r="H214" s="106"/>
      <c r="I214" s="102" t="s">
        <v>282</v>
      </c>
      <c r="J214" s="98" t="s">
        <v>4</v>
      </c>
      <c r="K214" s="98"/>
      <c r="L214" s="98">
        <v>1</v>
      </c>
      <c r="M214" s="98">
        <f t="shared" si="9"/>
        <v>1200</v>
      </c>
      <c r="N214" s="103">
        <f t="shared" si="10"/>
        <v>-0.93725490196078332</v>
      </c>
    </row>
    <row r="215" spans="1:15" s="104" customFormat="1" ht="15" hidden="1" customHeight="1" x14ac:dyDescent="0.2">
      <c r="A215" s="98" t="s">
        <v>53</v>
      </c>
      <c r="B215" s="99" t="s">
        <v>39</v>
      </c>
      <c r="C215" s="91">
        <v>350</v>
      </c>
      <c r="D215" s="100">
        <v>1000</v>
      </c>
      <c r="E215" s="98">
        <f>1043.7</f>
        <v>1043.7</v>
      </c>
      <c r="F215" s="98" t="s">
        <v>8</v>
      </c>
      <c r="G215" s="101" t="s">
        <v>146</v>
      </c>
      <c r="H215" s="98">
        <v>300</v>
      </c>
      <c r="I215" s="102">
        <v>43445</v>
      </c>
      <c r="J215" s="98" t="s">
        <v>33</v>
      </c>
      <c r="K215" s="98"/>
      <c r="L215" s="98">
        <v>3</v>
      </c>
      <c r="M215" s="98">
        <f t="shared" si="9"/>
        <v>1050</v>
      </c>
      <c r="N215" s="103">
        <f t="shared" si="10"/>
        <v>-0.24481792717086862</v>
      </c>
    </row>
    <row r="216" spans="1:15" s="104" customFormat="1" ht="15" hidden="1" customHeight="1" x14ac:dyDescent="0.2">
      <c r="A216" s="98" t="s">
        <v>53</v>
      </c>
      <c r="B216" s="99" t="s">
        <v>39</v>
      </c>
      <c r="C216" s="91">
        <v>400</v>
      </c>
      <c r="D216" s="100">
        <v>700</v>
      </c>
      <c r="E216" s="98">
        <f>605.4+90.6</f>
        <v>696</v>
      </c>
      <c r="F216" s="98" t="s">
        <v>8</v>
      </c>
      <c r="G216" s="101" t="s">
        <v>146</v>
      </c>
      <c r="H216" s="98">
        <v>300</v>
      </c>
      <c r="I216" s="102">
        <v>43445</v>
      </c>
      <c r="J216" s="98" t="s">
        <v>33</v>
      </c>
      <c r="K216" s="98"/>
      <c r="L216" s="98">
        <v>3</v>
      </c>
      <c r="M216" s="98">
        <f t="shared" si="9"/>
        <v>1200</v>
      </c>
      <c r="N216" s="103">
        <f t="shared" si="10"/>
        <v>1.9607843137254898E-2</v>
      </c>
    </row>
    <row r="217" spans="1:15" s="104" customFormat="1" ht="15" hidden="1" customHeight="1" x14ac:dyDescent="0.2">
      <c r="A217" s="98" t="s">
        <v>53</v>
      </c>
      <c r="B217" s="99" t="s">
        <v>39</v>
      </c>
      <c r="C217" s="91">
        <v>410</v>
      </c>
      <c r="D217" s="100">
        <v>500</v>
      </c>
      <c r="E217" s="98">
        <f>523</f>
        <v>523</v>
      </c>
      <c r="F217" s="98" t="s">
        <v>8</v>
      </c>
      <c r="G217" s="101" t="s">
        <v>146</v>
      </c>
      <c r="H217" s="98">
        <v>300</v>
      </c>
      <c r="I217" s="102">
        <v>43445</v>
      </c>
      <c r="J217" s="98" t="s">
        <v>33</v>
      </c>
      <c r="K217" s="98"/>
      <c r="L217" s="98">
        <v>3</v>
      </c>
      <c r="M217" s="98">
        <f t="shared" si="9"/>
        <v>1230</v>
      </c>
      <c r="N217" s="103">
        <f t="shared" si="10"/>
        <v>-0.10999521759923481</v>
      </c>
    </row>
    <row r="218" spans="1:15" s="104" customFormat="1" ht="15" hidden="1" customHeight="1" x14ac:dyDescent="0.2">
      <c r="A218" s="98" t="s">
        <v>53</v>
      </c>
      <c r="B218" s="99" t="s">
        <v>39</v>
      </c>
      <c r="C218" s="91">
        <v>420</v>
      </c>
      <c r="D218" s="100">
        <v>6000</v>
      </c>
      <c r="E218" s="98">
        <f>947.3+198.6+197.6+3278.2+1312.8</f>
        <v>5934.5</v>
      </c>
      <c r="F218" s="98" t="s">
        <v>8</v>
      </c>
      <c r="G218" s="101" t="s">
        <v>146</v>
      </c>
      <c r="H218" s="98">
        <v>300</v>
      </c>
      <c r="I218" s="102">
        <v>43445</v>
      </c>
      <c r="J218" s="98" t="s">
        <v>33</v>
      </c>
      <c r="K218" s="98"/>
      <c r="L218" s="98">
        <v>3</v>
      </c>
      <c r="M218" s="98">
        <f t="shared" si="9"/>
        <v>1260</v>
      </c>
      <c r="N218" s="103">
        <f t="shared" si="10"/>
        <v>0.30578898225957046</v>
      </c>
    </row>
    <row r="219" spans="1:15" s="104" customFormat="1" ht="15" hidden="1" customHeight="1" x14ac:dyDescent="0.2">
      <c r="A219" s="98" t="s">
        <v>53</v>
      </c>
      <c r="B219" s="99" t="s">
        <v>39</v>
      </c>
      <c r="C219" s="91">
        <v>430</v>
      </c>
      <c r="D219" s="100">
        <v>1000</v>
      </c>
      <c r="E219" s="98">
        <f>1069.8</f>
        <v>1069.8</v>
      </c>
      <c r="F219" s="98" t="s">
        <v>8</v>
      </c>
      <c r="G219" s="101" t="s">
        <v>146</v>
      </c>
      <c r="H219" s="98">
        <v>300</v>
      </c>
      <c r="I219" s="102">
        <v>43445</v>
      </c>
      <c r="J219" s="98" t="s">
        <v>33</v>
      </c>
      <c r="K219" s="98"/>
      <c r="L219" s="98">
        <v>3</v>
      </c>
      <c r="M219" s="98">
        <f t="shared" si="9"/>
        <v>1290</v>
      </c>
      <c r="N219" s="103">
        <f t="shared" si="10"/>
        <v>-0.31828545371637007</v>
      </c>
    </row>
    <row r="220" spans="1:15" s="4" customFormat="1" ht="15" hidden="1" customHeight="1" x14ac:dyDescent="0.2">
      <c r="A220" s="3" t="s">
        <v>53</v>
      </c>
      <c r="B220" s="5" t="s">
        <v>39</v>
      </c>
      <c r="C220" s="5">
        <v>500</v>
      </c>
      <c r="D220" s="6">
        <v>500</v>
      </c>
      <c r="E220" s="3">
        <f>549.4</f>
        <v>549.4</v>
      </c>
      <c r="F220" s="3" t="s">
        <v>8</v>
      </c>
      <c r="G220" s="42"/>
      <c r="H220" s="3">
        <v>300</v>
      </c>
      <c r="I220" s="9">
        <v>43445</v>
      </c>
      <c r="J220" s="3" t="s">
        <v>33</v>
      </c>
      <c r="K220" s="3"/>
      <c r="L220" s="3">
        <v>2</v>
      </c>
      <c r="M220" s="18">
        <f t="shared" si="9"/>
        <v>1000</v>
      </c>
      <c r="N220" s="32">
        <f t="shared" si="10"/>
        <v>-0.29058823529411754</v>
      </c>
    </row>
    <row r="221" spans="1:15" s="104" customFormat="1" ht="15" hidden="1" customHeight="1" x14ac:dyDescent="0.2">
      <c r="A221" s="98" t="s">
        <v>53</v>
      </c>
      <c r="B221" s="99" t="s">
        <v>39</v>
      </c>
      <c r="C221" s="91">
        <v>550</v>
      </c>
      <c r="D221" s="100">
        <v>1000</v>
      </c>
      <c r="E221" s="98">
        <f>782+213.8</f>
        <v>995.8</v>
      </c>
      <c r="F221" s="98" t="s">
        <v>8</v>
      </c>
      <c r="G221" s="101" t="s">
        <v>146</v>
      </c>
      <c r="H221" s="98">
        <v>300</v>
      </c>
      <c r="I221" s="102">
        <v>43445</v>
      </c>
      <c r="J221" s="98" t="s">
        <v>33</v>
      </c>
      <c r="K221" s="98"/>
      <c r="L221" s="98">
        <v>2</v>
      </c>
      <c r="M221" s="98">
        <f t="shared" si="9"/>
        <v>1100</v>
      </c>
      <c r="N221" s="103">
        <f t="shared" si="10"/>
        <v>2.2459893048128586E-2</v>
      </c>
    </row>
    <row r="222" spans="1:15" s="52" customFormat="1" ht="15" hidden="1" customHeight="1" x14ac:dyDescent="0.2">
      <c r="A222" s="46" t="s">
        <v>53</v>
      </c>
      <c r="B222" s="47" t="s">
        <v>37</v>
      </c>
      <c r="C222" s="54">
        <v>285</v>
      </c>
      <c r="D222" s="48">
        <v>400</v>
      </c>
      <c r="E222" s="46">
        <f>400</f>
        <v>400</v>
      </c>
      <c r="F222" s="46" t="s">
        <v>8</v>
      </c>
      <c r="G222" s="49" t="s">
        <v>146</v>
      </c>
      <c r="H222" s="46">
        <v>300</v>
      </c>
      <c r="I222" s="50">
        <v>43445</v>
      </c>
      <c r="J222" s="46" t="s">
        <v>33</v>
      </c>
      <c r="K222" s="46"/>
      <c r="L222" s="46">
        <v>4</v>
      </c>
      <c r="M222" s="46">
        <f t="shared" si="9"/>
        <v>1140</v>
      </c>
      <c r="N222" s="51">
        <f t="shared" si="10"/>
        <v>0</v>
      </c>
    </row>
    <row r="223" spans="1:15" s="52" customFormat="1" ht="15" hidden="1" customHeight="1" x14ac:dyDescent="0.2">
      <c r="A223" s="46" t="s">
        <v>53</v>
      </c>
      <c r="B223" s="47" t="s">
        <v>37</v>
      </c>
      <c r="C223" s="54">
        <v>300</v>
      </c>
      <c r="D223" s="48">
        <v>700</v>
      </c>
      <c r="E223" s="46">
        <f>657.8</f>
        <v>657.8</v>
      </c>
      <c r="F223" s="46" t="s">
        <v>8</v>
      </c>
      <c r="G223" s="49" t="s">
        <v>146</v>
      </c>
      <c r="H223" s="46">
        <v>300</v>
      </c>
      <c r="I223" s="50">
        <v>43445</v>
      </c>
      <c r="J223" s="46" t="s">
        <v>33</v>
      </c>
      <c r="K223" s="46"/>
      <c r="L223" s="46">
        <v>4</v>
      </c>
      <c r="M223" s="46">
        <f t="shared" si="9"/>
        <v>1200</v>
      </c>
      <c r="N223" s="51">
        <f t="shared" si="10"/>
        <v>0.2068627450980394</v>
      </c>
    </row>
    <row r="224" spans="1:15" s="52" customFormat="1" ht="15" hidden="1" customHeight="1" x14ac:dyDescent="0.2">
      <c r="A224" s="46" t="s">
        <v>53</v>
      </c>
      <c r="B224" s="47" t="s">
        <v>37</v>
      </c>
      <c r="C224" s="54">
        <v>380</v>
      </c>
      <c r="D224" s="48">
        <v>1500</v>
      </c>
      <c r="E224" s="46">
        <f>1478.8</f>
        <v>1478.8</v>
      </c>
      <c r="F224" s="46" t="s">
        <v>8</v>
      </c>
      <c r="G224" s="49" t="s">
        <v>146</v>
      </c>
      <c r="H224" s="46">
        <v>300</v>
      </c>
      <c r="I224" s="50">
        <v>43445</v>
      </c>
      <c r="J224" s="46" t="s">
        <v>33</v>
      </c>
      <c r="K224" s="46"/>
      <c r="L224" s="46">
        <v>3</v>
      </c>
      <c r="M224" s="46">
        <f t="shared" si="9"/>
        <v>1140</v>
      </c>
      <c r="N224" s="51">
        <f t="shared" si="10"/>
        <v>0.10939112487100126</v>
      </c>
    </row>
    <row r="225" spans="1:15" s="52" customFormat="1" ht="15" hidden="1" customHeight="1" x14ac:dyDescent="0.2">
      <c r="A225" s="46" t="s">
        <v>53</v>
      </c>
      <c r="B225" s="47" t="s">
        <v>37</v>
      </c>
      <c r="C225" s="54">
        <v>400</v>
      </c>
      <c r="D225" s="48">
        <v>2500</v>
      </c>
      <c r="E225" s="46">
        <f>2508.3</f>
        <v>2508.3000000000002</v>
      </c>
      <c r="F225" s="46" t="s">
        <v>8</v>
      </c>
      <c r="G225" s="49" t="s">
        <v>146</v>
      </c>
      <c r="H225" s="46">
        <v>300</v>
      </c>
      <c r="I225" s="50">
        <v>43445</v>
      </c>
      <c r="J225" s="46" t="s">
        <v>33</v>
      </c>
      <c r="K225" s="46"/>
      <c r="L225" s="46">
        <v>3</v>
      </c>
      <c r="M225" s="46">
        <f t="shared" si="9"/>
        <v>1200</v>
      </c>
      <c r="N225" s="51">
        <f t="shared" si="10"/>
        <v>-4.0686274509804811E-2</v>
      </c>
    </row>
    <row r="226" spans="1:15" s="4" customFormat="1" ht="15" hidden="1" customHeight="1" x14ac:dyDescent="0.2">
      <c r="A226" s="3" t="s">
        <v>53</v>
      </c>
      <c r="B226" s="5" t="s">
        <v>38</v>
      </c>
      <c r="C226" s="5">
        <v>360</v>
      </c>
      <c r="D226" s="6">
        <v>700</v>
      </c>
      <c r="E226" s="3">
        <f>684.3</f>
        <v>684.3</v>
      </c>
      <c r="F226" s="3" t="s">
        <v>8</v>
      </c>
      <c r="G226" s="42"/>
      <c r="H226" s="3">
        <v>300</v>
      </c>
      <c r="I226" s="9">
        <v>43445</v>
      </c>
      <c r="J226" s="3" t="s">
        <v>33</v>
      </c>
      <c r="K226" s="3"/>
      <c r="L226" s="3"/>
      <c r="M226" s="18">
        <f t="shared" si="9"/>
        <v>0</v>
      </c>
      <c r="N226" s="32" t="e">
        <f t="shared" si="10"/>
        <v>#DIV/0!</v>
      </c>
    </row>
    <row r="227" spans="1:15" s="4" customFormat="1" ht="15" hidden="1" customHeight="1" x14ac:dyDescent="0.2">
      <c r="A227" s="3" t="s">
        <v>53</v>
      </c>
      <c r="B227" s="5" t="s">
        <v>38</v>
      </c>
      <c r="C227" s="5">
        <v>430</v>
      </c>
      <c r="D227" s="6">
        <v>800</v>
      </c>
      <c r="E227" s="3">
        <f>841.2</f>
        <v>841.2</v>
      </c>
      <c r="F227" s="3" t="s">
        <v>8</v>
      </c>
      <c r="G227" s="42"/>
      <c r="H227" s="3">
        <v>300</v>
      </c>
      <c r="I227" s="9">
        <v>43445</v>
      </c>
      <c r="J227" s="3" t="s">
        <v>33</v>
      </c>
      <c r="K227" s="3"/>
      <c r="L227" s="3"/>
      <c r="M227" s="18">
        <f t="shared" si="9"/>
        <v>0</v>
      </c>
      <c r="N227" s="32" t="e">
        <f t="shared" si="10"/>
        <v>#DIV/0!</v>
      </c>
    </row>
    <row r="228" spans="1:15" s="104" customFormat="1" ht="15" hidden="1" customHeight="1" x14ac:dyDescent="0.2">
      <c r="A228" s="98" t="s">
        <v>53</v>
      </c>
      <c r="B228" s="99" t="s">
        <v>36</v>
      </c>
      <c r="C228" s="99">
        <v>540</v>
      </c>
      <c r="D228" s="100">
        <v>2000</v>
      </c>
      <c r="E228" s="98">
        <f>1004.8+1092.2</f>
        <v>2097</v>
      </c>
      <c r="F228" s="98" t="s">
        <v>8</v>
      </c>
      <c r="G228" s="101" t="s">
        <v>146</v>
      </c>
      <c r="H228" s="98">
        <v>300</v>
      </c>
      <c r="I228" s="102">
        <v>43445</v>
      </c>
      <c r="J228" s="98" t="s">
        <v>33</v>
      </c>
      <c r="K228" s="98"/>
      <c r="L228" s="98">
        <v>2</v>
      </c>
      <c r="M228" s="98">
        <f t="shared" si="9"/>
        <v>1080</v>
      </c>
      <c r="N228" s="103">
        <f t="shared" si="10"/>
        <v>-0.52832244008714591</v>
      </c>
    </row>
    <row r="229" spans="1:15" s="52" customFormat="1" ht="15" hidden="1" customHeight="1" x14ac:dyDescent="0.2">
      <c r="A229" s="46" t="s">
        <v>122</v>
      </c>
      <c r="B229" s="47" t="s">
        <v>37</v>
      </c>
      <c r="C229" s="54">
        <v>350</v>
      </c>
      <c r="D229" s="48">
        <v>3000</v>
      </c>
      <c r="E229" s="46">
        <f>2461.5+659.7</f>
        <v>3121.2</v>
      </c>
      <c r="F229" s="46" t="s">
        <v>8</v>
      </c>
      <c r="G229" s="49" t="s">
        <v>146</v>
      </c>
      <c r="H229" s="46">
        <v>300</v>
      </c>
      <c r="I229" s="50">
        <v>43445</v>
      </c>
      <c r="J229" s="46" t="s">
        <v>43</v>
      </c>
      <c r="K229" s="46"/>
      <c r="L229" s="46">
        <v>3</v>
      </c>
      <c r="M229" s="46">
        <f t="shared" si="9"/>
        <v>1050</v>
      </c>
      <c r="N229" s="51">
        <f t="shared" si="10"/>
        <v>-0.67899159663865449</v>
      </c>
      <c r="O229" s="52" t="s">
        <v>145</v>
      </c>
    </row>
    <row r="230" spans="1:15" s="52" customFormat="1" ht="15" hidden="1" customHeight="1" x14ac:dyDescent="0.2">
      <c r="A230" s="46" t="s">
        <v>122</v>
      </c>
      <c r="B230" s="47" t="s">
        <v>37</v>
      </c>
      <c r="C230" s="54">
        <v>240</v>
      </c>
      <c r="D230" s="48">
        <v>500</v>
      </c>
      <c r="E230" s="46">
        <f>482</f>
        <v>482</v>
      </c>
      <c r="F230" s="46" t="s">
        <v>8</v>
      </c>
      <c r="G230" s="49" t="s">
        <v>146</v>
      </c>
      <c r="H230" s="46">
        <v>300</v>
      </c>
      <c r="I230" s="50">
        <v>43445</v>
      </c>
      <c r="J230" s="46" t="s">
        <v>43</v>
      </c>
      <c r="K230" s="46"/>
      <c r="L230" s="46">
        <v>4</v>
      </c>
      <c r="M230" s="46">
        <f t="shared" si="9"/>
        <v>960</v>
      </c>
      <c r="N230" s="51">
        <f t="shared" si="10"/>
        <v>0.11029411764705881</v>
      </c>
    </row>
    <row r="231" spans="1:15" s="52" customFormat="1" ht="15" hidden="1" customHeight="1" x14ac:dyDescent="0.2">
      <c r="A231" s="46" t="s">
        <v>122</v>
      </c>
      <c r="B231" s="47" t="s">
        <v>37</v>
      </c>
      <c r="C231" s="54">
        <v>320</v>
      </c>
      <c r="D231" s="48">
        <v>300</v>
      </c>
      <c r="E231" s="46">
        <f>321.9</f>
        <v>321.89999999999998</v>
      </c>
      <c r="F231" s="46" t="s">
        <v>8</v>
      </c>
      <c r="G231" s="49" t="s">
        <v>146</v>
      </c>
      <c r="H231" s="46">
        <v>300</v>
      </c>
      <c r="I231" s="50">
        <v>43445</v>
      </c>
      <c r="J231" s="46" t="s">
        <v>43</v>
      </c>
      <c r="K231" s="46"/>
      <c r="L231" s="46">
        <v>3</v>
      </c>
      <c r="M231" s="46">
        <f t="shared" si="9"/>
        <v>960</v>
      </c>
      <c r="N231" s="51">
        <f t="shared" si="10"/>
        <v>-0.13419117647058809</v>
      </c>
    </row>
    <row r="232" spans="1:15" s="52" customFormat="1" ht="15" hidden="1" customHeight="1" x14ac:dyDescent="0.2">
      <c r="A232" s="46" t="s">
        <v>122</v>
      </c>
      <c r="B232" s="47" t="s">
        <v>37</v>
      </c>
      <c r="C232" s="54">
        <v>360</v>
      </c>
      <c r="D232" s="48">
        <v>200</v>
      </c>
      <c r="E232" s="46">
        <f>202.5</f>
        <v>202.5</v>
      </c>
      <c r="F232" s="46" t="s">
        <v>8</v>
      </c>
      <c r="G232" s="49" t="s">
        <v>146</v>
      </c>
      <c r="H232" s="46">
        <v>300</v>
      </c>
      <c r="I232" s="50">
        <v>43445</v>
      </c>
      <c r="J232" s="46" t="s">
        <v>43</v>
      </c>
      <c r="K232" s="46"/>
      <c r="L232" s="46">
        <v>3</v>
      </c>
      <c r="M232" s="46">
        <f t="shared" si="9"/>
        <v>1080</v>
      </c>
      <c r="N232" s="51">
        <f t="shared" si="10"/>
        <v>-1.3616557734204792E-2</v>
      </c>
    </row>
    <row r="233" spans="1:15" s="52" customFormat="1" ht="15" hidden="1" customHeight="1" x14ac:dyDescent="0.2">
      <c r="A233" s="46" t="s">
        <v>122</v>
      </c>
      <c r="B233" s="47" t="s">
        <v>37</v>
      </c>
      <c r="C233" s="54">
        <v>380</v>
      </c>
      <c r="D233" s="48">
        <v>300</v>
      </c>
      <c r="E233" s="46">
        <f>305.8</f>
        <v>305.8</v>
      </c>
      <c r="F233" s="46" t="s">
        <v>8</v>
      </c>
      <c r="G233" s="49" t="s">
        <v>146</v>
      </c>
      <c r="H233" s="46">
        <v>300</v>
      </c>
      <c r="I233" s="50">
        <v>43445</v>
      </c>
      <c r="J233" s="46" t="s">
        <v>43</v>
      </c>
      <c r="K233" s="46"/>
      <c r="L233" s="46">
        <v>3</v>
      </c>
      <c r="M233" s="46">
        <f t="shared" si="9"/>
        <v>1140</v>
      </c>
      <c r="N233" s="51">
        <f t="shared" si="10"/>
        <v>-2.9927760577915432E-2</v>
      </c>
    </row>
    <row r="234" spans="1:15" s="78" customFormat="1" ht="15" hidden="1" customHeight="1" x14ac:dyDescent="0.2">
      <c r="A234" s="16" t="s">
        <v>122</v>
      </c>
      <c r="B234" s="73" t="s">
        <v>37</v>
      </c>
      <c r="C234" s="73">
        <v>420</v>
      </c>
      <c r="D234" s="74">
        <v>200</v>
      </c>
      <c r="E234" s="16">
        <f>221.1</f>
        <v>221.1</v>
      </c>
      <c r="F234" s="16" t="s">
        <v>8</v>
      </c>
      <c r="G234" s="75" t="s">
        <v>146</v>
      </c>
      <c r="H234" s="16">
        <v>300</v>
      </c>
      <c r="I234" s="76">
        <v>43445</v>
      </c>
      <c r="J234" s="16" t="s">
        <v>43</v>
      </c>
      <c r="K234" s="16"/>
      <c r="L234" s="16">
        <v>2</v>
      </c>
      <c r="M234" s="16">
        <f t="shared" si="9"/>
        <v>840</v>
      </c>
      <c r="N234" s="77">
        <f t="shared" si="10"/>
        <v>-0.14775910364145653</v>
      </c>
    </row>
    <row r="235" spans="1:15" s="52" customFormat="1" ht="15" hidden="1" customHeight="1" x14ac:dyDescent="0.2">
      <c r="A235" s="46" t="s">
        <v>122</v>
      </c>
      <c r="B235" s="47" t="s">
        <v>37</v>
      </c>
      <c r="C235" s="54">
        <v>450</v>
      </c>
      <c r="D235" s="48">
        <v>500</v>
      </c>
      <c r="E235" s="46">
        <f>514</f>
        <v>514</v>
      </c>
      <c r="F235" s="46" t="s">
        <v>8</v>
      </c>
      <c r="G235" s="49" t="s">
        <v>146</v>
      </c>
      <c r="H235" s="46">
        <v>300</v>
      </c>
      <c r="I235" s="50">
        <v>43445</v>
      </c>
      <c r="J235" s="46" t="s">
        <v>43</v>
      </c>
      <c r="K235" s="46"/>
      <c r="L235" s="46">
        <v>2</v>
      </c>
      <c r="M235" s="46">
        <f t="shared" si="9"/>
        <v>900</v>
      </c>
      <c r="N235" s="51">
        <f t="shared" si="10"/>
        <v>-9.1503267973856203E-2</v>
      </c>
    </row>
    <row r="236" spans="1:15" s="52" customFormat="1" ht="15" hidden="1" customHeight="1" x14ac:dyDescent="0.2">
      <c r="A236" s="46" t="s">
        <v>122</v>
      </c>
      <c r="B236" s="47" t="s">
        <v>37</v>
      </c>
      <c r="C236" s="54">
        <v>480</v>
      </c>
      <c r="D236" s="48">
        <v>500</v>
      </c>
      <c r="E236" s="46">
        <f>507.2</f>
        <v>507.2</v>
      </c>
      <c r="F236" s="46" t="s">
        <v>8</v>
      </c>
      <c r="G236" s="49" t="s">
        <v>146</v>
      </c>
      <c r="H236" s="46">
        <v>300</v>
      </c>
      <c r="I236" s="50">
        <v>43445</v>
      </c>
      <c r="J236" s="46" t="s">
        <v>43</v>
      </c>
      <c r="K236" s="46"/>
      <c r="L236" s="46">
        <v>2</v>
      </c>
      <c r="M236" s="46">
        <f t="shared" si="9"/>
        <v>960</v>
      </c>
      <c r="N236" s="51">
        <f t="shared" si="10"/>
        <v>-4.4117647058823456E-2</v>
      </c>
    </row>
    <row r="237" spans="1:15" s="52" customFormat="1" ht="15" hidden="1" customHeight="1" x14ac:dyDescent="0.2">
      <c r="A237" s="46" t="s">
        <v>122</v>
      </c>
      <c r="B237" s="47" t="s">
        <v>37</v>
      </c>
      <c r="C237" s="47">
        <v>960</v>
      </c>
      <c r="D237" s="48">
        <v>1200</v>
      </c>
      <c r="E237" s="46">
        <f>1204.9</f>
        <v>1204.9000000000001</v>
      </c>
      <c r="F237" s="46" t="s">
        <v>8</v>
      </c>
      <c r="G237" s="49" t="s">
        <v>146</v>
      </c>
      <c r="H237" s="46">
        <v>580</v>
      </c>
      <c r="I237" s="50">
        <v>43445</v>
      </c>
      <c r="J237" s="46" t="s">
        <v>43</v>
      </c>
      <c r="K237" s="46"/>
      <c r="L237" s="46">
        <v>1</v>
      </c>
      <c r="M237" s="46">
        <f t="shared" si="9"/>
        <v>960</v>
      </c>
      <c r="N237" s="51">
        <f t="shared" si="10"/>
        <v>-3.0024509803922121E-2</v>
      </c>
    </row>
    <row r="238" spans="1:15" s="4" customFormat="1" ht="15" hidden="1" customHeight="1" x14ac:dyDescent="0.2">
      <c r="A238" s="3" t="s">
        <v>122</v>
      </c>
      <c r="B238" s="5" t="s">
        <v>38</v>
      </c>
      <c r="C238" s="5">
        <v>250</v>
      </c>
      <c r="D238" s="6">
        <v>2000</v>
      </c>
      <c r="E238" s="3" t="s">
        <v>251</v>
      </c>
      <c r="F238" s="3" t="s">
        <v>251</v>
      </c>
      <c r="G238" s="42"/>
      <c r="H238" s="3">
        <v>300</v>
      </c>
      <c r="I238" s="9">
        <v>43445</v>
      </c>
      <c r="J238" s="3" t="s">
        <v>43</v>
      </c>
      <c r="K238" s="3"/>
      <c r="L238" s="3">
        <v>1</v>
      </c>
      <c r="M238" s="10">
        <f t="shared" si="9"/>
        <v>250</v>
      </c>
      <c r="N238" s="32" t="e">
        <f t="shared" si="10"/>
        <v>#VALUE!</v>
      </c>
    </row>
    <row r="239" spans="1:15" s="52" customFormat="1" ht="15" hidden="1" customHeight="1" x14ac:dyDescent="0.2">
      <c r="A239" s="46" t="s">
        <v>122</v>
      </c>
      <c r="B239" s="47" t="s">
        <v>38</v>
      </c>
      <c r="C239" s="47">
        <v>190</v>
      </c>
      <c r="D239" s="48">
        <v>500</v>
      </c>
      <c r="E239" s="46">
        <f>552</f>
        <v>552</v>
      </c>
      <c r="F239" s="46" t="s">
        <v>8</v>
      </c>
      <c r="G239" s="49">
        <v>3</v>
      </c>
      <c r="H239" s="46">
        <v>300</v>
      </c>
      <c r="I239" s="50">
        <v>43445</v>
      </c>
      <c r="J239" s="46" t="s">
        <v>43</v>
      </c>
      <c r="K239" s="46"/>
      <c r="L239" s="46">
        <v>6</v>
      </c>
      <c r="M239" s="46">
        <f t="shared" si="9"/>
        <v>1140</v>
      </c>
      <c r="N239" s="51">
        <f t="shared" si="10"/>
        <v>-0.26831785345717235</v>
      </c>
    </row>
    <row r="240" spans="1:15" s="52" customFormat="1" ht="15" hidden="1" customHeight="1" x14ac:dyDescent="0.2">
      <c r="A240" s="46" t="s">
        <v>122</v>
      </c>
      <c r="B240" s="47" t="s">
        <v>38</v>
      </c>
      <c r="C240" s="47">
        <v>350</v>
      </c>
      <c r="D240" s="48">
        <v>500</v>
      </c>
      <c r="E240" s="46">
        <f>518.2</f>
        <v>518.20000000000005</v>
      </c>
      <c r="F240" s="46" t="s">
        <v>8</v>
      </c>
      <c r="G240" s="49">
        <v>3</v>
      </c>
      <c r="H240" s="46">
        <v>300</v>
      </c>
      <c r="I240" s="50">
        <v>43445</v>
      </c>
      <c r="J240" s="46" t="s">
        <v>43</v>
      </c>
      <c r="K240" s="46"/>
      <c r="L240" s="46">
        <v>3</v>
      </c>
      <c r="M240" s="46">
        <f t="shared" si="9"/>
        <v>1050</v>
      </c>
      <c r="N240" s="51">
        <f t="shared" si="10"/>
        <v>-0.10196078431372574</v>
      </c>
    </row>
    <row r="241" spans="1:14" s="4" customFormat="1" ht="15" hidden="1" customHeight="1" x14ac:dyDescent="0.2">
      <c r="A241" s="3" t="s">
        <v>122</v>
      </c>
      <c r="B241" s="5" t="s">
        <v>36</v>
      </c>
      <c r="C241" s="5">
        <v>210</v>
      </c>
      <c r="D241" s="6">
        <v>300</v>
      </c>
      <c r="E241" s="3">
        <f>316.4</f>
        <v>316.39999999999998</v>
      </c>
      <c r="F241" s="3" t="s">
        <v>8</v>
      </c>
      <c r="G241" s="42">
        <v>3</v>
      </c>
      <c r="H241" s="3">
        <v>300</v>
      </c>
      <c r="I241" s="9">
        <v>43445</v>
      </c>
      <c r="J241" s="3" t="s">
        <v>43</v>
      </c>
      <c r="K241" s="3"/>
      <c r="L241" s="10">
        <v>3</v>
      </c>
      <c r="M241" s="18">
        <f t="shared" si="9"/>
        <v>630</v>
      </c>
      <c r="N241" s="32">
        <f t="shared" si="10"/>
        <v>-0.15312791783379998</v>
      </c>
    </row>
    <row r="242" spans="1:14" s="4" customFormat="1" ht="15" hidden="1" customHeight="1" x14ac:dyDescent="0.2">
      <c r="A242" s="3" t="s">
        <v>122</v>
      </c>
      <c r="B242" s="5" t="s">
        <v>36</v>
      </c>
      <c r="C242" s="5">
        <v>250</v>
      </c>
      <c r="D242" s="6">
        <v>250</v>
      </c>
      <c r="E242" s="3">
        <f>107.7+187.9</f>
        <v>295.60000000000002</v>
      </c>
      <c r="F242" s="3" t="s">
        <v>8</v>
      </c>
      <c r="G242" s="42">
        <v>3</v>
      </c>
      <c r="H242" s="3">
        <v>300</v>
      </c>
      <c r="I242" s="9">
        <v>43445</v>
      </c>
      <c r="J242" s="3" t="s">
        <v>43</v>
      </c>
      <c r="K242" s="3"/>
      <c r="L242" s="10">
        <v>3</v>
      </c>
      <c r="M242" s="18">
        <f t="shared" si="9"/>
        <v>750</v>
      </c>
      <c r="N242" s="32">
        <f t="shared" si="10"/>
        <v>-0.35764705882352954</v>
      </c>
    </row>
    <row r="243" spans="1:14" s="78" customFormat="1" ht="15" hidden="1" customHeight="1" x14ac:dyDescent="0.2">
      <c r="A243" s="16" t="s">
        <v>122</v>
      </c>
      <c r="B243" s="73" t="s">
        <v>36</v>
      </c>
      <c r="C243" s="73">
        <v>350</v>
      </c>
      <c r="D243" s="74">
        <v>500</v>
      </c>
      <c r="E243" s="16">
        <f>504</f>
        <v>504</v>
      </c>
      <c r="F243" s="16" t="s">
        <v>8</v>
      </c>
      <c r="G243" s="75"/>
      <c r="H243" s="16">
        <v>300</v>
      </c>
      <c r="I243" s="76">
        <v>43445</v>
      </c>
      <c r="J243" s="16" t="s">
        <v>43</v>
      </c>
      <c r="K243" s="16"/>
      <c r="L243" s="16">
        <v>2</v>
      </c>
      <c r="M243" s="16">
        <f t="shared" si="9"/>
        <v>700</v>
      </c>
      <c r="N243" s="77">
        <f t="shared" si="10"/>
        <v>-3.3613445378151259E-2</v>
      </c>
    </row>
    <row r="244" spans="1:14" s="78" customFormat="1" ht="15" hidden="1" customHeight="1" x14ac:dyDescent="0.2">
      <c r="A244" s="16" t="s">
        <v>122</v>
      </c>
      <c r="B244" s="73" t="s">
        <v>39</v>
      </c>
      <c r="C244" s="54">
        <v>220</v>
      </c>
      <c r="D244" s="74">
        <v>300</v>
      </c>
      <c r="E244" s="16">
        <f>360.3</f>
        <v>360.3</v>
      </c>
      <c r="F244" s="16" t="s">
        <v>8</v>
      </c>
      <c r="G244" s="75" t="s">
        <v>146</v>
      </c>
      <c r="H244" s="16">
        <v>300</v>
      </c>
      <c r="I244" s="76">
        <v>43445</v>
      </c>
      <c r="J244" s="16" t="s">
        <v>43</v>
      </c>
      <c r="K244" s="16"/>
      <c r="L244" s="16">
        <v>3</v>
      </c>
      <c r="M244" s="16">
        <f t="shared" si="9"/>
        <v>660</v>
      </c>
      <c r="N244" s="77">
        <f t="shared" si="10"/>
        <v>-0.53743315508021394</v>
      </c>
    </row>
    <row r="245" spans="1:14" s="88" customFormat="1" ht="15" hidden="1" customHeight="1" x14ac:dyDescent="0.2">
      <c r="A245" s="82" t="s">
        <v>122</v>
      </c>
      <c r="B245" s="83" t="s">
        <v>39</v>
      </c>
      <c r="C245" s="54">
        <v>320</v>
      </c>
      <c r="D245" s="84">
        <v>500</v>
      </c>
      <c r="E245" s="82">
        <f>488.4</f>
        <v>488.4</v>
      </c>
      <c r="F245" s="82" t="s">
        <v>8</v>
      </c>
      <c r="G245" s="85">
        <v>3</v>
      </c>
      <c r="H245" s="82">
        <v>300</v>
      </c>
      <c r="I245" s="86">
        <v>43445</v>
      </c>
      <c r="J245" s="82" t="s">
        <v>43</v>
      </c>
      <c r="K245" s="82"/>
      <c r="L245" s="82">
        <v>3</v>
      </c>
      <c r="M245" s="82">
        <f t="shared" si="9"/>
        <v>960</v>
      </c>
      <c r="N245" s="87">
        <f t="shared" si="10"/>
        <v>7.1078431372549156E-2</v>
      </c>
    </row>
    <row r="246" spans="1:14" s="88" customFormat="1" ht="15" hidden="1" customHeight="1" x14ac:dyDescent="0.2">
      <c r="A246" s="82" t="s">
        <v>122</v>
      </c>
      <c r="B246" s="83" t="s">
        <v>39</v>
      </c>
      <c r="C246" s="54">
        <v>400</v>
      </c>
      <c r="D246" s="84">
        <v>500</v>
      </c>
      <c r="E246" s="82">
        <f>509.7</f>
        <v>509.7</v>
      </c>
      <c r="F246" s="82" t="s">
        <v>8</v>
      </c>
      <c r="G246" s="85">
        <v>3</v>
      </c>
      <c r="H246" s="82">
        <v>300</v>
      </c>
      <c r="I246" s="86">
        <v>43445</v>
      </c>
      <c r="J246" s="82" t="s">
        <v>43</v>
      </c>
      <c r="K246" s="82"/>
      <c r="L246" s="82">
        <v>3</v>
      </c>
      <c r="M246" s="82">
        <f t="shared" si="9"/>
        <v>1200</v>
      </c>
      <c r="N246" s="87">
        <f t="shared" si="10"/>
        <v>-4.7549019607843072E-2</v>
      </c>
    </row>
    <row r="247" spans="1:14" s="96" customFormat="1" ht="15" hidden="1" customHeight="1" x14ac:dyDescent="0.2">
      <c r="A247" s="90" t="s">
        <v>52</v>
      </c>
      <c r="B247" s="91" t="s">
        <v>40</v>
      </c>
      <c r="C247" s="91">
        <v>170</v>
      </c>
      <c r="D247" s="92">
        <v>400</v>
      </c>
      <c r="E247" s="90">
        <f>370</f>
        <v>370</v>
      </c>
      <c r="F247" s="90" t="s">
        <v>8</v>
      </c>
      <c r="G247" s="93" t="s">
        <v>146</v>
      </c>
      <c r="H247" s="90" t="s">
        <v>32</v>
      </c>
      <c r="I247" s="94">
        <v>43445</v>
      </c>
      <c r="J247" s="90" t="s">
        <v>30</v>
      </c>
      <c r="K247" s="90"/>
      <c r="L247" s="90">
        <v>5</v>
      </c>
      <c r="M247" s="90">
        <f t="shared" si="9"/>
        <v>850</v>
      </c>
      <c r="N247" s="95">
        <f t="shared" si="10"/>
        <v>0.20761245674740483</v>
      </c>
    </row>
    <row r="248" spans="1:14" s="96" customFormat="1" ht="15" hidden="1" customHeight="1" x14ac:dyDescent="0.2">
      <c r="A248" s="90" t="s">
        <v>52</v>
      </c>
      <c r="B248" s="91" t="s">
        <v>40</v>
      </c>
      <c r="C248" s="91">
        <v>180</v>
      </c>
      <c r="D248" s="92">
        <v>500</v>
      </c>
      <c r="E248" s="90">
        <f>469.5</f>
        <v>469.5</v>
      </c>
      <c r="F248" s="90" t="s">
        <v>8</v>
      </c>
      <c r="G248" s="93" t="s">
        <v>146</v>
      </c>
      <c r="H248" s="90" t="s">
        <v>32</v>
      </c>
      <c r="I248" s="94">
        <v>43445</v>
      </c>
      <c r="J248" s="90" t="s">
        <v>30</v>
      </c>
      <c r="K248" s="90"/>
      <c r="L248" s="90">
        <v>6</v>
      </c>
      <c r="M248" s="90">
        <f t="shared" si="9"/>
        <v>1080</v>
      </c>
      <c r="N248" s="95">
        <f t="shared" si="10"/>
        <v>0.16612200435729846</v>
      </c>
    </row>
    <row r="249" spans="1:14" s="60" customFormat="1" ht="15" hidden="1" customHeight="1" x14ac:dyDescent="0.2">
      <c r="A249" s="55" t="s">
        <v>52</v>
      </c>
      <c r="B249" s="54" t="s">
        <v>40</v>
      </c>
      <c r="C249" s="54">
        <v>205</v>
      </c>
      <c r="D249" s="56">
        <v>2000</v>
      </c>
      <c r="E249" s="55">
        <f>2031</f>
        <v>2031</v>
      </c>
      <c r="F249" s="55" t="s">
        <v>8</v>
      </c>
      <c r="G249" s="57" t="s">
        <v>146</v>
      </c>
      <c r="H249" s="55" t="s">
        <v>32</v>
      </c>
      <c r="I249" s="58">
        <v>43445</v>
      </c>
      <c r="J249" s="55" t="s">
        <v>30</v>
      </c>
      <c r="K249" s="55"/>
      <c r="L249" s="55">
        <v>5</v>
      </c>
      <c r="M249" s="55">
        <f t="shared" si="9"/>
        <v>1025</v>
      </c>
      <c r="N249" s="59">
        <f>(D249-E249)/(M249*0.23)</f>
        <v>-0.13149522799575822</v>
      </c>
    </row>
    <row r="250" spans="1:14" s="60" customFormat="1" ht="15" hidden="1" customHeight="1" x14ac:dyDescent="0.2">
      <c r="A250" s="55" t="s">
        <v>52</v>
      </c>
      <c r="B250" s="54" t="s">
        <v>40</v>
      </c>
      <c r="C250" s="54">
        <v>210</v>
      </c>
      <c r="D250" s="56">
        <v>2000</v>
      </c>
      <c r="E250" s="55">
        <f>2090.9</f>
        <v>2090.9</v>
      </c>
      <c r="F250" s="55" t="s">
        <v>8</v>
      </c>
      <c r="G250" s="57" t="s">
        <v>146</v>
      </c>
      <c r="H250" s="55" t="s">
        <v>32</v>
      </c>
      <c r="I250" s="58">
        <v>43445</v>
      </c>
      <c r="J250" s="55" t="s">
        <v>30</v>
      </c>
      <c r="K250" s="55"/>
      <c r="L250" s="55">
        <v>5</v>
      </c>
      <c r="M250" s="55">
        <f t="shared" si="9"/>
        <v>1050</v>
      </c>
      <c r="N250" s="59">
        <f t="shared" si="10"/>
        <v>-0.50924369747899212</v>
      </c>
    </row>
    <row r="251" spans="1:14" s="96" customFormat="1" ht="15" hidden="1" customHeight="1" x14ac:dyDescent="0.2">
      <c r="A251" s="90" t="s">
        <v>52</v>
      </c>
      <c r="B251" s="91" t="s">
        <v>40</v>
      </c>
      <c r="C251" s="91">
        <v>215</v>
      </c>
      <c r="D251" s="92">
        <v>1500</v>
      </c>
      <c r="E251" s="90">
        <f>1497.6</f>
        <v>1497.6</v>
      </c>
      <c r="F251" s="90" t="s">
        <v>8</v>
      </c>
      <c r="G251" s="93">
        <v>1</v>
      </c>
      <c r="H251" s="90" t="s">
        <v>32</v>
      </c>
      <c r="I251" s="94">
        <v>43445</v>
      </c>
      <c r="J251" s="90" t="s">
        <v>30</v>
      </c>
      <c r="K251" s="90"/>
      <c r="L251" s="90">
        <v>6</v>
      </c>
      <c r="M251" s="90">
        <f t="shared" si="9"/>
        <v>1290</v>
      </c>
      <c r="N251" s="95">
        <f t="shared" si="10"/>
        <v>1.0943912448700825E-2</v>
      </c>
    </row>
    <row r="252" spans="1:14" s="60" customFormat="1" ht="15" hidden="1" customHeight="1" x14ac:dyDescent="0.2">
      <c r="A252" s="55" t="s">
        <v>52</v>
      </c>
      <c r="B252" s="54" t="s">
        <v>40</v>
      </c>
      <c r="C252" s="54">
        <v>220</v>
      </c>
      <c r="D252" s="56">
        <v>1000</v>
      </c>
      <c r="E252" s="55">
        <f>986.5</f>
        <v>986.5</v>
      </c>
      <c r="F252" s="55" t="s">
        <v>8</v>
      </c>
      <c r="G252" s="57" t="s">
        <v>146</v>
      </c>
      <c r="H252" s="55" t="s">
        <v>32</v>
      </c>
      <c r="I252" s="58">
        <v>43445</v>
      </c>
      <c r="J252" s="55" t="s">
        <v>30</v>
      </c>
      <c r="K252" s="55"/>
      <c r="L252" s="55">
        <v>5</v>
      </c>
      <c r="M252" s="55">
        <f t="shared" ref="M252:M315" si="11">L252*C252</f>
        <v>1100</v>
      </c>
      <c r="N252" s="59">
        <f t="shared" ref="N252:N315" si="12">(D252-E252)/(M252*0.17)</f>
        <v>7.2192513368983954E-2</v>
      </c>
    </row>
    <row r="253" spans="1:14" s="96" customFormat="1" ht="15" hidden="1" customHeight="1" x14ac:dyDescent="0.2">
      <c r="A253" s="90" t="s">
        <v>52</v>
      </c>
      <c r="B253" s="91" t="s">
        <v>40</v>
      </c>
      <c r="C253" s="91">
        <v>230</v>
      </c>
      <c r="D253" s="92">
        <v>500</v>
      </c>
      <c r="E253" s="90">
        <f>501</f>
        <v>501</v>
      </c>
      <c r="F253" s="90" t="s">
        <v>8</v>
      </c>
      <c r="G253" s="93" t="s">
        <v>146</v>
      </c>
      <c r="H253" s="90" t="s">
        <v>32</v>
      </c>
      <c r="I253" s="94">
        <v>43445</v>
      </c>
      <c r="J253" s="90" t="s">
        <v>30</v>
      </c>
      <c r="K253" s="90"/>
      <c r="L253" s="90">
        <v>5</v>
      </c>
      <c r="M253" s="90">
        <f t="shared" si="11"/>
        <v>1150</v>
      </c>
      <c r="N253" s="95">
        <f t="shared" si="12"/>
        <v>-5.1150895140664966E-3</v>
      </c>
    </row>
    <row r="254" spans="1:14" s="96" customFormat="1" ht="15" hidden="1" customHeight="1" x14ac:dyDescent="0.2">
      <c r="A254" s="90" t="s">
        <v>52</v>
      </c>
      <c r="B254" s="91" t="s">
        <v>40</v>
      </c>
      <c r="C254" s="91">
        <v>925</v>
      </c>
      <c r="D254" s="92">
        <v>4000</v>
      </c>
      <c r="E254" s="90">
        <f>2566.6+1791.2</f>
        <v>4357.8</v>
      </c>
      <c r="F254" s="90" t="s">
        <v>8</v>
      </c>
      <c r="G254" s="93">
        <v>1</v>
      </c>
      <c r="H254" s="90">
        <v>580</v>
      </c>
      <c r="I254" s="94">
        <v>43445</v>
      </c>
      <c r="J254" s="90" t="s">
        <v>30</v>
      </c>
      <c r="K254" s="90"/>
      <c r="L254" s="90">
        <v>1</v>
      </c>
      <c r="M254" s="90">
        <f t="shared" si="11"/>
        <v>925</v>
      </c>
      <c r="N254" s="95">
        <f>(D254-E254)/(M254*0.17)</f>
        <v>-2.2753577106518295</v>
      </c>
    </row>
    <row r="255" spans="1:14" s="71" customFormat="1" ht="15" hidden="1" customHeight="1" x14ac:dyDescent="0.2">
      <c r="A255" s="65" t="s">
        <v>124</v>
      </c>
      <c r="B255" s="66" t="s">
        <v>39</v>
      </c>
      <c r="C255" s="66">
        <v>145</v>
      </c>
      <c r="D255" s="67">
        <v>10000</v>
      </c>
      <c r="E255" s="65">
        <f>518.3+2270.1+3575.6+3129.4+726.6</f>
        <v>10220</v>
      </c>
      <c r="F255" s="65" t="s">
        <v>8</v>
      </c>
      <c r="G255" s="68" t="s">
        <v>146</v>
      </c>
      <c r="H255" s="65" t="s">
        <v>99</v>
      </c>
      <c r="I255" s="65" t="s">
        <v>125</v>
      </c>
      <c r="J255" s="65" t="s">
        <v>13</v>
      </c>
      <c r="K255" s="65"/>
      <c r="L255" s="65">
        <v>7</v>
      </c>
      <c r="M255" s="65">
        <f t="shared" si="11"/>
        <v>1015</v>
      </c>
      <c r="N255" s="70">
        <f t="shared" si="12"/>
        <v>-1.2749927557229788</v>
      </c>
    </row>
    <row r="256" spans="1:14" s="96" customFormat="1" ht="15" hidden="1" customHeight="1" x14ac:dyDescent="0.2">
      <c r="A256" s="90" t="s">
        <v>126</v>
      </c>
      <c r="B256" s="91" t="s">
        <v>40</v>
      </c>
      <c r="C256" s="91">
        <v>1000</v>
      </c>
      <c r="D256" s="92">
        <v>1000</v>
      </c>
      <c r="E256" s="90">
        <f>894.7+228.8</f>
        <v>1123.5</v>
      </c>
      <c r="F256" s="90" t="s">
        <v>8</v>
      </c>
      <c r="G256" s="93" t="s">
        <v>146</v>
      </c>
      <c r="H256" s="90"/>
      <c r="I256" s="94">
        <v>43445</v>
      </c>
      <c r="J256" s="90" t="s">
        <v>13</v>
      </c>
      <c r="K256" s="90"/>
      <c r="L256" s="90">
        <v>1</v>
      </c>
      <c r="M256" s="90">
        <f t="shared" si="11"/>
        <v>1000</v>
      </c>
      <c r="N256" s="95">
        <f t="shared" si="12"/>
        <v>-0.72647058823529409</v>
      </c>
    </row>
    <row r="257" spans="1:14" s="96" customFormat="1" ht="15" hidden="1" customHeight="1" x14ac:dyDescent="0.2">
      <c r="A257" s="90" t="s">
        <v>126</v>
      </c>
      <c r="B257" s="91" t="s">
        <v>40</v>
      </c>
      <c r="C257" s="91">
        <v>1180</v>
      </c>
      <c r="D257" s="92">
        <v>1000</v>
      </c>
      <c r="E257" s="90">
        <f>1037</f>
        <v>1037</v>
      </c>
      <c r="F257" s="90" t="s">
        <v>8</v>
      </c>
      <c r="G257" s="93" t="s">
        <v>146</v>
      </c>
      <c r="H257" s="90"/>
      <c r="I257" s="94">
        <v>43445</v>
      </c>
      <c r="J257" s="90" t="s">
        <v>13</v>
      </c>
      <c r="K257" s="90"/>
      <c r="L257" s="90">
        <v>1</v>
      </c>
      <c r="M257" s="90">
        <f t="shared" si="11"/>
        <v>1180</v>
      </c>
      <c r="N257" s="95">
        <f t="shared" si="12"/>
        <v>-0.18444666001994015</v>
      </c>
    </row>
    <row r="258" spans="1:14" s="96" customFormat="1" ht="15" hidden="1" customHeight="1" x14ac:dyDescent="0.2">
      <c r="A258" s="90" t="s">
        <v>126</v>
      </c>
      <c r="B258" s="91" t="s">
        <v>40</v>
      </c>
      <c r="C258" s="91">
        <v>1200</v>
      </c>
      <c r="D258" s="92">
        <v>1000</v>
      </c>
      <c r="E258" s="90">
        <f>1066.2</f>
        <v>1066.2</v>
      </c>
      <c r="F258" s="90" t="s">
        <v>8</v>
      </c>
      <c r="G258" s="93"/>
      <c r="H258" s="90"/>
      <c r="I258" s="94">
        <v>43445</v>
      </c>
      <c r="J258" s="90" t="s">
        <v>13</v>
      </c>
      <c r="K258" s="90"/>
      <c r="L258" s="90">
        <v>1</v>
      </c>
      <c r="M258" s="90">
        <f t="shared" si="11"/>
        <v>1200</v>
      </c>
      <c r="N258" s="95">
        <f t="shared" si="12"/>
        <v>-0.32450980392156881</v>
      </c>
    </row>
    <row r="259" spans="1:14" s="104" customFormat="1" ht="15" hidden="1" customHeight="1" x14ac:dyDescent="0.2">
      <c r="A259" s="98" t="s">
        <v>126</v>
      </c>
      <c r="B259" s="99" t="s">
        <v>39</v>
      </c>
      <c r="C259" s="99">
        <v>1000</v>
      </c>
      <c r="D259" s="100">
        <v>1000</v>
      </c>
      <c r="E259" s="98">
        <f>227.5+229.2+567.2</f>
        <v>1023.9000000000001</v>
      </c>
      <c r="F259" s="98" t="s">
        <v>8</v>
      </c>
      <c r="G259" s="101" t="s">
        <v>146</v>
      </c>
      <c r="H259" s="98"/>
      <c r="I259" s="102">
        <v>43445</v>
      </c>
      <c r="J259" s="98" t="s">
        <v>13</v>
      </c>
      <c r="K259" s="98"/>
      <c r="L259" s="98">
        <v>1</v>
      </c>
      <c r="M259" s="98">
        <f t="shared" si="11"/>
        <v>1000</v>
      </c>
      <c r="N259" s="103">
        <f t="shared" si="12"/>
        <v>-0.14058823529411818</v>
      </c>
    </row>
    <row r="260" spans="1:14" s="104" customFormat="1" ht="15" hidden="1" customHeight="1" x14ac:dyDescent="0.2">
      <c r="A260" s="98" t="s">
        <v>126</v>
      </c>
      <c r="B260" s="99" t="s">
        <v>39</v>
      </c>
      <c r="C260" s="99">
        <v>1050</v>
      </c>
      <c r="D260" s="100">
        <v>500</v>
      </c>
      <c r="E260" s="98">
        <f>581.6</f>
        <v>581.6</v>
      </c>
      <c r="F260" s="98" t="s">
        <v>8</v>
      </c>
      <c r="G260" s="101" t="s">
        <v>146</v>
      </c>
      <c r="H260" s="98"/>
      <c r="I260" s="102">
        <v>43445</v>
      </c>
      <c r="J260" s="98" t="s">
        <v>13</v>
      </c>
      <c r="K260" s="98"/>
      <c r="L260" s="98">
        <v>1</v>
      </c>
      <c r="M260" s="98">
        <f t="shared" si="11"/>
        <v>1050</v>
      </c>
      <c r="N260" s="103">
        <f t="shared" si="12"/>
        <v>-0.4571428571428573</v>
      </c>
    </row>
    <row r="261" spans="1:14" s="104" customFormat="1" ht="15" hidden="1" customHeight="1" x14ac:dyDescent="0.2">
      <c r="A261" s="98" t="s">
        <v>295</v>
      </c>
      <c r="B261" s="99" t="s">
        <v>39</v>
      </c>
      <c r="C261" s="99">
        <v>1140</v>
      </c>
      <c r="D261" s="100">
        <v>2500</v>
      </c>
      <c r="E261" s="98">
        <f>1715.6+805.7</f>
        <v>2521.3000000000002</v>
      </c>
      <c r="F261" s="98" t="s">
        <v>8</v>
      </c>
      <c r="G261" s="101" t="s">
        <v>146</v>
      </c>
      <c r="H261" s="98"/>
      <c r="I261" s="102">
        <v>43445</v>
      </c>
      <c r="J261" s="98" t="s">
        <v>13</v>
      </c>
      <c r="K261" s="98"/>
      <c r="L261" s="98">
        <v>1</v>
      </c>
      <c r="M261" s="98">
        <f t="shared" si="11"/>
        <v>1140</v>
      </c>
      <c r="N261" s="103">
        <f t="shared" si="12"/>
        <v>-0.10990712074303499</v>
      </c>
    </row>
    <row r="262" spans="1:14" s="4" customFormat="1" ht="15" hidden="1" customHeight="1" x14ac:dyDescent="0.2">
      <c r="A262" s="3" t="s">
        <v>126</v>
      </c>
      <c r="B262" s="5" t="s">
        <v>39</v>
      </c>
      <c r="C262" s="47">
        <v>1150</v>
      </c>
      <c r="D262" s="6">
        <v>1000</v>
      </c>
      <c r="E262" s="3">
        <f>846.2</f>
        <v>846.2</v>
      </c>
      <c r="F262" s="3" t="s">
        <v>8</v>
      </c>
      <c r="G262" s="42">
        <v>4</v>
      </c>
      <c r="H262" s="3"/>
      <c r="I262" s="9">
        <v>43445</v>
      </c>
      <c r="J262" s="3" t="s">
        <v>13</v>
      </c>
      <c r="K262" s="3"/>
      <c r="L262" s="3">
        <v>1</v>
      </c>
      <c r="M262" s="18">
        <f t="shared" si="11"/>
        <v>1150</v>
      </c>
      <c r="N262" s="32">
        <f t="shared" si="12"/>
        <v>0.78670076726342686</v>
      </c>
    </row>
    <row r="263" spans="1:14" s="104" customFormat="1" ht="15" hidden="1" customHeight="1" x14ac:dyDescent="0.2">
      <c r="A263" s="98" t="s">
        <v>296</v>
      </c>
      <c r="B263" s="99" t="s">
        <v>39</v>
      </c>
      <c r="C263" s="99">
        <v>1200</v>
      </c>
      <c r="D263" s="100">
        <v>1000</v>
      </c>
      <c r="E263" s="98">
        <f>272.3+813.6</f>
        <v>1085.9000000000001</v>
      </c>
      <c r="F263" s="98" t="s">
        <v>8</v>
      </c>
      <c r="G263" s="101" t="s">
        <v>146</v>
      </c>
      <c r="H263" s="98"/>
      <c r="I263" s="102">
        <v>43445</v>
      </c>
      <c r="J263" s="98" t="s">
        <v>13</v>
      </c>
      <c r="K263" s="98"/>
      <c r="L263" s="98">
        <v>1</v>
      </c>
      <c r="M263" s="98">
        <f t="shared" si="11"/>
        <v>1200</v>
      </c>
      <c r="N263" s="103">
        <f t="shared" si="12"/>
        <v>-0.42107843137254941</v>
      </c>
    </row>
    <row r="264" spans="1:14" s="104" customFormat="1" ht="15" hidden="1" customHeight="1" x14ac:dyDescent="0.2">
      <c r="A264" s="98" t="s">
        <v>126</v>
      </c>
      <c r="B264" s="99" t="s">
        <v>39</v>
      </c>
      <c r="C264" s="99">
        <v>900</v>
      </c>
      <c r="D264" s="100">
        <v>2000</v>
      </c>
      <c r="E264" s="98">
        <f>563.6+1463.7</f>
        <v>2027.3000000000002</v>
      </c>
      <c r="F264" s="98" t="s">
        <v>8</v>
      </c>
      <c r="G264" s="101" t="s">
        <v>146</v>
      </c>
      <c r="H264" s="98"/>
      <c r="I264" s="102">
        <v>43445</v>
      </c>
      <c r="J264" s="98" t="s">
        <v>13</v>
      </c>
      <c r="K264" s="98"/>
      <c r="L264" s="98">
        <v>1</v>
      </c>
      <c r="M264" s="98">
        <f t="shared" si="11"/>
        <v>900</v>
      </c>
      <c r="N264" s="103">
        <f t="shared" si="12"/>
        <v>-0.17843137254902081</v>
      </c>
    </row>
    <row r="265" spans="1:14" s="4" customFormat="1" ht="15" hidden="1" customHeight="1" x14ac:dyDescent="0.2">
      <c r="A265" s="3" t="s">
        <v>126</v>
      </c>
      <c r="B265" s="5" t="s">
        <v>39</v>
      </c>
      <c r="C265" s="47">
        <v>960</v>
      </c>
      <c r="D265" s="6">
        <v>600</v>
      </c>
      <c r="E265" s="3">
        <f>534.1</f>
        <v>534.1</v>
      </c>
      <c r="F265" s="3" t="s">
        <v>8</v>
      </c>
      <c r="G265" s="42">
        <v>4</v>
      </c>
      <c r="H265" s="3"/>
      <c r="I265" s="9">
        <v>43445</v>
      </c>
      <c r="J265" s="3" t="s">
        <v>13</v>
      </c>
      <c r="K265" s="3"/>
      <c r="L265" s="3">
        <v>1</v>
      </c>
      <c r="M265" s="18">
        <f t="shared" si="11"/>
        <v>960</v>
      </c>
      <c r="N265" s="32">
        <f t="shared" si="12"/>
        <v>0.40379901960784298</v>
      </c>
    </row>
    <row r="266" spans="1:14" s="104" customFormat="1" ht="15" hidden="1" customHeight="1" x14ac:dyDescent="0.2">
      <c r="A266" s="98" t="s">
        <v>301</v>
      </c>
      <c r="B266" s="99" t="s">
        <v>39</v>
      </c>
      <c r="C266" s="47">
        <v>980</v>
      </c>
      <c r="D266" s="100">
        <v>1000</v>
      </c>
      <c r="E266" s="98">
        <f>1059.3</f>
        <v>1059.3</v>
      </c>
      <c r="F266" s="98" t="s">
        <v>8</v>
      </c>
      <c r="G266" s="101" t="s">
        <v>146</v>
      </c>
      <c r="H266" s="98"/>
      <c r="I266" s="102">
        <v>43445</v>
      </c>
      <c r="J266" s="98" t="s">
        <v>13</v>
      </c>
      <c r="K266" s="98"/>
      <c r="L266" s="98">
        <v>1</v>
      </c>
      <c r="M266" s="98">
        <f t="shared" si="11"/>
        <v>980</v>
      </c>
      <c r="N266" s="103">
        <f t="shared" si="12"/>
        <v>-0.35594237695078002</v>
      </c>
    </row>
    <row r="267" spans="1:14" s="52" customFormat="1" ht="15" hidden="1" customHeight="1" x14ac:dyDescent="0.2">
      <c r="A267" s="46" t="s">
        <v>126</v>
      </c>
      <c r="B267" s="47" t="s">
        <v>37</v>
      </c>
      <c r="C267" s="47">
        <v>1000</v>
      </c>
      <c r="D267" s="48">
        <v>1000</v>
      </c>
      <c r="E267" s="46">
        <f>1008.4</f>
        <v>1008.4</v>
      </c>
      <c r="F267" s="46" t="s">
        <v>8</v>
      </c>
      <c r="G267" s="49" t="s">
        <v>146</v>
      </c>
      <c r="H267" s="46"/>
      <c r="I267" s="50">
        <v>43445</v>
      </c>
      <c r="J267" s="46" t="s">
        <v>13</v>
      </c>
      <c r="K267" s="46"/>
      <c r="L267" s="46">
        <v>1</v>
      </c>
      <c r="M267" s="46">
        <f t="shared" si="11"/>
        <v>1000</v>
      </c>
      <c r="N267" s="51">
        <f t="shared" si="12"/>
        <v>-4.9411764705882218E-2</v>
      </c>
    </row>
    <row r="268" spans="1:14" s="52" customFormat="1" ht="15" hidden="1" customHeight="1" x14ac:dyDescent="0.2">
      <c r="A268" s="46" t="s">
        <v>126</v>
      </c>
      <c r="B268" s="47" t="s">
        <v>37</v>
      </c>
      <c r="C268" s="47">
        <v>1080</v>
      </c>
      <c r="D268" s="48">
        <v>600</v>
      </c>
      <c r="E268" s="46">
        <f>611.4</f>
        <v>611.4</v>
      </c>
      <c r="F268" s="46" t="s">
        <v>8</v>
      </c>
      <c r="G268" s="49" t="s">
        <v>146</v>
      </c>
      <c r="H268" s="46"/>
      <c r="I268" s="50">
        <v>43445</v>
      </c>
      <c r="J268" s="46" t="s">
        <v>13</v>
      </c>
      <c r="K268" s="46"/>
      <c r="L268" s="46">
        <v>1</v>
      </c>
      <c r="M268" s="46">
        <f t="shared" si="11"/>
        <v>1080</v>
      </c>
      <c r="N268" s="51">
        <f t="shared" si="12"/>
        <v>-6.2091503267973726E-2</v>
      </c>
    </row>
    <row r="269" spans="1:14" s="52" customFormat="1" ht="15" hidden="1" customHeight="1" x14ac:dyDescent="0.2">
      <c r="A269" s="46" t="s">
        <v>126</v>
      </c>
      <c r="B269" s="47" t="s">
        <v>37</v>
      </c>
      <c r="C269" s="47">
        <v>1000</v>
      </c>
      <c r="D269" s="48">
        <v>1000</v>
      </c>
      <c r="E269" s="46">
        <f>1002.8</f>
        <v>1002.8</v>
      </c>
      <c r="F269" s="46" t="s">
        <v>8</v>
      </c>
      <c r="G269" s="49" t="s">
        <v>146</v>
      </c>
      <c r="H269" s="46"/>
      <c r="I269" s="50">
        <v>43445</v>
      </c>
      <c r="J269" s="46" t="s">
        <v>13</v>
      </c>
      <c r="K269" s="46"/>
      <c r="L269" s="46">
        <v>1</v>
      </c>
      <c r="M269" s="46">
        <f t="shared" si="11"/>
        <v>1000</v>
      </c>
      <c r="N269" s="51">
        <f t="shared" si="12"/>
        <v>-1.6470588235293852E-2</v>
      </c>
    </row>
    <row r="270" spans="1:14" s="52" customFormat="1" ht="15" hidden="1" customHeight="1" x14ac:dyDescent="0.2">
      <c r="A270" s="46" t="s">
        <v>126</v>
      </c>
      <c r="B270" s="47" t="s">
        <v>37</v>
      </c>
      <c r="C270" s="47">
        <v>1200</v>
      </c>
      <c r="D270" s="48">
        <v>1500</v>
      </c>
      <c r="E270" s="46">
        <f>1538.5</f>
        <v>1538.5</v>
      </c>
      <c r="F270" s="46" t="s">
        <v>8</v>
      </c>
      <c r="G270" s="49" t="s">
        <v>146</v>
      </c>
      <c r="H270" s="46"/>
      <c r="I270" s="50">
        <v>43445</v>
      </c>
      <c r="J270" s="46" t="s">
        <v>13</v>
      </c>
      <c r="K270" s="46"/>
      <c r="L270" s="46">
        <v>1</v>
      </c>
      <c r="M270" s="46">
        <f t="shared" si="11"/>
        <v>1200</v>
      </c>
      <c r="N270" s="51">
        <f t="shared" si="12"/>
        <v>-0.1887254901960784</v>
      </c>
    </row>
    <row r="271" spans="1:14" s="104" customFormat="1" ht="15" hidden="1" customHeight="1" x14ac:dyDescent="0.2">
      <c r="A271" s="98" t="s">
        <v>126</v>
      </c>
      <c r="B271" s="99" t="s">
        <v>38</v>
      </c>
      <c r="C271" s="99">
        <v>1050</v>
      </c>
      <c r="D271" s="100">
        <v>600</v>
      </c>
      <c r="E271" s="98">
        <f>618.2</f>
        <v>618.20000000000005</v>
      </c>
      <c r="F271" s="98" t="s">
        <v>8</v>
      </c>
      <c r="G271" s="101"/>
      <c r="H271" s="98"/>
      <c r="I271" s="102">
        <v>43445</v>
      </c>
      <c r="J271" s="98" t="s">
        <v>13</v>
      </c>
      <c r="K271" s="98"/>
      <c r="L271" s="98">
        <v>1</v>
      </c>
      <c r="M271" s="98">
        <f t="shared" si="11"/>
        <v>1050</v>
      </c>
      <c r="N271" s="103">
        <f t="shared" si="12"/>
        <v>-0.10196078431372574</v>
      </c>
    </row>
    <row r="272" spans="1:14" s="104" customFormat="1" ht="15" hidden="1" customHeight="1" x14ac:dyDescent="0.2">
      <c r="A272" s="98" t="s">
        <v>126</v>
      </c>
      <c r="B272" s="99" t="s">
        <v>38</v>
      </c>
      <c r="C272" s="99">
        <v>1150</v>
      </c>
      <c r="D272" s="100">
        <v>800</v>
      </c>
      <c r="E272" s="98">
        <f>839</f>
        <v>839</v>
      </c>
      <c r="F272" s="98" t="s">
        <v>8</v>
      </c>
      <c r="G272" s="101"/>
      <c r="H272" s="98"/>
      <c r="I272" s="102">
        <v>43445</v>
      </c>
      <c r="J272" s="98" t="s">
        <v>13</v>
      </c>
      <c r="K272" s="98"/>
      <c r="L272" s="98">
        <v>1</v>
      </c>
      <c r="M272" s="98">
        <f t="shared" si="11"/>
        <v>1150</v>
      </c>
      <c r="N272" s="103">
        <f t="shared" si="12"/>
        <v>-0.19948849104859334</v>
      </c>
    </row>
    <row r="273" spans="1:14" s="104" customFormat="1" ht="15" hidden="1" customHeight="1" x14ac:dyDescent="0.2">
      <c r="A273" s="98" t="s">
        <v>126</v>
      </c>
      <c r="B273" s="99" t="s">
        <v>38</v>
      </c>
      <c r="C273" s="99">
        <v>1200</v>
      </c>
      <c r="D273" s="100">
        <v>800</v>
      </c>
      <c r="E273" s="98">
        <f>872.2</f>
        <v>872.2</v>
      </c>
      <c r="F273" s="98" t="s">
        <v>8</v>
      </c>
      <c r="G273" s="101"/>
      <c r="H273" s="98"/>
      <c r="I273" s="102">
        <v>43445</v>
      </c>
      <c r="J273" s="98" t="s">
        <v>13</v>
      </c>
      <c r="K273" s="98"/>
      <c r="L273" s="98">
        <v>1</v>
      </c>
      <c r="M273" s="98">
        <f t="shared" si="11"/>
        <v>1200</v>
      </c>
      <c r="N273" s="103">
        <f t="shared" si="12"/>
        <v>-0.35392156862745117</v>
      </c>
    </row>
    <row r="274" spans="1:14" s="104" customFormat="1" ht="15" hidden="1" customHeight="1" x14ac:dyDescent="0.2">
      <c r="A274" s="98" t="s">
        <v>126</v>
      </c>
      <c r="B274" s="99" t="s">
        <v>36</v>
      </c>
      <c r="C274" s="99">
        <v>1185</v>
      </c>
      <c r="D274" s="100">
        <v>1000</v>
      </c>
      <c r="E274" s="98">
        <f>1091.1</f>
        <v>1091.0999999999999</v>
      </c>
      <c r="F274" s="98" t="s">
        <v>8</v>
      </c>
      <c r="G274" s="101" t="s">
        <v>146</v>
      </c>
      <c r="H274" s="98"/>
      <c r="I274" s="102">
        <v>43445</v>
      </c>
      <c r="J274" s="98" t="s">
        <v>13</v>
      </c>
      <c r="K274" s="98"/>
      <c r="L274" s="98">
        <v>1</v>
      </c>
      <c r="M274" s="98">
        <f t="shared" si="11"/>
        <v>1185</v>
      </c>
      <c r="N274" s="103">
        <f t="shared" si="12"/>
        <v>-0.45222139488706825</v>
      </c>
    </row>
    <row r="275" spans="1:14" s="104" customFormat="1" ht="15" hidden="1" customHeight="1" x14ac:dyDescent="0.2">
      <c r="A275" s="98" t="s">
        <v>127</v>
      </c>
      <c r="B275" s="99" t="s">
        <v>39</v>
      </c>
      <c r="C275" s="99">
        <v>640</v>
      </c>
      <c r="D275" s="100">
        <v>300</v>
      </c>
      <c r="E275" s="98">
        <f>330.9</f>
        <v>330.9</v>
      </c>
      <c r="F275" s="98" t="s">
        <v>8</v>
      </c>
      <c r="G275" s="101" t="s">
        <v>146</v>
      </c>
      <c r="H275" s="98"/>
      <c r="I275" s="102">
        <v>43445</v>
      </c>
      <c r="J275" s="98" t="s">
        <v>13</v>
      </c>
      <c r="K275" s="98"/>
      <c r="L275" s="98">
        <v>1</v>
      </c>
      <c r="M275" s="98">
        <f t="shared" si="11"/>
        <v>640</v>
      </c>
      <c r="N275" s="103">
        <f t="shared" si="12"/>
        <v>-0.28400735294117624</v>
      </c>
    </row>
    <row r="276" spans="1:14" s="4" customFormat="1" ht="15" hidden="1" customHeight="1" x14ac:dyDescent="0.2">
      <c r="A276" s="3" t="s">
        <v>127</v>
      </c>
      <c r="B276" s="5" t="s">
        <v>39</v>
      </c>
      <c r="C276" s="5">
        <v>680</v>
      </c>
      <c r="D276" s="6">
        <v>2000</v>
      </c>
      <c r="E276" s="64">
        <f>1065.9+1171.6</f>
        <v>2237.5</v>
      </c>
      <c r="F276" s="3" t="s">
        <v>8</v>
      </c>
      <c r="G276" s="42" t="s">
        <v>146</v>
      </c>
      <c r="H276" s="3"/>
      <c r="I276" s="9">
        <v>43445</v>
      </c>
      <c r="J276" s="3" t="s">
        <v>13</v>
      </c>
      <c r="K276" s="3"/>
      <c r="L276" s="3">
        <v>1</v>
      </c>
      <c r="M276" s="18">
        <f t="shared" si="11"/>
        <v>680</v>
      </c>
      <c r="N276" s="32">
        <f t="shared" si="12"/>
        <v>-2.0544982698961936</v>
      </c>
    </row>
    <row r="277" spans="1:14" s="104" customFormat="1" ht="15" hidden="1" customHeight="1" x14ac:dyDescent="0.2">
      <c r="A277" s="98" t="s">
        <v>127</v>
      </c>
      <c r="B277" s="99" t="s">
        <v>39</v>
      </c>
      <c r="C277" s="99">
        <v>700</v>
      </c>
      <c r="D277" s="100">
        <v>3000</v>
      </c>
      <c r="E277" s="98">
        <f>905.8+625.8+304.2+1202.1</f>
        <v>3037.8999999999996</v>
      </c>
      <c r="F277" s="98" t="s">
        <v>8</v>
      </c>
      <c r="G277" s="101" t="s">
        <v>146</v>
      </c>
      <c r="H277" s="98"/>
      <c r="I277" s="102">
        <v>43445</v>
      </c>
      <c r="J277" s="98" t="s">
        <v>13</v>
      </c>
      <c r="K277" s="98"/>
      <c r="L277" s="98">
        <v>1</v>
      </c>
      <c r="M277" s="98">
        <f t="shared" si="11"/>
        <v>700</v>
      </c>
      <c r="N277" s="103">
        <f t="shared" si="12"/>
        <v>-0.31848739495798012</v>
      </c>
    </row>
    <row r="278" spans="1:14" s="71" customFormat="1" ht="15" hidden="1" customHeight="1" x14ac:dyDescent="0.2">
      <c r="A278" s="65" t="s">
        <v>127</v>
      </c>
      <c r="B278" s="66" t="s">
        <v>39</v>
      </c>
      <c r="C278" s="66">
        <v>720</v>
      </c>
      <c r="D278" s="67">
        <v>1000</v>
      </c>
      <c r="E278" s="65">
        <f>982.8</f>
        <v>982.8</v>
      </c>
      <c r="F278" s="65" t="s">
        <v>8</v>
      </c>
      <c r="G278" s="68" t="s">
        <v>146</v>
      </c>
      <c r="H278" s="65"/>
      <c r="I278" s="69">
        <v>43445</v>
      </c>
      <c r="J278" s="65" t="s">
        <v>13</v>
      </c>
      <c r="K278" s="65"/>
      <c r="L278" s="65">
        <v>1</v>
      </c>
      <c r="M278" s="65">
        <f t="shared" si="11"/>
        <v>720</v>
      </c>
      <c r="N278" s="70">
        <f t="shared" si="12"/>
        <v>0.14052287581699383</v>
      </c>
    </row>
    <row r="279" spans="1:14" s="104" customFormat="1" ht="15" hidden="1" customHeight="1" x14ac:dyDescent="0.2">
      <c r="A279" s="98" t="s">
        <v>127</v>
      </c>
      <c r="B279" s="99" t="s">
        <v>39</v>
      </c>
      <c r="C279" s="47">
        <v>760</v>
      </c>
      <c r="D279" s="100">
        <v>3000</v>
      </c>
      <c r="E279" s="98">
        <f>2877.6</f>
        <v>2877.6</v>
      </c>
      <c r="F279" s="98" t="s">
        <v>8</v>
      </c>
      <c r="G279" s="101" t="s">
        <v>146</v>
      </c>
      <c r="H279" s="98"/>
      <c r="I279" s="102">
        <v>43445</v>
      </c>
      <c r="J279" s="98" t="s">
        <v>13</v>
      </c>
      <c r="K279" s="98"/>
      <c r="L279" s="98">
        <v>1</v>
      </c>
      <c r="M279" s="98">
        <f t="shared" si="11"/>
        <v>760</v>
      </c>
      <c r="N279" s="103">
        <f t="shared" si="12"/>
        <v>0.94736842105263219</v>
      </c>
    </row>
    <row r="280" spans="1:14" s="104" customFormat="1" ht="15" hidden="1" customHeight="1" x14ac:dyDescent="0.2">
      <c r="A280" s="98" t="s">
        <v>127</v>
      </c>
      <c r="B280" s="99" t="s">
        <v>39</v>
      </c>
      <c r="C280" s="99">
        <v>780</v>
      </c>
      <c r="D280" s="100">
        <v>500</v>
      </c>
      <c r="E280" s="98">
        <f>534.1</f>
        <v>534.1</v>
      </c>
      <c r="F280" s="98" t="s">
        <v>8</v>
      </c>
      <c r="G280" s="101" t="s">
        <v>146</v>
      </c>
      <c r="H280" s="98"/>
      <c r="I280" s="102">
        <v>43445</v>
      </c>
      <c r="J280" s="98" t="s">
        <v>13</v>
      </c>
      <c r="K280" s="98"/>
      <c r="L280" s="98">
        <v>1</v>
      </c>
      <c r="M280" s="98">
        <f t="shared" si="11"/>
        <v>780</v>
      </c>
      <c r="N280" s="103">
        <f t="shared" si="12"/>
        <v>-0.25716440422322789</v>
      </c>
    </row>
    <row r="281" spans="1:14" s="60" customFormat="1" ht="15" hidden="1" customHeight="1" x14ac:dyDescent="0.2">
      <c r="A281" s="55" t="s">
        <v>127</v>
      </c>
      <c r="B281" s="54" t="s">
        <v>39</v>
      </c>
      <c r="C281" s="54">
        <v>800</v>
      </c>
      <c r="D281" s="56">
        <v>600</v>
      </c>
      <c r="E281" s="55">
        <f>479.5+159.3</f>
        <v>638.79999999999995</v>
      </c>
      <c r="F281" s="55" t="s">
        <v>8</v>
      </c>
      <c r="G281" s="57">
        <v>3</v>
      </c>
      <c r="H281" s="55"/>
      <c r="I281" s="58">
        <v>43445</v>
      </c>
      <c r="J281" s="55" t="s">
        <v>13</v>
      </c>
      <c r="K281" s="55"/>
      <c r="L281" s="55">
        <v>1</v>
      </c>
      <c r="M281" s="55">
        <f t="shared" si="11"/>
        <v>800</v>
      </c>
      <c r="N281" s="59">
        <f t="shared" si="12"/>
        <v>-0.28529411764705848</v>
      </c>
    </row>
    <row r="282" spans="1:14" s="104" customFormat="1" ht="15" hidden="1" customHeight="1" x14ac:dyDescent="0.2">
      <c r="A282" s="98" t="s">
        <v>127</v>
      </c>
      <c r="B282" s="99" t="s">
        <v>39</v>
      </c>
      <c r="C282" s="47">
        <v>840</v>
      </c>
      <c r="D282" s="100">
        <v>2600</v>
      </c>
      <c r="E282" s="98">
        <f>2292.2+411.8</f>
        <v>2704</v>
      </c>
      <c r="F282" s="98" t="s">
        <v>8</v>
      </c>
      <c r="G282" s="101" t="s">
        <v>146</v>
      </c>
      <c r="H282" s="98"/>
      <c r="I282" s="102">
        <v>43445</v>
      </c>
      <c r="J282" s="98" t="s">
        <v>13</v>
      </c>
      <c r="K282" s="98"/>
      <c r="L282" s="98">
        <v>1</v>
      </c>
      <c r="M282" s="98">
        <f t="shared" si="11"/>
        <v>840</v>
      </c>
      <c r="N282" s="103">
        <f t="shared" si="12"/>
        <v>-0.72829131652661061</v>
      </c>
    </row>
    <row r="283" spans="1:14" s="104" customFormat="1" ht="15" hidden="1" customHeight="1" x14ac:dyDescent="0.2">
      <c r="A283" s="98" t="s">
        <v>127</v>
      </c>
      <c r="B283" s="99" t="s">
        <v>39</v>
      </c>
      <c r="C283" s="99">
        <v>880</v>
      </c>
      <c r="D283" s="100">
        <v>500</v>
      </c>
      <c r="E283" s="98">
        <f>550</f>
        <v>550</v>
      </c>
      <c r="F283" s="98" t="s">
        <v>8</v>
      </c>
      <c r="G283" s="101" t="s">
        <v>146</v>
      </c>
      <c r="H283" s="98"/>
      <c r="I283" s="102">
        <v>43445</v>
      </c>
      <c r="J283" s="98" t="s">
        <v>13</v>
      </c>
      <c r="K283" s="98"/>
      <c r="L283" s="98">
        <v>1</v>
      </c>
      <c r="M283" s="98">
        <f t="shared" si="11"/>
        <v>880</v>
      </c>
      <c r="N283" s="103">
        <f t="shared" si="12"/>
        <v>-0.33422459893048123</v>
      </c>
    </row>
    <row r="284" spans="1:14" s="4" customFormat="1" ht="15" hidden="1" customHeight="1" x14ac:dyDescent="0.2">
      <c r="A284" s="3" t="s">
        <v>127</v>
      </c>
      <c r="B284" s="5" t="s">
        <v>39</v>
      </c>
      <c r="C284" s="5">
        <v>900</v>
      </c>
      <c r="D284" s="6">
        <v>1000</v>
      </c>
      <c r="E284" s="63">
        <f>217+217.9+442.3+156</f>
        <v>1033.2</v>
      </c>
      <c r="F284" s="3" t="s">
        <v>8</v>
      </c>
      <c r="G284" s="42">
        <v>3</v>
      </c>
      <c r="H284" s="3"/>
      <c r="I284" s="9">
        <v>43445</v>
      </c>
      <c r="J284" s="3" t="s">
        <v>13</v>
      </c>
      <c r="K284" s="3"/>
      <c r="L284" s="3">
        <v>1</v>
      </c>
      <c r="M284" s="18">
        <f t="shared" si="11"/>
        <v>900</v>
      </c>
      <c r="N284" s="32">
        <f t="shared" si="12"/>
        <v>-0.21699346405228787</v>
      </c>
    </row>
    <row r="285" spans="1:14" s="104" customFormat="1" ht="15" hidden="1" customHeight="1" x14ac:dyDescent="0.2">
      <c r="A285" s="98" t="s">
        <v>127</v>
      </c>
      <c r="B285" s="99" t="s">
        <v>39</v>
      </c>
      <c r="C285" s="99">
        <v>960</v>
      </c>
      <c r="D285" s="100">
        <v>300</v>
      </c>
      <c r="E285" s="98">
        <f>327</f>
        <v>327</v>
      </c>
      <c r="F285" s="98" t="s">
        <v>8</v>
      </c>
      <c r="G285" s="101" t="s">
        <v>146</v>
      </c>
      <c r="H285" s="98"/>
      <c r="I285" s="102">
        <v>43445</v>
      </c>
      <c r="J285" s="98" t="s">
        <v>13</v>
      </c>
      <c r="K285" s="98"/>
      <c r="L285" s="98">
        <v>1</v>
      </c>
      <c r="M285" s="98">
        <f t="shared" si="11"/>
        <v>960</v>
      </c>
      <c r="N285" s="103">
        <f t="shared" si="12"/>
        <v>-0.16544117647058823</v>
      </c>
    </row>
    <row r="286" spans="1:14" s="104" customFormat="1" ht="15" hidden="1" customHeight="1" x14ac:dyDescent="0.2">
      <c r="A286" s="98" t="s">
        <v>127</v>
      </c>
      <c r="B286" s="99" t="s">
        <v>39</v>
      </c>
      <c r="C286" s="99">
        <v>1000</v>
      </c>
      <c r="D286" s="100">
        <v>1500</v>
      </c>
      <c r="E286" s="98">
        <f>1508.4</f>
        <v>1508.4</v>
      </c>
      <c r="F286" s="98" t="s">
        <v>8</v>
      </c>
      <c r="G286" s="101" t="s">
        <v>146</v>
      </c>
      <c r="H286" s="98"/>
      <c r="I286" s="102">
        <v>43445</v>
      </c>
      <c r="J286" s="98" t="s">
        <v>13</v>
      </c>
      <c r="K286" s="98"/>
      <c r="L286" s="98">
        <v>1</v>
      </c>
      <c r="M286" s="98">
        <f t="shared" si="11"/>
        <v>1000</v>
      </c>
      <c r="N286" s="103">
        <f t="shared" si="12"/>
        <v>-4.9411764705882891E-2</v>
      </c>
    </row>
    <row r="287" spans="1:14" s="104" customFormat="1" ht="15" hidden="1" customHeight="1" x14ac:dyDescent="0.2">
      <c r="A287" s="98" t="s">
        <v>127</v>
      </c>
      <c r="B287" s="99" t="s">
        <v>39</v>
      </c>
      <c r="C287" s="99">
        <v>1040</v>
      </c>
      <c r="D287" s="100">
        <v>600</v>
      </c>
      <c r="E287" s="98">
        <f>578.9</f>
        <v>578.9</v>
      </c>
      <c r="F287" s="98" t="s">
        <v>8</v>
      </c>
      <c r="G287" s="101" t="s">
        <v>146</v>
      </c>
      <c r="H287" s="98"/>
      <c r="I287" s="102">
        <v>43445</v>
      </c>
      <c r="J287" s="98" t="s">
        <v>13</v>
      </c>
      <c r="K287" s="98"/>
      <c r="L287" s="98">
        <v>1</v>
      </c>
      <c r="M287" s="98">
        <f t="shared" si="11"/>
        <v>1040</v>
      </c>
      <c r="N287" s="103">
        <f t="shared" si="12"/>
        <v>0.11934389140271505</v>
      </c>
    </row>
    <row r="288" spans="1:14" s="104" customFormat="1" ht="15" hidden="1" customHeight="1" x14ac:dyDescent="0.2">
      <c r="A288" s="98" t="s">
        <v>127</v>
      </c>
      <c r="B288" s="99" t="s">
        <v>39</v>
      </c>
      <c r="C288" s="99">
        <v>1160</v>
      </c>
      <c r="D288" s="100">
        <v>300</v>
      </c>
      <c r="E288" s="98">
        <f>284.3</f>
        <v>284.3</v>
      </c>
      <c r="F288" s="98" t="s">
        <v>8</v>
      </c>
      <c r="G288" s="101" t="s">
        <v>146</v>
      </c>
      <c r="H288" s="98"/>
      <c r="I288" s="102">
        <v>43445</v>
      </c>
      <c r="J288" s="98" t="s">
        <v>13</v>
      </c>
      <c r="K288" s="98"/>
      <c r="L288" s="98">
        <v>1</v>
      </c>
      <c r="M288" s="98">
        <f t="shared" si="11"/>
        <v>1160</v>
      </c>
      <c r="N288" s="103">
        <f t="shared" si="12"/>
        <v>7.9614604462474578E-2</v>
      </c>
    </row>
    <row r="289" spans="1:14" s="4" customFormat="1" ht="15" hidden="1" customHeight="1" x14ac:dyDescent="0.2">
      <c r="A289" s="3" t="s">
        <v>127</v>
      </c>
      <c r="B289" s="5" t="s">
        <v>39</v>
      </c>
      <c r="C289" s="47">
        <v>600</v>
      </c>
      <c r="D289" s="6">
        <v>3000</v>
      </c>
      <c r="E289" s="3">
        <f>2545.7+446</f>
        <v>2991.7</v>
      </c>
      <c r="F289" s="3" t="s">
        <v>8</v>
      </c>
      <c r="G289" s="42">
        <v>4</v>
      </c>
      <c r="H289" s="3"/>
      <c r="I289" s="9">
        <v>43445</v>
      </c>
      <c r="J289" s="3" t="s">
        <v>13</v>
      </c>
      <c r="K289" s="3"/>
      <c r="L289" s="3">
        <v>1</v>
      </c>
      <c r="M289" s="18">
        <f t="shared" si="11"/>
        <v>600</v>
      </c>
      <c r="N289" s="32">
        <f t="shared" si="12"/>
        <v>8.1372549019609622E-2</v>
      </c>
    </row>
    <row r="290" spans="1:14" s="71" customFormat="1" ht="15" hidden="1" customHeight="1" x14ac:dyDescent="0.2">
      <c r="A290" s="65" t="s">
        <v>127</v>
      </c>
      <c r="B290" s="66" t="s">
        <v>39</v>
      </c>
      <c r="C290" s="66">
        <v>1140</v>
      </c>
      <c r="D290" s="67">
        <v>200</v>
      </c>
      <c r="E290" s="65">
        <f>198.8</f>
        <v>198.8</v>
      </c>
      <c r="F290" s="65" t="s">
        <v>8</v>
      </c>
      <c r="G290" s="68" t="s">
        <v>146</v>
      </c>
      <c r="H290" s="65"/>
      <c r="I290" s="69">
        <v>43445</v>
      </c>
      <c r="J290" s="65" t="s">
        <v>13</v>
      </c>
      <c r="K290" s="65"/>
      <c r="L290" s="65">
        <v>1</v>
      </c>
      <c r="M290" s="65">
        <f t="shared" si="11"/>
        <v>1140</v>
      </c>
      <c r="N290" s="70">
        <f t="shared" si="12"/>
        <v>6.1919504643962262E-3</v>
      </c>
    </row>
    <row r="291" spans="1:14" s="52" customFormat="1" ht="15" hidden="1" customHeight="1" x14ac:dyDescent="0.2">
      <c r="A291" s="46" t="s">
        <v>127</v>
      </c>
      <c r="B291" s="47" t="s">
        <v>37</v>
      </c>
      <c r="C291" s="47">
        <v>600</v>
      </c>
      <c r="D291" s="48">
        <v>1000</v>
      </c>
      <c r="E291" s="46">
        <f>803.9+263.1</f>
        <v>1067</v>
      </c>
      <c r="F291" s="46" t="s">
        <v>8</v>
      </c>
      <c r="G291" s="49" t="s">
        <v>146</v>
      </c>
      <c r="H291" s="46"/>
      <c r="I291" s="50">
        <v>43445</v>
      </c>
      <c r="J291" s="46" t="s">
        <v>13</v>
      </c>
      <c r="K291" s="46"/>
      <c r="L291" s="46">
        <v>1</v>
      </c>
      <c r="M291" s="46">
        <f t="shared" si="11"/>
        <v>600</v>
      </c>
      <c r="N291" s="51">
        <f t="shared" si="12"/>
        <v>-0.6568627450980391</v>
      </c>
    </row>
    <row r="292" spans="1:14" s="52" customFormat="1" ht="15" hidden="1" customHeight="1" x14ac:dyDescent="0.2">
      <c r="A292" s="46" t="s">
        <v>127</v>
      </c>
      <c r="B292" s="47" t="s">
        <v>37</v>
      </c>
      <c r="C292" s="47">
        <v>700</v>
      </c>
      <c r="D292" s="48">
        <v>300</v>
      </c>
      <c r="E292" s="46">
        <f>328.2</f>
        <v>328.2</v>
      </c>
      <c r="F292" s="46" t="s">
        <v>8</v>
      </c>
      <c r="G292" s="49" t="s">
        <v>146</v>
      </c>
      <c r="H292" s="46"/>
      <c r="I292" s="50">
        <v>43445</v>
      </c>
      <c r="J292" s="46" t="s">
        <v>13</v>
      </c>
      <c r="K292" s="46"/>
      <c r="L292" s="46">
        <v>1</v>
      </c>
      <c r="M292" s="46">
        <f t="shared" si="11"/>
        <v>700</v>
      </c>
      <c r="N292" s="51">
        <f t="shared" si="12"/>
        <v>-0.23697478991596627</v>
      </c>
    </row>
    <row r="293" spans="1:14" s="52" customFormat="1" ht="15" hidden="1" customHeight="1" x14ac:dyDescent="0.2">
      <c r="A293" s="46" t="s">
        <v>127</v>
      </c>
      <c r="B293" s="47" t="s">
        <v>37</v>
      </c>
      <c r="C293" s="47">
        <v>720</v>
      </c>
      <c r="D293" s="48">
        <v>1500</v>
      </c>
      <c r="E293" s="46">
        <f>718.1+808.3</f>
        <v>1526.4</v>
      </c>
      <c r="F293" s="46" t="s">
        <v>8</v>
      </c>
      <c r="G293" s="49" t="s">
        <v>146</v>
      </c>
      <c r="H293" s="46"/>
      <c r="I293" s="50">
        <v>43445</v>
      </c>
      <c r="J293" s="46" t="s">
        <v>13</v>
      </c>
      <c r="K293" s="46"/>
      <c r="L293" s="46">
        <v>1</v>
      </c>
      <c r="M293" s="46">
        <f t="shared" si="11"/>
        <v>720</v>
      </c>
      <c r="N293" s="51">
        <f t="shared" si="12"/>
        <v>-0.21568627450980465</v>
      </c>
    </row>
    <row r="294" spans="1:14" s="52" customFormat="1" ht="15" hidden="1" customHeight="1" x14ac:dyDescent="0.2">
      <c r="A294" s="46" t="s">
        <v>127</v>
      </c>
      <c r="B294" s="47" t="s">
        <v>37</v>
      </c>
      <c r="C294" s="47">
        <v>760</v>
      </c>
      <c r="D294" s="48">
        <v>300</v>
      </c>
      <c r="E294" s="46">
        <f>341.6</f>
        <v>341.6</v>
      </c>
      <c r="F294" s="46" t="s">
        <v>8</v>
      </c>
      <c r="G294" s="49" t="s">
        <v>146</v>
      </c>
      <c r="H294" s="46"/>
      <c r="I294" s="50">
        <v>43445</v>
      </c>
      <c r="J294" s="46" t="s">
        <v>13</v>
      </c>
      <c r="K294" s="46"/>
      <c r="L294" s="46">
        <v>1</v>
      </c>
      <c r="M294" s="46">
        <f t="shared" si="11"/>
        <v>760</v>
      </c>
      <c r="N294" s="51">
        <f t="shared" si="12"/>
        <v>-0.32198142414860692</v>
      </c>
    </row>
    <row r="295" spans="1:14" s="52" customFormat="1" ht="15" hidden="1" customHeight="1" x14ac:dyDescent="0.2">
      <c r="A295" s="46" t="s">
        <v>127</v>
      </c>
      <c r="B295" s="47" t="s">
        <v>37</v>
      </c>
      <c r="C295" s="47">
        <v>960</v>
      </c>
      <c r="D295" s="48">
        <v>300</v>
      </c>
      <c r="E295" s="46">
        <f>325.9</f>
        <v>325.89999999999998</v>
      </c>
      <c r="F295" s="46" t="s">
        <v>8</v>
      </c>
      <c r="G295" s="49" t="s">
        <v>146</v>
      </c>
      <c r="H295" s="46"/>
      <c r="I295" s="50">
        <v>43445</v>
      </c>
      <c r="J295" s="46" t="s">
        <v>13</v>
      </c>
      <c r="K295" s="46"/>
      <c r="L295" s="46">
        <v>1</v>
      </c>
      <c r="M295" s="46">
        <f t="shared" si="11"/>
        <v>960</v>
      </c>
      <c r="N295" s="51">
        <f t="shared" si="12"/>
        <v>-0.15870098039215672</v>
      </c>
    </row>
    <row r="296" spans="1:14" s="52" customFormat="1" ht="15" hidden="1" customHeight="1" x14ac:dyDescent="0.2">
      <c r="A296" s="46" t="s">
        <v>127</v>
      </c>
      <c r="B296" s="47" t="s">
        <v>37</v>
      </c>
      <c r="C296" s="47">
        <v>800</v>
      </c>
      <c r="D296" s="48">
        <v>500</v>
      </c>
      <c r="E296" s="46">
        <f>590.1</f>
        <v>590.1</v>
      </c>
      <c r="F296" s="46" t="s">
        <v>8</v>
      </c>
      <c r="G296" s="49" t="s">
        <v>146</v>
      </c>
      <c r="H296" s="46"/>
      <c r="I296" s="50">
        <v>43445</v>
      </c>
      <c r="J296" s="46" t="s">
        <v>13</v>
      </c>
      <c r="K296" s="46"/>
      <c r="L296" s="46">
        <v>1</v>
      </c>
      <c r="M296" s="46">
        <f t="shared" si="11"/>
        <v>800</v>
      </c>
      <c r="N296" s="51">
        <f t="shared" si="12"/>
        <v>-0.6625000000000002</v>
      </c>
    </row>
    <row r="297" spans="1:14" s="52" customFormat="1" ht="15" hidden="1" customHeight="1" x14ac:dyDescent="0.2">
      <c r="A297" s="46" t="s">
        <v>127</v>
      </c>
      <c r="B297" s="47" t="s">
        <v>37</v>
      </c>
      <c r="C297" s="47">
        <v>1200</v>
      </c>
      <c r="D297" s="48">
        <v>500</v>
      </c>
      <c r="E297" s="46">
        <f>512.8</f>
        <v>512.79999999999995</v>
      </c>
      <c r="F297" s="46" t="s">
        <v>8</v>
      </c>
      <c r="G297" s="49" t="s">
        <v>146</v>
      </c>
      <c r="H297" s="46"/>
      <c r="I297" s="50">
        <v>43445</v>
      </c>
      <c r="J297" s="46" t="s">
        <v>13</v>
      </c>
      <c r="K297" s="46"/>
      <c r="L297" s="46">
        <v>1</v>
      </c>
      <c r="M297" s="46">
        <f t="shared" si="11"/>
        <v>1200</v>
      </c>
      <c r="N297" s="51">
        <f t="shared" si="12"/>
        <v>-6.2745098039215449E-2</v>
      </c>
    </row>
    <row r="298" spans="1:14" s="104" customFormat="1" ht="15" hidden="1" customHeight="1" x14ac:dyDescent="0.2">
      <c r="A298" s="98" t="s">
        <v>127</v>
      </c>
      <c r="B298" s="99" t="s">
        <v>38</v>
      </c>
      <c r="C298" s="99">
        <v>700</v>
      </c>
      <c r="D298" s="100">
        <v>300</v>
      </c>
      <c r="E298" s="98">
        <f>288.6</f>
        <v>288.60000000000002</v>
      </c>
      <c r="F298" s="98" t="s">
        <v>8</v>
      </c>
      <c r="G298" s="101"/>
      <c r="H298" s="98"/>
      <c r="I298" s="102">
        <v>43445</v>
      </c>
      <c r="J298" s="98" t="s">
        <v>13</v>
      </c>
      <c r="K298" s="98"/>
      <c r="L298" s="98">
        <v>1</v>
      </c>
      <c r="M298" s="98">
        <f t="shared" si="11"/>
        <v>700</v>
      </c>
      <c r="N298" s="103">
        <f t="shared" si="12"/>
        <v>9.5798319327730891E-2</v>
      </c>
    </row>
    <row r="299" spans="1:14" s="104" customFormat="1" ht="15" hidden="1" customHeight="1" x14ac:dyDescent="0.2">
      <c r="A299" s="98" t="s">
        <v>127</v>
      </c>
      <c r="B299" s="99" t="s">
        <v>38</v>
      </c>
      <c r="C299" s="99">
        <v>760</v>
      </c>
      <c r="D299" s="100">
        <v>1200</v>
      </c>
      <c r="E299" s="98">
        <f>1231.3</f>
        <v>1231.3</v>
      </c>
      <c r="F299" s="98" t="s">
        <v>8</v>
      </c>
      <c r="G299" s="101"/>
      <c r="H299" s="98"/>
      <c r="I299" s="102">
        <v>43445</v>
      </c>
      <c r="J299" s="98" t="s">
        <v>13</v>
      </c>
      <c r="K299" s="98"/>
      <c r="L299" s="98">
        <v>1</v>
      </c>
      <c r="M299" s="98">
        <f t="shared" si="11"/>
        <v>760</v>
      </c>
      <c r="N299" s="103">
        <f t="shared" si="12"/>
        <v>-0.24226006191950425</v>
      </c>
    </row>
    <row r="300" spans="1:14" s="104" customFormat="1" ht="15" hidden="1" customHeight="1" x14ac:dyDescent="0.2">
      <c r="A300" s="98" t="s">
        <v>127</v>
      </c>
      <c r="B300" s="99" t="s">
        <v>38</v>
      </c>
      <c r="C300" s="99">
        <v>800</v>
      </c>
      <c r="D300" s="100">
        <v>1600</v>
      </c>
      <c r="E300" s="98">
        <f>1739.6</f>
        <v>1739.6</v>
      </c>
      <c r="F300" s="98" t="s">
        <v>8</v>
      </c>
      <c r="G300" s="101"/>
      <c r="H300" s="98"/>
      <c r="I300" s="102">
        <v>43445</v>
      </c>
      <c r="J300" s="98" t="s">
        <v>13</v>
      </c>
      <c r="K300" s="98"/>
      <c r="L300" s="98">
        <v>1</v>
      </c>
      <c r="M300" s="98">
        <f t="shared" si="11"/>
        <v>800</v>
      </c>
      <c r="N300" s="103">
        <f t="shared" si="12"/>
        <v>-1.0264705882352934</v>
      </c>
    </row>
    <row r="301" spans="1:14" s="104" customFormat="1" ht="15" hidden="1" customHeight="1" x14ac:dyDescent="0.2">
      <c r="A301" s="98" t="s">
        <v>127</v>
      </c>
      <c r="B301" s="99" t="s">
        <v>38</v>
      </c>
      <c r="C301" s="99">
        <v>840</v>
      </c>
      <c r="D301" s="100">
        <v>400</v>
      </c>
      <c r="E301" s="98">
        <f>478.7</f>
        <v>478.7</v>
      </c>
      <c r="F301" s="98" t="s">
        <v>8</v>
      </c>
      <c r="G301" s="101"/>
      <c r="H301" s="98"/>
      <c r="I301" s="102">
        <v>43445</v>
      </c>
      <c r="J301" s="98" t="s">
        <v>13</v>
      </c>
      <c r="K301" s="98"/>
      <c r="L301" s="98">
        <v>1</v>
      </c>
      <c r="M301" s="98">
        <f t="shared" si="11"/>
        <v>840</v>
      </c>
      <c r="N301" s="103">
        <f t="shared" si="12"/>
        <v>-0.55112044817927164</v>
      </c>
    </row>
    <row r="302" spans="1:14" s="104" customFormat="1" ht="16.5" hidden="1" customHeight="1" x14ac:dyDescent="0.2">
      <c r="A302" s="98" t="s">
        <v>127</v>
      </c>
      <c r="B302" s="99" t="s">
        <v>38</v>
      </c>
      <c r="C302" s="99">
        <v>880</v>
      </c>
      <c r="D302" s="100">
        <v>500</v>
      </c>
      <c r="E302" s="98">
        <f>498.9</f>
        <v>498.9</v>
      </c>
      <c r="F302" s="98" t="s">
        <v>8</v>
      </c>
      <c r="G302" s="101"/>
      <c r="H302" s="98"/>
      <c r="I302" s="102">
        <v>43445</v>
      </c>
      <c r="J302" s="98" t="s">
        <v>13</v>
      </c>
      <c r="K302" s="98"/>
      <c r="L302" s="98">
        <v>1</v>
      </c>
      <c r="M302" s="98">
        <f t="shared" si="11"/>
        <v>880</v>
      </c>
      <c r="N302" s="103">
        <f t="shared" si="12"/>
        <v>7.3529411764707391E-3</v>
      </c>
    </row>
    <row r="303" spans="1:14" s="104" customFormat="1" ht="15" hidden="1" customHeight="1" x14ac:dyDescent="0.2">
      <c r="A303" s="98" t="s">
        <v>127</v>
      </c>
      <c r="B303" s="99" t="s">
        <v>38</v>
      </c>
      <c r="C303" s="99">
        <v>920</v>
      </c>
      <c r="D303" s="100">
        <v>300</v>
      </c>
      <c r="E303" s="98">
        <f>159.8+160</f>
        <v>319.8</v>
      </c>
      <c r="F303" s="98" t="s">
        <v>8</v>
      </c>
      <c r="G303" s="101" t="s">
        <v>146</v>
      </c>
      <c r="H303" s="98"/>
      <c r="I303" s="102">
        <v>43445</v>
      </c>
      <c r="J303" s="98" t="s">
        <v>13</v>
      </c>
      <c r="K303" s="98"/>
      <c r="L303" s="98">
        <v>1</v>
      </c>
      <c r="M303" s="98">
        <f t="shared" si="11"/>
        <v>920</v>
      </c>
      <c r="N303" s="103">
        <f t="shared" si="12"/>
        <v>-0.12659846547314585</v>
      </c>
    </row>
    <row r="304" spans="1:14" s="104" customFormat="1" ht="15" hidden="1" customHeight="1" x14ac:dyDescent="0.2">
      <c r="A304" s="98" t="s">
        <v>127</v>
      </c>
      <c r="B304" s="99" t="s">
        <v>36</v>
      </c>
      <c r="C304" s="99">
        <v>600</v>
      </c>
      <c r="D304" s="100">
        <v>1000</v>
      </c>
      <c r="E304" s="98">
        <f>1085</f>
        <v>1085</v>
      </c>
      <c r="F304" s="98" t="s">
        <v>8</v>
      </c>
      <c r="G304" s="101" t="s">
        <v>146</v>
      </c>
      <c r="H304" s="98"/>
      <c r="I304" s="102">
        <v>43445</v>
      </c>
      <c r="J304" s="98" t="s">
        <v>13</v>
      </c>
      <c r="K304" s="98"/>
      <c r="L304" s="98">
        <v>2</v>
      </c>
      <c r="M304" s="98">
        <f t="shared" si="11"/>
        <v>1200</v>
      </c>
      <c r="N304" s="103">
        <f t="shared" si="12"/>
        <v>-0.41666666666666663</v>
      </c>
    </row>
    <row r="305" spans="1:14" s="60" customFormat="1" ht="15" hidden="1" customHeight="1" x14ac:dyDescent="0.2">
      <c r="A305" s="55" t="s">
        <v>127</v>
      </c>
      <c r="B305" s="54" t="s">
        <v>36</v>
      </c>
      <c r="C305" s="54">
        <v>720</v>
      </c>
      <c r="D305" s="56">
        <v>1300</v>
      </c>
      <c r="E305" s="55">
        <f>1070.7+286.6</f>
        <v>1357.3000000000002</v>
      </c>
      <c r="F305" s="55" t="s">
        <v>8</v>
      </c>
      <c r="G305" s="57" t="s">
        <v>146</v>
      </c>
      <c r="H305" s="55"/>
      <c r="I305" s="58">
        <v>43445</v>
      </c>
      <c r="J305" s="55" t="s">
        <v>13</v>
      </c>
      <c r="K305" s="55"/>
      <c r="L305" s="55">
        <v>1</v>
      </c>
      <c r="M305" s="55">
        <f t="shared" si="11"/>
        <v>720</v>
      </c>
      <c r="N305" s="59">
        <f t="shared" si="12"/>
        <v>-0.46813725490196223</v>
      </c>
    </row>
    <row r="306" spans="1:14" s="60" customFormat="1" ht="15" hidden="1" customHeight="1" x14ac:dyDescent="0.2">
      <c r="A306" s="55" t="s">
        <v>127</v>
      </c>
      <c r="B306" s="54" t="s">
        <v>36</v>
      </c>
      <c r="C306" s="54">
        <v>760</v>
      </c>
      <c r="D306" s="56">
        <v>500</v>
      </c>
      <c r="E306" s="55">
        <f>515.4</f>
        <v>515.4</v>
      </c>
      <c r="F306" s="55" t="s">
        <v>8</v>
      </c>
      <c r="G306" s="57" t="s">
        <v>146</v>
      </c>
      <c r="H306" s="55"/>
      <c r="I306" s="58">
        <v>43445</v>
      </c>
      <c r="J306" s="55" t="s">
        <v>13</v>
      </c>
      <c r="K306" s="55"/>
      <c r="L306" s="55">
        <v>1</v>
      </c>
      <c r="M306" s="55">
        <f t="shared" si="11"/>
        <v>760</v>
      </c>
      <c r="N306" s="59">
        <f t="shared" si="12"/>
        <v>-0.11919504643962829</v>
      </c>
    </row>
    <row r="307" spans="1:14" s="60" customFormat="1" ht="15" hidden="1" customHeight="1" x14ac:dyDescent="0.2">
      <c r="A307" s="55" t="s">
        <v>127</v>
      </c>
      <c r="B307" s="54" t="s">
        <v>36</v>
      </c>
      <c r="C307" s="54">
        <v>800</v>
      </c>
      <c r="D307" s="56">
        <v>3500</v>
      </c>
      <c r="E307" s="55">
        <f>1330.1+690.6+1547.3</f>
        <v>3568</v>
      </c>
      <c r="F307" s="55" t="s">
        <v>8</v>
      </c>
      <c r="G307" s="57">
        <v>1</v>
      </c>
      <c r="H307" s="55"/>
      <c r="I307" s="58">
        <v>43445</v>
      </c>
      <c r="J307" s="55" t="s">
        <v>13</v>
      </c>
      <c r="K307" s="55"/>
      <c r="L307" s="55">
        <v>1</v>
      </c>
      <c r="M307" s="55">
        <f t="shared" si="11"/>
        <v>800</v>
      </c>
      <c r="N307" s="59">
        <f t="shared" si="12"/>
        <v>-0.5</v>
      </c>
    </row>
    <row r="308" spans="1:14" s="104" customFormat="1" ht="15" hidden="1" customHeight="1" x14ac:dyDescent="0.2">
      <c r="A308" s="98" t="s">
        <v>127</v>
      </c>
      <c r="B308" s="99" t="s">
        <v>36</v>
      </c>
      <c r="C308" s="99">
        <v>900</v>
      </c>
      <c r="D308" s="100">
        <v>1000</v>
      </c>
      <c r="E308" s="98">
        <f>1034.6</f>
        <v>1034.5999999999999</v>
      </c>
      <c r="F308" s="98" t="s">
        <v>8</v>
      </c>
      <c r="G308" s="101" t="s">
        <v>146</v>
      </c>
      <c r="H308" s="98"/>
      <c r="I308" s="102">
        <v>43445</v>
      </c>
      <c r="J308" s="98" t="s">
        <v>13</v>
      </c>
      <c r="K308" s="98"/>
      <c r="L308" s="98">
        <v>1</v>
      </c>
      <c r="M308" s="98">
        <f t="shared" si="11"/>
        <v>900</v>
      </c>
      <c r="N308" s="103">
        <f t="shared" si="12"/>
        <v>-0.22614379084967262</v>
      </c>
    </row>
    <row r="309" spans="1:14" s="60" customFormat="1" ht="15" hidden="1" customHeight="1" x14ac:dyDescent="0.2">
      <c r="A309" s="55" t="s">
        <v>127</v>
      </c>
      <c r="B309" s="54" t="s">
        <v>36</v>
      </c>
      <c r="C309" s="54">
        <v>1000</v>
      </c>
      <c r="D309" s="56">
        <v>1000</v>
      </c>
      <c r="E309" s="55">
        <f>1021.6</f>
        <v>1021.6</v>
      </c>
      <c r="F309" s="55" t="s">
        <v>8</v>
      </c>
      <c r="G309" s="57" t="s">
        <v>146</v>
      </c>
      <c r="H309" s="55"/>
      <c r="I309" s="58">
        <v>43445</v>
      </c>
      <c r="J309" s="55" t="s">
        <v>13</v>
      </c>
      <c r="K309" s="55"/>
      <c r="L309" s="55">
        <v>1</v>
      </c>
      <c r="M309" s="55">
        <f t="shared" si="11"/>
        <v>1000</v>
      </c>
      <c r="N309" s="59">
        <f t="shared" si="12"/>
        <v>-0.12705882352941189</v>
      </c>
    </row>
    <row r="310" spans="1:14" s="104" customFormat="1" ht="15" hidden="1" customHeight="1" x14ac:dyDescent="0.2">
      <c r="A310" s="98" t="s">
        <v>128</v>
      </c>
      <c r="B310" s="99" t="s">
        <v>39</v>
      </c>
      <c r="C310" s="47">
        <v>760</v>
      </c>
      <c r="D310" s="100">
        <v>2000</v>
      </c>
      <c r="E310" s="106">
        <f>1312.1+565.8</f>
        <v>1877.8999999999999</v>
      </c>
      <c r="F310" s="98" t="s">
        <v>8</v>
      </c>
      <c r="G310" s="101">
        <v>4</v>
      </c>
      <c r="H310" s="98"/>
      <c r="I310" s="102">
        <v>43445</v>
      </c>
      <c r="J310" s="98" t="s">
        <v>129</v>
      </c>
      <c r="K310" s="98"/>
      <c r="L310" s="98">
        <v>1</v>
      </c>
      <c r="M310" s="98">
        <f t="shared" si="11"/>
        <v>760</v>
      </c>
      <c r="N310" s="103">
        <f t="shared" si="12"/>
        <v>0.94504643962848389</v>
      </c>
    </row>
    <row r="311" spans="1:14" s="104" customFormat="1" ht="15" hidden="1" customHeight="1" x14ac:dyDescent="0.2">
      <c r="A311" s="98" t="s">
        <v>128</v>
      </c>
      <c r="B311" s="99" t="s">
        <v>39</v>
      </c>
      <c r="C311" s="47">
        <v>960</v>
      </c>
      <c r="D311" s="100">
        <v>2000</v>
      </c>
      <c r="E311" s="106">
        <f>939.8+180.8+943.7</f>
        <v>2064.3000000000002</v>
      </c>
      <c r="F311" s="98" t="s">
        <v>8</v>
      </c>
      <c r="G311" s="101">
        <v>4</v>
      </c>
      <c r="H311" s="98"/>
      <c r="I311" s="102">
        <v>43445</v>
      </c>
      <c r="J311" s="98" t="s">
        <v>129</v>
      </c>
      <c r="K311" s="98"/>
      <c r="L311" s="98">
        <v>1</v>
      </c>
      <c r="M311" s="98">
        <f t="shared" si="11"/>
        <v>960</v>
      </c>
      <c r="N311" s="103">
        <f t="shared" si="12"/>
        <v>-0.39399509803921678</v>
      </c>
    </row>
    <row r="312" spans="1:14" s="104" customFormat="1" ht="15" hidden="1" customHeight="1" x14ac:dyDescent="0.2">
      <c r="A312" s="98" t="s">
        <v>128</v>
      </c>
      <c r="B312" s="99" t="s">
        <v>39</v>
      </c>
      <c r="C312" s="47">
        <v>1160</v>
      </c>
      <c r="D312" s="100">
        <v>1500</v>
      </c>
      <c r="E312" s="98">
        <f>850+684.2</f>
        <v>1534.2</v>
      </c>
      <c r="F312" s="98" t="s">
        <v>8</v>
      </c>
      <c r="G312" s="101" t="s">
        <v>146</v>
      </c>
      <c r="H312" s="98"/>
      <c r="I312" s="102">
        <v>43445</v>
      </c>
      <c r="J312" s="98" t="s">
        <v>129</v>
      </c>
      <c r="K312" s="98"/>
      <c r="L312" s="98">
        <v>1</v>
      </c>
      <c r="M312" s="98">
        <f t="shared" si="11"/>
        <v>1160</v>
      </c>
      <c r="N312" s="103">
        <f t="shared" si="12"/>
        <v>-0.17342799188640995</v>
      </c>
    </row>
    <row r="313" spans="1:14" s="52" customFormat="1" ht="15" hidden="1" customHeight="1" x14ac:dyDescent="0.2">
      <c r="A313" s="46" t="s">
        <v>128</v>
      </c>
      <c r="B313" s="47" t="s">
        <v>37</v>
      </c>
      <c r="C313" s="47">
        <v>720</v>
      </c>
      <c r="D313" s="48">
        <v>1500</v>
      </c>
      <c r="E313" s="46">
        <f>1454.6</f>
        <v>1454.6</v>
      </c>
      <c r="F313" s="46" t="s">
        <v>8</v>
      </c>
      <c r="G313" s="49" t="s">
        <v>146</v>
      </c>
      <c r="H313" s="46"/>
      <c r="I313" s="50">
        <v>43445</v>
      </c>
      <c r="J313" s="46" t="s">
        <v>129</v>
      </c>
      <c r="K313" s="46"/>
      <c r="L313" s="46">
        <v>1</v>
      </c>
      <c r="M313" s="46">
        <f t="shared" si="11"/>
        <v>720</v>
      </c>
      <c r="N313" s="51">
        <f t="shared" si="12"/>
        <v>0.3709150326797393</v>
      </c>
    </row>
    <row r="314" spans="1:14" s="4" customFormat="1" ht="15" hidden="1" customHeight="1" x14ac:dyDescent="0.2">
      <c r="A314" s="3" t="s">
        <v>128</v>
      </c>
      <c r="B314" s="5" t="s">
        <v>37</v>
      </c>
      <c r="C314" s="5">
        <v>840</v>
      </c>
      <c r="D314" s="6">
        <v>1000</v>
      </c>
      <c r="E314" s="3">
        <f>563.4+408</f>
        <v>971.4</v>
      </c>
      <c r="F314" s="3" t="s">
        <v>8</v>
      </c>
      <c r="G314" s="42">
        <v>3</v>
      </c>
      <c r="H314" s="3"/>
      <c r="I314" s="9">
        <v>43445</v>
      </c>
      <c r="J314" s="3" t="s">
        <v>129</v>
      </c>
      <c r="K314" s="3"/>
      <c r="L314" s="3">
        <v>1</v>
      </c>
      <c r="M314" s="18">
        <f t="shared" si="11"/>
        <v>840</v>
      </c>
      <c r="N314" s="32">
        <f t="shared" si="12"/>
        <v>0.20028011204481808</v>
      </c>
    </row>
    <row r="315" spans="1:14" s="52" customFormat="1" ht="15" hidden="1" customHeight="1" x14ac:dyDescent="0.2">
      <c r="A315" s="46" t="s">
        <v>128</v>
      </c>
      <c r="B315" s="47" t="s">
        <v>37</v>
      </c>
      <c r="C315" s="47">
        <v>1200</v>
      </c>
      <c r="D315" s="48" t="s">
        <v>210</v>
      </c>
      <c r="E315" s="46">
        <f>2991.5</f>
        <v>2991.5</v>
      </c>
      <c r="F315" s="46" t="s">
        <v>8</v>
      </c>
      <c r="G315" s="49" t="s">
        <v>146</v>
      </c>
      <c r="H315" s="46"/>
      <c r="I315" s="50">
        <v>43445</v>
      </c>
      <c r="J315" s="46" t="s">
        <v>129</v>
      </c>
      <c r="K315" s="46"/>
      <c r="L315" s="46">
        <v>1</v>
      </c>
      <c r="M315" s="46">
        <f t="shared" si="11"/>
        <v>1200</v>
      </c>
      <c r="N315" s="51" t="e">
        <f t="shared" si="12"/>
        <v>#VALUE!</v>
      </c>
    </row>
    <row r="316" spans="1:14" s="4" customFormat="1" ht="15" hidden="1" customHeight="1" x14ac:dyDescent="0.2">
      <c r="A316" s="3" t="s">
        <v>128</v>
      </c>
      <c r="B316" s="5" t="s">
        <v>37</v>
      </c>
      <c r="C316" s="5">
        <v>780</v>
      </c>
      <c r="D316" s="6">
        <v>1500</v>
      </c>
      <c r="E316" s="3">
        <f>1547.8</f>
        <v>1547.8</v>
      </c>
      <c r="F316" s="3" t="s">
        <v>8</v>
      </c>
      <c r="G316" s="42">
        <v>3</v>
      </c>
      <c r="H316" s="3"/>
      <c r="I316" s="9">
        <v>43445</v>
      </c>
      <c r="J316" s="3" t="s">
        <v>129</v>
      </c>
      <c r="K316" s="3"/>
      <c r="L316" s="3">
        <v>1</v>
      </c>
      <c r="M316" s="18">
        <f t="shared" ref="M316:M359" si="13">L316*C316</f>
        <v>780</v>
      </c>
      <c r="N316" s="32">
        <f t="shared" ref="N316:N359" si="14">(D316-E316)/(M316*0.17)</f>
        <v>-0.36048265460030127</v>
      </c>
    </row>
    <row r="317" spans="1:14" s="52" customFormat="1" ht="15" hidden="1" customHeight="1" x14ac:dyDescent="0.2">
      <c r="A317" s="46" t="s">
        <v>128</v>
      </c>
      <c r="B317" s="47" t="s">
        <v>37</v>
      </c>
      <c r="C317" s="47">
        <v>1000</v>
      </c>
      <c r="D317" s="48">
        <v>1000</v>
      </c>
      <c r="E317" s="46">
        <f>996.7</f>
        <v>996.7</v>
      </c>
      <c r="F317" s="46" t="s">
        <v>8</v>
      </c>
      <c r="G317" s="49" t="s">
        <v>146</v>
      </c>
      <c r="H317" s="46"/>
      <c r="I317" s="50">
        <v>43445</v>
      </c>
      <c r="J317" s="46" t="s">
        <v>129</v>
      </c>
      <c r="K317" s="46"/>
      <c r="L317" s="46">
        <v>1</v>
      </c>
      <c r="M317" s="46">
        <f t="shared" si="13"/>
        <v>1000</v>
      </c>
      <c r="N317" s="51">
        <f t="shared" si="14"/>
        <v>1.9411764705882087E-2</v>
      </c>
    </row>
    <row r="318" spans="1:14" s="52" customFormat="1" ht="15" hidden="1" customHeight="1" x14ac:dyDescent="0.2">
      <c r="A318" s="46" t="s">
        <v>128</v>
      </c>
      <c r="B318" s="47" t="s">
        <v>37</v>
      </c>
      <c r="C318" s="47">
        <v>800</v>
      </c>
      <c r="D318" s="48">
        <v>1000</v>
      </c>
      <c r="E318" s="46">
        <f>587.8+392.4</f>
        <v>980.19999999999993</v>
      </c>
      <c r="F318" s="46" t="s">
        <v>8</v>
      </c>
      <c r="G318" s="49" t="s">
        <v>146</v>
      </c>
      <c r="H318" s="46"/>
      <c r="I318" s="50">
        <v>43445</v>
      </c>
      <c r="J318" s="46" t="s">
        <v>129</v>
      </c>
      <c r="K318" s="46"/>
      <c r="L318" s="46">
        <v>1</v>
      </c>
      <c r="M318" s="46">
        <f t="shared" si="13"/>
        <v>800</v>
      </c>
      <c r="N318" s="51">
        <f t="shared" si="14"/>
        <v>0.14558823529411816</v>
      </c>
    </row>
    <row r="319" spans="1:14" s="52" customFormat="1" ht="15" hidden="1" customHeight="1" x14ac:dyDescent="0.2">
      <c r="A319" s="46" t="s">
        <v>128</v>
      </c>
      <c r="B319" s="47" t="s">
        <v>37</v>
      </c>
      <c r="C319" s="47">
        <v>1200</v>
      </c>
      <c r="D319" s="48">
        <v>2000</v>
      </c>
      <c r="E319" s="46"/>
      <c r="F319" s="46" t="s">
        <v>201</v>
      </c>
      <c r="G319" s="49" t="s">
        <v>146</v>
      </c>
      <c r="H319" s="46"/>
      <c r="I319" s="50">
        <v>43445</v>
      </c>
      <c r="J319" s="46" t="s">
        <v>129</v>
      </c>
      <c r="K319" s="46"/>
      <c r="L319" s="46">
        <v>1</v>
      </c>
      <c r="M319" s="46">
        <f t="shared" si="13"/>
        <v>1200</v>
      </c>
      <c r="N319" s="51">
        <f t="shared" si="14"/>
        <v>9.8039215686274499</v>
      </c>
    </row>
    <row r="320" spans="1:14" s="60" customFormat="1" ht="15" hidden="1" customHeight="1" x14ac:dyDescent="0.2">
      <c r="A320" s="55" t="s">
        <v>128</v>
      </c>
      <c r="B320" s="54" t="s">
        <v>36</v>
      </c>
      <c r="C320" s="54">
        <v>720</v>
      </c>
      <c r="D320" s="56">
        <v>1000</v>
      </c>
      <c r="E320" s="55">
        <v>982.9</v>
      </c>
      <c r="F320" s="55" t="s">
        <v>8</v>
      </c>
      <c r="G320" s="57">
        <v>3</v>
      </c>
      <c r="H320" s="55"/>
      <c r="I320" s="58">
        <v>43445</v>
      </c>
      <c r="J320" s="55" t="s">
        <v>129</v>
      </c>
      <c r="K320" s="55"/>
      <c r="L320" s="55">
        <v>1</v>
      </c>
      <c r="M320" s="55">
        <f t="shared" si="13"/>
        <v>720</v>
      </c>
      <c r="N320" s="59">
        <f t="shared" si="14"/>
        <v>0.13970588235294135</v>
      </c>
    </row>
    <row r="321" spans="1:14" s="52" customFormat="1" ht="15" hidden="1" customHeight="1" x14ac:dyDescent="0.2">
      <c r="A321" s="46" t="s">
        <v>269</v>
      </c>
      <c r="B321" s="47" t="s">
        <v>36</v>
      </c>
      <c r="C321" s="47">
        <v>860</v>
      </c>
      <c r="D321" s="48">
        <f>1000-760</f>
        <v>240</v>
      </c>
      <c r="E321" s="46">
        <f>209.7</f>
        <v>209.7</v>
      </c>
      <c r="F321" s="46" t="s">
        <v>8</v>
      </c>
      <c r="G321" s="49">
        <v>3</v>
      </c>
      <c r="H321" s="46" t="s">
        <v>268</v>
      </c>
      <c r="I321" s="50">
        <v>43445</v>
      </c>
      <c r="J321" s="46" t="s">
        <v>129</v>
      </c>
      <c r="K321" s="46"/>
      <c r="L321" s="46">
        <v>1</v>
      </c>
      <c r="M321" s="46">
        <f t="shared" si="13"/>
        <v>860</v>
      </c>
      <c r="N321" s="51">
        <f t="shared" si="14"/>
        <v>0.20725034199726408</v>
      </c>
    </row>
    <row r="322" spans="1:14" s="60" customFormat="1" ht="15" hidden="1" customHeight="1" x14ac:dyDescent="0.2">
      <c r="A322" s="55" t="s">
        <v>128</v>
      </c>
      <c r="B322" s="54" t="s">
        <v>36</v>
      </c>
      <c r="C322" s="54">
        <v>700</v>
      </c>
      <c r="D322" s="56">
        <v>2000</v>
      </c>
      <c r="E322" s="55">
        <f>1945.7</f>
        <v>1945.7</v>
      </c>
      <c r="F322" s="55" t="s">
        <v>8</v>
      </c>
      <c r="G322" s="57" t="s">
        <v>146</v>
      </c>
      <c r="H322" s="55"/>
      <c r="I322" s="58">
        <v>43445</v>
      </c>
      <c r="J322" s="55" t="s">
        <v>129</v>
      </c>
      <c r="K322" s="55"/>
      <c r="L322" s="55">
        <v>1</v>
      </c>
      <c r="M322" s="55">
        <f t="shared" si="13"/>
        <v>700</v>
      </c>
      <c r="N322" s="59">
        <f t="shared" si="14"/>
        <v>0.45630252100840291</v>
      </c>
    </row>
    <row r="323" spans="1:14" s="52" customFormat="1" ht="15" hidden="1" customHeight="1" x14ac:dyDescent="0.2">
      <c r="A323" s="46" t="s">
        <v>130</v>
      </c>
      <c r="B323" s="47" t="s">
        <v>38</v>
      </c>
      <c r="C323" s="47">
        <v>395</v>
      </c>
      <c r="D323" s="48">
        <v>300</v>
      </c>
      <c r="E323" s="46">
        <f>289</f>
        <v>289</v>
      </c>
      <c r="F323" s="46" t="s">
        <v>8</v>
      </c>
      <c r="G323" s="49">
        <v>3</v>
      </c>
      <c r="H323" s="46" t="s">
        <v>131</v>
      </c>
      <c r="I323" s="50">
        <v>43445</v>
      </c>
      <c r="J323" s="46" t="s">
        <v>43</v>
      </c>
      <c r="K323" s="46"/>
      <c r="L323" s="46">
        <v>2</v>
      </c>
      <c r="M323" s="46">
        <f t="shared" si="13"/>
        <v>790</v>
      </c>
      <c r="N323" s="51">
        <f t="shared" si="14"/>
        <v>8.1906180193596426E-2</v>
      </c>
    </row>
    <row r="324" spans="1:14" s="52" customFormat="1" ht="15" hidden="1" customHeight="1" x14ac:dyDescent="0.2">
      <c r="A324" s="46" t="s">
        <v>130</v>
      </c>
      <c r="B324" s="47" t="s">
        <v>38</v>
      </c>
      <c r="C324" s="47">
        <v>350</v>
      </c>
      <c r="D324" s="48">
        <v>1000</v>
      </c>
      <c r="E324" s="46">
        <f>1029.5</f>
        <v>1029.5</v>
      </c>
      <c r="F324" s="46" t="s">
        <v>8</v>
      </c>
      <c r="G324" s="49">
        <v>3</v>
      </c>
      <c r="H324" s="46" t="s">
        <v>131</v>
      </c>
      <c r="I324" s="50">
        <v>43445</v>
      </c>
      <c r="J324" s="46" t="s">
        <v>43</v>
      </c>
      <c r="K324" s="46"/>
      <c r="L324" s="46">
        <v>3</v>
      </c>
      <c r="M324" s="46">
        <f t="shared" si="13"/>
        <v>1050</v>
      </c>
      <c r="N324" s="51">
        <f t="shared" si="14"/>
        <v>-0.16526610644257703</v>
      </c>
    </row>
    <row r="325" spans="1:14" s="78" customFormat="1" ht="15" hidden="1" customHeight="1" x14ac:dyDescent="0.2">
      <c r="A325" s="16" t="s">
        <v>130</v>
      </c>
      <c r="B325" s="73" t="s">
        <v>36</v>
      </c>
      <c r="C325" s="73">
        <v>350</v>
      </c>
      <c r="D325" s="74">
        <v>300</v>
      </c>
      <c r="E325" s="16">
        <v>314.39999999999998</v>
      </c>
      <c r="F325" s="16" t="s">
        <v>8</v>
      </c>
      <c r="G325" s="75"/>
      <c r="H325" s="16" t="s">
        <v>131</v>
      </c>
      <c r="I325" s="76">
        <v>43445</v>
      </c>
      <c r="J325" s="16" t="s">
        <v>43</v>
      </c>
      <c r="K325" s="16"/>
      <c r="L325" s="16">
        <v>2</v>
      </c>
      <c r="M325" s="16">
        <f t="shared" si="13"/>
        <v>700</v>
      </c>
      <c r="N325" s="77">
        <f t="shared" si="14"/>
        <v>-0.12100840336134433</v>
      </c>
    </row>
    <row r="326" spans="1:14" s="4" customFormat="1" ht="15" hidden="1" customHeight="1" x14ac:dyDescent="0.2">
      <c r="A326" s="3" t="s">
        <v>130</v>
      </c>
      <c r="B326" s="5" t="s">
        <v>38</v>
      </c>
      <c r="C326" s="5">
        <v>250</v>
      </c>
      <c r="D326" s="6">
        <v>500</v>
      </c>
      <c r="E326" s="3">
        <f>559.5</f>
        <v>559.5</v>
      </c>
      <c r="F326" s="3" t="s">
        <v>8</v>
      </c>
      <c r="G326" s="42">
        <v>3</v>
      </c>
      <c r="H326" s="3" t="s">
        <v>131</v>
      </c>
      <c r="I326" s="9">
        <v>43445</v>
      </c>
      <c r="J326" s="3" t="s">
        <v>43</v>
      </c>
      <c r="K326" s="3"/>
      <c r="L326" s="3">
        <v>5</v>
      </c>
      <c r="M326" s="10">
        <f t="shared" si="13"/>
        <v>1250</v>
      </c>
      <c r="N326" s="29">
        <f t="shared" si="14"/>
        <v>-0.27999999999999997</v>
      </c>
    </row>
    <row r="327" spans="1:14" s="52" customFormat="1" ht="15" hidden="1" customHeight="1" x14ac:dyDescent="0.2">
      <c r="A327" s="46" t="s">
        <v>130</v>
      </c>
      <c r="B327" s="47" t="s">
        <v>37</v>
      </c>
      <c r="C327" s="54">
        <v>480</v>
      </c>
      <c r="D327" s="48">
        <v>300</v>
      </c>
      <c r="E327" s="46">
        <f>316</f>
        <v>316</v>
      </c>
      <c r="F327" s="46" t="s">
        <v>8</v>
      </c>
      <c r="G327" s="49" t="s">
        <v>146</v>
      </c>
      <c r="H327" s="46" t="s">
        <v>131</v>
      </c>
      <c r="I327" s="50">
        <v>43445</v>
      </c>
      <c r="J327" s="46" t="s">
        <v>43</v>
      </c>
      <c r="K327" s="46"/>
      <c r="L327" s="46">
        <v>2</v>
      </c>
      <c r="M327" s="46">
        <f t="shared" si="13"/>
        <v>960</v>
      </c>
      <c r="N327" s="51">
        <f t="shared" si="14"/>
        <v>-9.8039215686274495E-2</v>
      </c>
    </row>
    <row r="328" spans="1:14" s="96" customFormat="1" ht="15" hidden="1" customHeight="1" x14ac:dyDescent="0.2">
      <c r="A328" s="90" t="s">
        <v>132</v>
      </c>
      <c r="B328" s="91" t="s">
        <v>40</v>
      </c>
      <c r="C328" s="91">
        <v>830</v>
      </c>
      <c r="D328" s="92">
        <v>1500</v>
      </c>
      <c r="E328" s="90">
        <f>1459</f>
        <v>1459</v>
      </c>
      <c r="F328" s="90" t="s">
        <v>8</v>
      </c>
      <c r="G328" s="93" t="s">
        <v>146</v>
      </c>
      <c r="H328" s="90" t="s">
        <v>25</v>
      </c>
      <c r="I328" s="94">
        <v>43445</v>
      </c>
      <c r="J328" s="90" t="s">
        <v>133</v>
      </c>
      <c r="K328" s="90"/>
      <c r="L328" s="90">
        <v>1</v>
      </c>
      <c r="M328" s="90">
        <f t="shared" si="13"/>
        <v>830</v>
      </c>
      <c r="N328" s="95">
        <f t="shared" si="14"/>
        <v>0.29057406094968102</v>
      </c>
    </row>
    <row r="329" spans="1:14" s="60" customFormat="1" ht="15" hidden="1" customHeight="1" x14ac:dyDescent="0.2">
      <c r="A329" s="55" t="s">
        <v>132</v>
      </c>
      <c r="B329" s="54" t="s">
        <v>36</v>
      </c>
      <c r="C329" s="54">
        <v>720</v>
      </c>
      <c r="D329" s="56">
        <v>1500</v>
      </c>
      <c r="E329" s="55">
        <f>1206.6+309.9</f>
        <v>1516.5</v>
      </c>
      <c r="F329" s="55" t="s">
        <v>8</v>
      </c>
      <c r="G329" s="57">
        <v>3</v>
      </c>
      <c r="H329" s="55" t="s">
        <v>25</v>
      </c>
      <c r="I329" s="58">
        <v>43445</v>
      </c>
      <c r="J329" s="55" t="s">
        <v>133</v>
      </c>
      <c r="K329" s="55"/>
      <c r="L329" s="55">
        <v>1</v>
      </c>
      <c r="M329" s="55">
        <f t="shared" si="13"/>
        <v>720</v>
      </c>
      <c r="N329" s="59">
        <v>2</v>
      </c>
    </row>
    <row r="330" spans="1:14" s="96" customFormat="1" ht="15" hidden="1" customHeight="1" x14ac:dyDescent="0.2">
      <c r="A330" s="90" t="s">
        <v>132</v>
      </c>
      <c r="B330" s="91" t="s">
        <v>40</v>
      </c>
      <c r="C330" s="91">
        <v>650</v>
      </c>
      <c r="D330" s="92">
        <v>500</v>
      </c>
      <c r="E330" s="90">
        <f>530.2</f>
        <v>530.20000000000005</v>
      </c>
      <c r="F330" s="90" t="s">
        <v>8</v>
      </c>
      <c r="G330" s="93" t="s">
        <v>146</v>
      </c>
      <c r="H330" s="90" t="s">
        <v>25</v>
      </c>
      <c r="I330" s="94">
        <v>43445</v>
      </c>
      <c r="J330" s="90" t="s">
        <v>133</v>
      </c>
      <c r="K330" s="90"/>
      <c r="L330" s="90">
        <v>1</v>
      </c>
      <c r="M330" s="90">
        <f t="shared" si="13"/>
        <v>650</v>
      </c>
      <c r="N330" s="95">
        <f t="shared" si="14"/>
        <v>-0.27330316742081484</v>
      </c>
    </row>
    <row r="331" spans="1:14" s="4" customFormat="1" ht="15" customHeight="1" x14ac:dyDescent="0.2">
      <c r="A331" s="3" t="s">
        <v>134</v>
      </c>
      <c r="B331" s="5" t="s">
        <v>39</v>
      </c>
      <c r="C331" s="5">
        <v>1300</v>
      </c>
      <c r="D331" s="6">
        <v>2000</v>
      </c>
      <c r="E331" s="3"/>
      <c r="F331" s="3"/>
      <c r="G331" s="42"/>
      <c r="H331" s="3"/>
      <c r="I331" s="9">
        <v>43445</v>
      </c>
      <c r="J331" s="3" t="s">
        <v>135</v>
      </c>
      <c r="K331" s="3"/>
      <c r="L331" s="3"/>
      <c r="M331" s="159">
        <v>1300</v>
      </c>
      <c r="N331" s="32">
        <f t="shared" si="14"/>
        <v>9.0497737556561066</v>
      </c>
    </row>
    <row r="332" spans="1:14" s="4" customFormat="1" ht="15" customHeight="1" x14ac:dyDescent="0.2">
      <c r="A332" s="3" t="s">
        <v>134</v>
      </c>
      <c r="B332" s="5" t="s">
        <v>39</v>
      </c>
      <c r="C332" s="5">
        <v>650</v>
      </c>
      <c r="D332" s="6">
        <v>1000</v>
      </c>
      <c r="E332" s="3"/>
      <c r="F332" s="3"/>
      <c r="G332" s="42"/>
      <c r="H332" s="3"/>
      <c r="I332" s="9">
        <v>43445</v>
      </c>
      <c r="J332" s="3" t="s">
        <v>135</v>
      </c>
      <c r="K332" s="3"/>
      <c r="L332" s="3"/>
      <c r="M332" s="159">
        <v>650</v>
      </c>
      <c r="N332" s="32">
        <f t="shared" si="14"/>
        <v>9.0497737556561066</v>
      </c>
    </row>
    <row r="333" spans="1:14" s="4" customFormat="1" ht="15" customHeight="1" x14ac:dyDescent="0.2">
      <c r="A333" s="3" t="s">
        <v>134</v>
      </c>
      <c r="B333" s="5" t="s">
        <v>39</v>
      </c>
      <c r="C333" s="5">
        <v>1200</v>
      </c>
      <c r="D333" s="6">
        <v>500</v>
      </c>
      <c r="E333" s="3"/>
      <c r="F333" s="3"/>
      <c r="G333" s="42"/>
      <c r="H333" s="3"/>
      <c r="I333" s="9">
        <v>43445</v>
      </c>
      <c r="J333" s="3" t="s">
        <v>135</v>
      </c>
      <c r="K333" s="3"/>
      <c r="L333" s="3"/>
      <c r="M333" s="159">
        <v>1200</v>
      </c>
      <c r="N333" s="32">
        <f t="shared" si="14"/>
        <v>2.4509803921568625</v>
      </c>
    </row>
    <row r="334" spans="1:14" s="4" customFormat="1" ht="15" customHeight="1" x14ac:dyDescent="0.2">
      <c r="A334" s="3" t="s">
        <v>134</v>
      </c>
      <c r="B334" s="5" t="s">
        <v>39</v>
      </c>
      <c r="C334" s="5">
        <v>800</v>
      </c>
      <c r="D334" s="6">
        <v>500</v>
      </c>
      <c r="E334" s="3"/>
      <c r="F334" s="3"/>
      <c r="G334" s="42"/>
      <c r="H334" s="3"/>
      <c r="I334" s="9">
        <v>43445</v>
      </c>
      <c r="J334" s="3" t="s">
        <v>135</v>
      </c>
      <c r="K334" s="3"/>
      <c r="L334" s="3"/>
      <c r="M334" s="159">
        <v>800</v>
      </c>
      <c r="N334" s="32">
        <f t="shared" si="14"/>
        <v>3.6764705882352939</v>
      </c>
    </row>
    <row r="335" spans="1:14" s="4" customFormat="1" ht="15" customHeight="1" x14ac:dyDescent="0.2">
      <c r="A335" s="3" t="s">
        <v>134</v>
      </c>
      <c r="B335" s="5" t="s">
        <v>39</v>
      </c>
      <c r="C335" s="5">
        <v>550</v>
      </c>
      <c r="D335" s="6">
        <v>500</v>
      </c>
      <c r="E335" s="3"/>
      <c r="F335" s="3"/>
      <c r="G335" s="42"/>
      <c r="H335" s="3"/>
      <c r="I335" s="9">
        <v>43445</v>
      </c>
      <c r="J335" s="3" t="s">
        <v>135</v>
      </c>
      <c r="K335" s="3"/>
      <c r="L335" s="3"/>
      <c r="M335" s="159">
        <v>550</v>
      </c>
      <c r="N335" s="32">
        <f t="shared" si="14"/>
        <v>5.3475935828877006</v>
      </c>
    </row>
    <row r="336" spans="1:14" s="4" customFormat="1" ht="15" customHeight="1" x14ac:dyDescent="0.2">
      <c r="A336" s="3" t="s">
        <v>134</v>
      </c>
      <c r="B336" s="5" t="s">
        <v>39</v>
      </c>
      <c r="C336" s="5">
        <v>600</v>
      </c>
      <c r="D336" s="6">
        <v>500</v>
      </c>
      <c r="E336" s="3"/>
      <c r="F336" s="3"/>
      <c r="G336" s="42"/>
      <c r="H336" s="3"/>
      <c r="I336" s="9">
        <v>43445</v>
      </c>
      <c r="J336" s="3" t="s">
        <v>135</v>
      </c>
      <c r="K336" s="3"/>
      <c r="L336" s="3"/>
      <c r="M336" s="159">
        <v>600</v>
      </c>
      <c r="N336" s="32">
        <f t="shared" si="14"/>
        <v>4.901960784313725</v>
      </c>
    </row>
    <row r="337" spans="1:14" s="60" customFormat="1" ht="15" hidden="1" customHeight="1" x14ac:dyDescent="0.2">
      <c r="A337" s="55" t="s">
        <v>136</v>
      </c>
      <c r="B337" s="54" t="s">
        <v>39</v>
      </c>
      <c r="C337" s="54">
        <v>700</v>
      </c>
      <c r="D337" s="56">
        <v>1000</v>
      </c>
      <c r="E337" s="55">
        <f>1015.8</f>
        <v>1015.8</v>
      </c>
      <c r="F337" s="55" t="s">
        <v>8</v>
      </c>
      <c r="G337" s="57" t="s">
        <v>146</v>
      </c>
      <c r="H337" s="55"/>
      <c r="I337" s="55"/>
      <c r="J337" s="55" t="s">
        <v>137</v>
      </c>
      <c r="K337" s="55"/>
      <c r="L337" s="55">
        <v>1</v>
      </c>
      <c r="M337" s="55">
        <f t="shared" si="13"/>
        <v>700</v>
      </c>
      <c r="N337" s="59">
        <f t="shared" si="14"/>
        <v>-0.13277310924369709</v>
      </c>
    </row>
    <row r="338" spans="1:14" s="60" customFormat="1" ht="15" hidden="1" customHeight="1" x14ac:dyDescent="0.2">
      <c r="A338" s="55" t="s">
        <v>136</v>
      </c>
      <c r="B338" s="54" t="s">
        <v>39</v>
      </c>
      <c r="C338" s="54">
        <v>720</v>
      </c>
      <c r="D338" s="56">
        <v>1000</v>
      </c>
      <c r="E338" s="55">
        <f>829.7+167.7</f>
        <v>997.40000000000009</v>
      </c>
      <c r="F338" s="55" t="s">
        <v>8</v>
      </c>
      <c r="G338" s="57" t="s">
        <v>146</v>
      </c>
      <c r="H338" s="55"/>
      <c r="I338" s="55"/>
      <c r="J338" s="55" t="s">
        <v>137</v>
      </c>
      <c r="K338" s="55"/>
      <c r="L338" s="55">
        <v>1</v>
      </c>
      <c r="M338" s="55">
        <f t="shared" si="13"/>
        <v>720</v>
      </c>
      <c r="N338" s="59">
        <f t="shared" si="14"/>
        <v>2.1241830065358732E-2</v>
      </c>
    </row>
    <row r="339" spans="1:14" s="60" customFormat="1" ht="15" hidden="1" customHeight="1" x14ac:dyDescent="0.2">
      <c r="A339" s="55" t="s">
        <v>136</v>
      </c>
      <c r="B339" s="54" t="s">
        <v>39</v>
      </c>
      <c r="C339" s="54">
        <v>800</v>
      </c>
      <c r="D339" s="56">
        <v>1000</v>
      </c>
      <c r="E339" s="55">
        <f>1006.3</f>
        <v>1006.3</v>
      </c>
      <c r="F339" s="55" t="s">
        <v>8</v>
      </c>
      <c r="G339" s="57">
        <v>3</v>
      </c>
      <c r="H339" s="55"/>
      <c r="I339" s="55"/>
      <c r="J339" s="55" t="s">
        <v>137</v>
      </c>
      <c r="K339" s="55"/>
      <c r="L339" s="55">
        <v>1</v>
      </c>
      <c r="M339" s="55">
        <f t="shared" si="13"/>
        <v>800</v>
      </c>
      <c r="N339" s="59">
        <f t="shared" si="14"/>
        <v>-4.6323529411764375E-2</v>
      </c>
    </row>
    <row r="340" spans="1:14" s="60" customFormat="1" ht="15" hidden="1" customHeight="1" x14ac:dyDescent="0.2">
      <c r="A340" s="55" t="s">
        <v>136</v>
      </c>
      <c r="B340" s="54" t="s">
        <v>39</v>
      </c>
      <c r="C340" s="54">
        <v>900</v>
      </c>
      <c r="D340" s="56">
        <v>2000</v>
      </c>
      <c r="E340" s="55">
        <f>1031.2+1074.4</f>
        <v>2105.6000000000004</v>
      </c>
      <c r="F340" s="55" t="s">
        <v>8</v>
      </c>
      <c r="G340" s="57" t="s">
        <v>146</v>
      </c>
      <c r="H340" s="55"/>
      <c r="I340" s="55"/>
      <c r="J340" s="55" t="s">
        <v>137</v>
      </c>
      <c r="K340" s="55"/>
      <c r="L340" s="55">
        <v>1</v>
      </c>
      <c r="M340" s="55">
        <f t="shared" si="13"/>
        <v>900</v>
      </c>
      <c r="N340" s="59">
        <f t="shared" si="14"/>
        <v>-0.69019607843137498</v>
      </c>
    </row>
    <row r="341" spans="1:14" s="71" customFormat="1" ht="15" hidden="1" customHeight="1" x14ac:dyDescent="0.2">
      <c r="A341" s="65" t="s">
        <v>136</v>
      </c>
      <c r="B341" s="66" t="s">
        <v>39</v>
      </c>
      <c r="C341" s="66">
        <v>940</v>
      </c>
      <c r="D341" s="67">
        <v>800</v>
      </c>
      <c r="E341" s="65">
        <f>793.3</f>
        <v>793.3</v>
      </c>
      <c r="F341" s="65" t="s">
        <v>8</v>
      </c>
      <c r="G341" s="68" t="s">
        <v>146</v>
      </c>
      <c r="H341" s="65"/>
      <c r="I341" s="65"/>
      <c r="J341" s="65" t="s">
        <v>137</v>
      </c>
      <c r="K341" s="65"/>
      <c r="L341" s="65">
        <v>1</v>
      </c>
      <c r="M341" s="65">
        <f t="shared" si="13"/>
        <v>940</v>
      </c>
      <c r="N341" s="70">
        <f t="shared" si="14"/>
        <v>4.1927409261577252E-2</v>
      </c>
    </row>
    <row r="342" spans="1:14" s="60" customFormat="1" ht="15" hidden="1" customHeight="1" x14ac:dyDescent="0.2">
      <c r="A342" s="55" t="s">
        <v>136</v>
      </c>
      <c r="B342" s="54" t="s">
        <v>39</v>
      </c>
      <c r="C342" s="54">
        <v>1000</v>
      </c>
      <c r="D342" s="56">
        <v>2000</v>
      </c>
      <c r="E342" s="55">
        <f>197.6+1829.5</f>
        <v>2027.1</v>
      </c>
      <c r="F342" s="55" t="s">
        <v>8</v>
      </c>
      <c r="G342" s="57">
        <v>3</v>
      </c>
      <c r="H342" s="55"/>
      <c r="I342" s="55"/>
      <c r="J342" s="55" t="s">
        <v>137</v>
      </c>
      <c r="K342" s="55"/>
      <c r="L342" s="55">
        <v>1</v>
      </c>
      <c r="M342" s="55">
        <f t="shared" si="13"/>
        <v>1000</v>
      </c>
      <c r="N342" s="59">
        <f t="shared" si="14"/>
        <v>-0.15941176470588181</v>
      </c>
    </row>
    <row r="343" spans="1:14" s="60" customFormat="1" ht="15" hidden="1" customHeight="1" x14ac:dyDescent="0.2">
      <c r="A343" s="55" t="s">
        <v>136</v>
      </c>
      <c r="B343" s="54" t="s">
        <v>39</v>
      </c>
      <c r="C343" s="54">
        <v>1050</v>
      </c>
      <c r="D343" s="56">
        <v>2000</v>
      </c>
      <c r="E343" s="55">
        <f>209.1+1937.2</f>
        <v>2146.3000000000002</v>
      </c>
      <c r="F343" s="55" t="s">
        <v>8</v>
      </c>
      <c r="G343" s="57">
        <v>3</v>
      </c>
      <c r="H343" s="55"/>
      <c r="I343" s="55"/>
      <c r="J343" s="55" t="s">
        <v>137</v>
      </c>
      <c r="K343" s="55"/>
      <c r="L343" s="55">
        <v>1</v>
      </c>
      <c r="M343" s="55">
        <f t="shared" si="13"/>
        <v>1050</v>
      </c>
      <c r="N343" s="59">
        <f t="shared" si="14"/>
        <v>-0.81960784313725588</v>
      </c>
    </row>
    <row r="344" spans="1:14" s="60" customFormat="1" ht="15" hidden="1" customHeight="1" x14ac:dyDescent="0.2">
      <c r="A344" s="55" t="s">
        <v>136</v>
      </c>
      <c r="B344" s="54" t="s">
        <v>39</v>
      </c>
      <c r="C344" s="54">
        <v>1200</v>
      </c>
      <c r="D344" s="56">
        <v>2000</v>
      </c>
      <c r="E344" s="55">
        <f>1383+568.1</f>
        <v>1951.1</v>
      </c>
      <c r="F344" s="55" t="s">
        <v>8</v>
      </c>
      <c r="G344" s="57" t="s">
        <v>146</v>
      </c>
      <c r="H344" s="55"/>
      <c r="I344" s="55"/>
      <c r="J344" s="55" t="s">
        <v>137</v>
      </c>
      <c r="K344" s="55"/>
      <c r="L344" s="55">
        <v>1</v>
      </c>
      <c r="M344" s="55">
        <f t="shared" si="13"/>
        <v>1200</v>
      </c>
      <c r="N344" s="59">
        <f t="shared" si="14"/>
        <v>0.2397058823529416</v>
      </c>
    </row>
    <row r="345" spans="1:14" s="71" customFormat="1" ht="15" hidden="1" customHeight="1" x14ac:dyDescent="0.2">
      <c r="A345" s="65" t="s">
        <v>136</v>
      </c>
      <c r="B345" s="66" t="s">
        <v>39</v>
      </c>
      <c r="C345" s="66">
        <v>1300</v>
      </c>
      <c r="D345" s="67">
        <v>2000</v>
      </c>
      <c r="E345" s="65">
        <f>473.2+1546.6</f>
        <v>2019.8</v>
      </c>
      <c r="F345" s="65" t="s">
        <v>8</v>
      </c>
      <c r="G345" s="68" t="s">
        <v>146</v>
      </c>
      <c r="H345" s="65"/>
      <c r="I345" s="65"/>
      <c r="J345" s="65" t="s">
        <v>137</v>
      </c>
      <c r="K345" s="65"/>
      <c r="L345" s="65">
        <v>1</v>
      </c>
      <c r="M345" s="65">
        <f t="shared" si="13"/>
        <v>1300</v>
      </c>
      <c r="N345" s="70">
        <f t="shared" si="14"/>
        <v>-8.9592760180995254E-2</v>
      </c>
    </row>
    <row r="346" spans="1:14" s="52" customFormat="1" ht="15" hidden="1" customHeight="1" x14ac:dyDescent="0.2">
      <c r="A346" s="46" t="s">
        <v>136</v>
      </c>
      <c r="B346" s="47" t="s">
        <v>37</v>
      </c>
      <c r="C346" s="47">
        <v>600</v>
      </c>
      <c r="D346" s="48">
        <v>1000</v>
      </c>
      <c r="E346" s="46">
        <f>799.3+263.3</f>
        <v>1062.5999999999999</v>
      </c>
      <c r="F346" s="46" t="s">
        <v>8</v>
      </c>
      <c r="G346" s="49" t="s">
        <v>146</v>
      </c>
      <c r="H346" s="46"/>
      <c r="I346" s="46"/>
      <c r="J346" s="46" t="s">
        <v>137</v>
      </c>
      <c r="K346" s="46"/>
      <c r="L346" s="46">
        <v>1</v>
      </c>
      <c r="M346" s="46">
        <f t="shared" si="13"/>
        <v>600</v>
      </c>
      <c r="N346" s="51">
        <f t="shared" si="14"/>
        <v>-0.61372549019607747</v>
      </c>
    </row>
    <row r="347" spans="1:14" s="52" customFormat="1" ht="15" hidden="1" customHeight="1" x14ac:dyDescent="0.2">
      <c r="A347" s="46" t="s">
        <v>136</v>
      </c>
      <c r="B347" s="47" t="s">
        <v>37</v>
      </c>
      <c r="C347" s="47">
        <v>700</v>
      </c>
      <c r="D347" s="48">
        <v>500</v>
      </c>
      <c r="E347" s="46">
        <f>598.6</f>
        <v>598.6</v>
      </c>
      <c r="F347" s="46" t="s">
        <v>8</v>
      </c>
      <c r="G347" s="49" t="s">
        <v>183</v>
      </c>
      <c r="H347" s="46"/>
      <c r="I347" s="46"/>
      <c r="J347" s="46" t="s">
        <v>137</v>
      </c>
      <c r="K347" s="46"/>
      <c r="L347" s="46">
        <v>1</v>
      </c>
      <c r="M347" s="46">
        <f t="shared" si="13"/>
        <v>700</v>
      </c>
      <c r="N347" s="51">
        <f t="shared" si="14"/>
        <v>-0.82857142857142863</v>
      </c>
    </row>
    <row r="348" spans="1:14" s="52" customFormat="1" ht="15" hidden="1" customHeight="1" x14ac:dyDescent="0.2">
      <c r="A348" s="46" t="s">
        <v>136</v>
      </c>
      <c r="B348" s="47" t="s">
        <v>37</v>
      </c>
      <c r="C348" s="47">
        <v>740</v>
      </c>
      <c r="D348" s="48">
        <v>500</v>
      </c>
      <c r="E348" s="46">
        <f>496.3</f>
        <v>496.3</v>
      </c>
      <c r="F348" s="46" t="s">
        <v>8</v>
      </c>
      <c r="G348" s="49" t="s">
        <v>146</v>
      </c>
      <c r="H348" s="46"/>
      <c r="I348" s="46"/>
      <c r="J348" s="46" t="s">
        <v>137</v>
      </c>
      <c r="K348" s="46"/>
      <c r="L348" s="46">
        <v>1</v>
      </c>
      <c r="M348" s="46">
        <f t="shared" si="13"/>
        <v>740</v>
      </c>
      <c r="N348" s="51">
        <f t="shared" si="14"/>
        <v>2.9411764705882259E-2</v>
      </c>
    </row>
    <row r="349" spans="1:14" s="52" customFormat="1" ht="15" hidden="1" customHeight="1" x14ac:dyDescent="0.2">
      <c r="A349" s="46" t="s">
        <v>136</v>
      </c>
      <c r="B349" s="47" t="s">
        <v>37</v>
      </c>
      <c r="C349" s="47">
        <v>820</v>
      </c>
      <c r="D349" s="48">
        <v>500</v>
      </c>
      <c r="E349" s="46">
        <f>551.4</f>
        <v>551.4</v>
      </c>
      <c r="F349" s="46" t="s">
        <v>8</v>
      </c>
      <c r="G349" s="49" t="s">
        <v>146</v>
      </c>
      <c r="H349" s="46"/>
      <c r="I349" s="46"/>
      <c r="J349" s="46" t="s">
        <v>137</v>
      </c>
      <c r="K349" s="46"/>
      <c r="L349" s="46">
        <v>1</v>
      </c>
      <c r="M349" s="46">
        <f t="shared" si="13"/>
        <v>820</v>
      </c>
      <c r="N349" s="51">
        <f t="shared" si="14"/>
        <v>-0.36872309899569566</v>
      </c>
    </row>
    <row r="350" spans="1:14" s="52" customFormat="1" ht="15" hidden="1" customHeight="1" x14ac:dyDescent="0.2">
      <c r="A350" s="46" t="s">
        <v>136</v>
      </c>
      <c r="B350" s="47" t="s">
        <v>37</v>
      </c>
      <c r="C350" s="47">
        <v>930</v>
      </c>
      <c r="D350" s="48">
        <v>1000</v>
      </c>
      <c r="E350" s="46">
        <f>1044.3</f>
        <v>1044.3</v>
      </c>
      <c r="F350" s="46" t="s">
        <v>8</v>
      </c>
      <c r="G350" s="49" t="s">
        <v>146</v>
      </c>
      <c r="H350" s="46"/>
      <c r="I350" s="46"/>
      <c r="J350" s="46" t="s">
        <v>137</v>
      </c>
      <c r="K350" s="46"/>
      <c r="L350" s="46">
        <v>1</v>
      </c>
      <c r="M350" s="46">
        <f t="shared" si="13"/>
        <v>930</v>
      </c>
      <c r="N350" s="51">
        <f t="shared" si="14"/>
        <v>-0.28020240354206166</v>
      </c>
    </row>
    <row r="351" spans="1:14" s="52" customFormat="1" ht="15" hidden="1" customHeight="1" x14ac:dyDescent="0.2">
      <c r="A351" s="46" t="s">
        <v>136</v>
      </c>
      <c r="B351" s="47" t="s">
        <v>37</v>
      </c>
      <c r="C351" s="47">
        <v>1200</v>
      </c>
      <c r="D351" s="48">
        <v>1000</v>
      </c>
      <c r="E351" s="46">
        <f>1031.3</f>
        <v>1031.3</v>
      </c>
      <c r="F351" s="46" t="s">
        <v>8</v>
      </c>
      <c r="G351" s="49" t="s">
        <v>146</v>
      </c>
      <c r="H351" s="46"/>
      <c r="I351" s="46"/>
      <c r="J351" s="46" t="s">
        <v>137</v>
      </c>
      <c r="K351" s="46"/>
      <c r="L351" s="46">
        <v>1</v>
      </c>
      <c r="M351" s="46">
        <f t="shared" si="13"/>
        <v>1200</v>
      </c>
      <c r="N351" s="51">
        <f t="shared" si="14"/>
        <v>-0.15343137254901937</v>
      </c>
    </row>
    <row r="352" spans="1:14" s="52" customFormat="1" ht="15" hidden="1" customHeight="1" x14ac:dyDescent="0.2">
      <c r="A352" s="46" t="s">
        <v>136</v>
      </c>
      <c r="B352" s="47" t="s">
        <v>37</v>
      </c>
      <c r="C352" s="47">
        <v>1320</v>
      </c>
      <c r="D352" s="48">
        <v>1000</v>
      </c>
      <c r="E352" s="46">
        <f>1020.5</f>
        <v>1020.5</v>
      </c>
      <c r="F352" s="46" t="s">
        <v>8</v>
      </c>
      <c r="G352" s="49" t="s">
        <v>183</v>
      </c>
      <c r="H352" s="46"/>
      <c r="I352" s="46"/>
      <c r="J352" s="46" t="s">
        <v>137</v>
      </c>
      <c r="K352" s="46"/>
      <c r="L352" s="46">
        <v>1</v>
      </c>
      <c r="M352" s="46">
        <f t="shared" si="13"/>
        <v>1320</v>
      </c>
      <c r="N352" s="51">
        <f t="shared" si="14"/>
        <v>-9.1354723707664884E-2</v>
      </c>
    </row>
    <row r="353" spans="1:14" s="52" customFormat="1" ht="15" hidden="1" customHeight="1" x14ac:dyDescent="0.2">
      <c r="A353" s="46" t="s">
        <v>138</v>
      </c>
      <c r="B353" s="47" t="s">
        <v>37</v>
      </c>
      <c r="C353" s="47">
        <v>1280</v>
      </c>
      <c r="D353" s="48">
        <v>2000</v>
      </c>
      <c r="E353" s="46">
        <f>2011.9</f>
        <v>2011.9</v>
      </c>
      <c r="F353" s="46" t="s">
        <v>8</v>
      </c>
      <c r="G353" s="49">
        <v>3</v>
      </c>
      <c r="H353" s="46"/>
      <c r="I353" s="50">
        <v>43447</v>
      </c>
      <c r="J353" s="46" t="s">
        <v>139</v>
      </c>
      <c r="K353" s="46"/>
      <c r="L353" s="46">
        <v>1</v>
      </c>
      <c r="M353" s="46">
        <f t="shared" si="13"/>
        <v>1280</v>
      </c>
      <c r="N353" s="51">
        <f t="shared" si="14"/>
        <v>-5.4687500000000409E-2</v>
      </c>
    </row>
    <row r="354" spans="1:14" s="88" customFormat="1" ht="15" hidden="1" customHeight="1" x14ac:dyDescent="0.2">
      <c r="A354" s="82" t="s">
        <v>138</v>
      </c>
      <c r="B354" s="83" t="s">
        <v>36</v>
      </c>
      <c r="C354" s="83">
        <v>1050</v>
      </c>
      <c r="D354" s="84">
        <v>14000</v>
      </c>
      <c r="E354" s="82">
        <f>2218+2550.1+8842.7+483</f>
        <v>14093.800000000001</v>
      </c>
      <c r="F354" s="82" t="s">
        <v>8</v>
      </c>
      <c r="G354" s="85" t="s">
        <v>146</v>
      </c>
      <c r="H354" s="82"/>
      <c r="I354" s="86">
        <v>43447</v>
      </c>
      <c r="J354" s="82" t="s">
        <v>139</v>
      </c>
      <c r="K354" s="82"/>
      <c r="L354" s="82">
        <v>1</v>
      </c>
      <c r="M354" s="82">
        <f t="shared" si="13"/>
        <v>1050</v>
      </c>
      <c r="N354" s="87">
        <f t="shared" si="14"/>
        <v>-0.5254901960784375</v>
      </c>
    </row>
    <row r="355" spans="1:14" ht="15" hidden="1" customHeight="1" x14ac:dyDescent="0.2">
      <c r="A355" s="1" t="s">
        <v>138</v>
      </c>
      <c r="B355" s="2" t="s">
        <v>36</v>
      </c>
      <c r="C355" s="2">
        <v>1200</v>
      </c>
      <c r="D355" s="7">
        <v>2000</v>
      </c>
      <c r="E355" s="1">
        <f>1016.3+1115.2</f>
        <v>2131.5</v>
      </c>
      <c r="F355" s="1" t="s">
        <v>8</v>
      </c>
      <c r="G355" s="41" t="s">
        <v>146</v>
      </c>
      <c r="I355" s="8">
        <v>43447</v>
      </c>
      <c r="J355" s="16" t="s">
        <v>139</v>
      </c>
      <c r="L355" s="10">
        <v>1</v>
      </c>
      <c r="M355" s="18">
        <f t="shared" si="13"/>
        <v>1200</v>
      </c>
      <c r="N355" s="32">
        <f t="shared" si="14"/>
        <v>-0.64460784313725483</v>
      </c>
    </row>
    <row r="356" spans="1:14" s="88" customFormat="1" ht="15" hidden="1" customHeight="1" x14ac:dyDescent="0.2">
      <c r="A356" s="82" t="s">
        <v>140</v>
      </c>
      <c r="B356" s="83" t="s">
        <v>39</v>
      </c>
      <c r="C356" s="83">
        <v>600</v>
      </c>
      <c r="D356" s="84">
        <v>500</v>
      </c>
      <c r="E356" s="82">
        <f>386+127.2</f>
        <v>513.20000000000005</v>
      </c>
      <c r="F356" s="82" t="s">
        <v>8</v>
      </c>
      <c r="G356" s="85" t="s">
        <v>146</v>
      </c>
      <c r="H356" s="82"/>
      <c r="I356" s="86">
        <v>43448</v>
      </c>
      <c r="J356" s="82" t="s">
        <v>141</v>
      </c>
      <c r="K356" s="82"/>
      <c r="L356" s="82">
        <v>1</v>
      </c>
      <c r="M356" s="82">
        <f t="shared" si="13"/>
        <v>600</v>
      </c>
      <c r="N356" s="87">
        <f t="shared" si="14"/>
        <v>-0.12941176470588278</v>
      </c>
    </row>
    <row r="357" spans="1:14" s="88" customFormat="1" ht="15" hidden="1" customHeight="1" x14ac:dyDescent="0.2">
      <c r="A357" s="82" t="s">
        <v>140</v>
      </c>
      <c r="B357" s="83" t="s">
        <v>39</v>
      </c>
      <c r="C357" s="83">
        <v>645</v>
      </c>
      <c r="D357" s="84">
        <f>800+900</f>
        <v>1700</v>
      </c>
      <c r="E357" s="82">
        <f>784+949.3</f>
        <v>1733.3</v>
      </c>
      <c r="F357" s="82" t="s">
        <v>8</v>
      </c>
      <c r="G357" s="85" t="s">
        <v>146</v>
      </c>
      <c r="H357" s="82"/>
      <c r="I357" s="86">
        <v>43448</v>
      </c>
      <c r="J357" s="82" t="s">
        <v>141</v>
      </c>
      <c r="K357" s="82"/>
      <c r="L357" s="82">
        <v>1</v>
      </c>
      <c r="M357" s="82">
        <f t="shared" si="13"/>
        <v>645</v>
      </c>
      <c r="N357" s="87">
        <f t="shared" si="14"/>
        <v>-0.30369357045143597</v>
      </c>
    </row>
    <row r="358" spans="1:14" s="78" customFormat="1" ht="15" hidden="1" customHeight="1" x14ac:dyDescent="0.2">
      <c r="A358" s="16" t="s">
        <v>140</v>
      </c>
      <c r="B358" s="73" t="s">
        <v>39</v>
      </c>
      <c r="C358" s="73">
        <v>660</v>
      </c>
      <c r="D358" s="74">
        <v>500</v>
      </c>
      <c r="E358" s="16">
        <f>962.1</f>
        <v>962.1</v>
      </c>
      <c r="F358" s="16" t="s">
        <v>8</v>
      </c>
      <c r="G358" s="75" t="s">
        <v>146</v>
      </c>
      <c r="H358" s="16"/>
      <c r="I358" s="76">
        <v>43448</v>
      </c>
      <c r="J358" s="16" t="s">
        <v>141</v>
      </c>
      <c r="K358" s="16"/>
      <c r="L358" s="16">
        <v>1</v>
      </c>
      <c r="M358" s="16">
        <f t="shared" si="13"/>
        <v>660</v>
      </c>
      <c r="N358" s="77">
        <f t="shared" si="14"/>
        <v>-4.118538324420677</v>
      </c>
    </row>
    <row r="359" spans="1:14" s="88" customFormat="1" ht="15" hidden="1" customHeight="1" x14ac:dyDescent="0.2">
      <c r="A359" s="82" t="s">
        <v>140</v>
      </c>
      <c r="B359" s="83" t="s">
        <v>39</v>
      </c>
      <c r="C359" s="83">
        <v>720</v>
      </c>
      <c r="D359" s="84">
        <v>1400</v>
      </c>
      <c r="E359" s="82">
        <f>1335.6</f>
        <v>1335.6</v>
      </c>
      <c r="F359" s="82" t="s">
        <v>8</v>
      </c>
      <c r="G359" s="85" t="s">
        <v>146</v>
      </c>
      <c r="H359" s="82"/>
      <c r="I359" s="86">
        <v>43448</v>
      </c>
      <c r="J359" s="82" t="s">
        <v>141</v>
      </c>
      <c r="K359" s="82"/>
      <c r="L359" s="82">
        <v>1</v>
      </c>
      <c r="M359" s="82">
        <f t="shared" si="13"/>
        <v>720</v>
      </c>
      <c r="N359" s="87">
        <f t="shared" si="14"/>
        <v>0.52614379084967389</v>
      </c>
    </row>
    <row r="360" spans="1:14" s="52" customFormat="1" ht="15" hidden="1" customHeight="1" x14ac:dyDescent="0.2">
      <c r="A360" s="46" t="s">
        <v>140</v>
      </c>
      <c r="B360" s="47" t="s">
        <v>37</v>
      </c>
      <c r="C360" s="47">
        <v>690</v>
      </c>
      <c r="D360" s="48">
        <v>800</v>
      </c>
      <c r="E360" s="46">
        <f>813.3</f>
        <v>813.3</v>
      </c>
      <c r="F360" s="46" t="s">
        <v>8</v>
      </c>
      <c r="G360" s="49">
        <v>4</v>
      </c>
      <c r="H360" s="46"/>
      <c r="I360" s="50">
        <v>43448</v>
      </c>
      <c r="J360" s="46" t="s">
        <v>141</v>
      </c>
      <c r="K360" s="46"/>
      <c r="L360" s="46">
        <v>1</v>
      </c>
      <c r="M360" s="46">
        <f t="shared" ref="M360:M365" si="15">L360*C360</f>
        <v>690</v>
      </c>
      <c r="N360" s="51">
        <f t="shared" ref="N360:N365" si="16">(D360-E360)/(M360*0.17)</f>
        <v>-0.11338448422847359</v>
      </c>
    </row>
    <row r="361" spans="1:14" s="52" customFormat="1" ht="15" hidden="1" customHeight="1" x14ac:dyDescent="0.2">
      <c r="A361" s="46" t="s">
        <v>140</v>
      </c>
      <c r="B361" s="47" t="s">
        <v>37</v>
      </c>
      <c r="C361" s="47">
        <v>960</v>
      </c>
      <c r="D361" s="48">
        <v>800</v>
      </c>
      <c r="E361" s="46">
        <f>859.5</f>
        <v>859.5</v>
      </c>
      <c r="F361" s="46" t="s">
        <v>8</v>
      </c>
      <c r="G361" s="49" t="s">
        <v>146</v>
      </c>
      <c r="H361" s="46"/>
      <c r="I361" s="50">
        <v>43448</v>
      </c>
      <c r="J361" s="46" t="s">
        <v>141</v>
      </c>
      <c r="K361" s="46"/>
      <c r="L361" s="46">
        <v>1</v>
      </c>
      <c r="M361" s="46">
        <f t="shared" si="15"/>
        <v>960</v>
      </c>
      <c r="N361" s="51">
        <f t="shared" si="16"/>
        <v>-0.36458333333333331</v>
      </c>
    </row>
    <row r="362" spans="1:14" ht="15" hidden="1" customHeight="1" x14ac:dyDescent="0.2">
      <c r="A362" s="1" t="s">
        <v>140</v>
      </c>
      <c r="B362" s="2" t="s">
        <v>38</v>
      </c>
      <c r="C362" s="2">
        <v>720</v>
      </c>
      <c r="D362" s="7">
        <v>1800</v>
      </c>
      <c r="E362" s="1">
        <f>1276+568.3</f>
        <v>1844.3</v>
      </c>
      <c r="F362" s="3" t="s">
        <v>8</v>
      </c>
      <c r="G362" s="41">
        <v>3</v>
      </c>
      <c r="I362" s="8">
        <v>43448</v>
      </c>
      <c r="J362" s="16" t="s">
        <v>141</v>
      </c>
      <c r="L362" s="10">
        <v>1</v>
      </c>
      <c r="M362" s="10">
        <f t="shared" si="15"/>
        <v>720</v>
      </c>
      <c r="N362" s="29">
        <f t="shared" si="16"/>
        <v>-0.361928104575163</v>
      </c>
    </row>
    <row r="363" spans="1:14" ht="15" hidden="1" customHeight="1" x14ac:dyDescent="0.2">
      <c r="A363" s="1" t="s">
        <v>140</v>
      </c>
      <c r="B363" s="2" t="s">
        <v>38</v>
      </c>
      <c r="C363" s="2">
        <v>760</v>
      </c>
      <c r="D363" s="7">
        <v>1200</v>
      </c>
      <c r="E363" s="1">
        <f>637.3+591.6</f>
        <v>1228.9000000000001</v>
      </c>
      <c r="F363" s="3" t="s">
        <v>8</v>
      </c>
      <c r="G363" s="41">
        <v>3</v>
      </c>
      <c r="I363" s="8">
        <v>43448</v>
      </c>
      <c r="J363" s="16" t="s">
        <v>141</v>
      </c>
      <c r="L363" s="10">
        <v>1</v>
      </c>
      <c r="M363" s="10">
        <f t="shared" si="15"/>
        <v>760</v>
      </c>
      <c r="N363" s="29">
        <f t="shared" si="16"/>
        <v>-0.22368421052631646</v>
      </c>
    </row>
    <row r="364" spans="1:14" s="52" customFormat="1" ht="15" hidden="1" customHeight="1" x14ac:dyDescent="0.2">
      <c r="A364" s="46" t="s">
        <v>140</v>
      </c>
      <c r="B364" s="47" t="s">
        <v>38</v>
      </c>
      <c r="C364" s="47">
        <v>850</v>
      </c>
      <c r="D364" s="48">
        <v>1000</v>
      </c>
      <c r="E364" s="46">
        <f>1047.8</f>
        <v>1047.8</v>
      </c>
      <c r="F364" s="3" t="s">
        <v>8</v>
      </c>
      <c r="G364" s="49">
        <v>3</v>
      </c>
      <c r="H364" s="46"/>
      <c r="I364" s="50">
        <v>43448</v>
      </c>
      <c r="J364" s="46" t="s">
        <v>141</v>
      </c>
      <c r="K364" s="46"/>
      <c r="L364" s="46">
        <v>1</v>
      </c>
      <c r="M364" s="46">
        <f t="shared" si="15"/>
        <v>850</v>
      </c>
      <c r="N364" s="51">
        <f t="shared" si="16"/>
        <v>-0.33079584775086474</v>
      </c>
    </row>
    <row r="365" spans="1:14" ht="15" hidden="1" customHeight="1" x14ac:dyDescent="0.2">
      <c r="A365" s="1" t="s">
        <v>140</v>
      </c>
      <c r="B365" s="2" t="s">
        <v>38</v>
      </c>
      <c r="C365" s="2">
        <v>1000</v>
      </c>
      <c r="D365" s="7">
        <v>1400</v>
      </c>
      <c r="E365" s="1">
        <f>698.8+451+348.8</f>
        <v>1498.6</v>
      </c>
      <c r="F365" s="3" t="s">
        <v>8</v>
      </c>
      <c r="G365" s="41">
        <v>3</v>
      </c>
      <c r="I365" s="8">
        <v>43448</v>
      </c>
      <c r="J365" s="16" t="s">
        <v>141</v>
      </c>
      <c r="L365" s="10">
        <v>1</v>
      </c>
      <c r="M365" s="10">
        <f t="shared" si="15"/>
        <v>1000</v>
      </c>
      <c r="N365" s="29">
        <f t="shared" si="16"/>
        <v>-0.57999999999999952</v>
      </c>
    </row>
    <row r="366" spans="1:14" ht="15" hidden="1" customHeight="1" x14ac:dyDescent="0.2">
      <c r="A366" s="1" t="s">
        <v>140</v>
      </c>
      <c r="B366" s="2" t="s">
        <v>36</v>
      </c>
      <c r="C366" s="2">
        <v>760</v>
      </c>
      <c r="D366" s="7">
        <v>3700</v>
      </c>
      <c r="E366" s="1">
        <f>3169.2+525.5</f>
        <v>3694.7</v>
      </c>
      <c r="F366" s="1" t="s">
        <v>8</v>
      </c>
      <c r="G366" s="41">
        <v>3</v>
      </c>
      <c r="I366" s="8">
        <v>43448</v>
      </c>
      <c r="J366" s="16" t="s">
        <v>141</v>
      </c>
      <c r="M366" s="18">
        <f>L366*C366</f>
        <v>0</v>
      </c>
      <c r="N366" s="32" t="e">
        <f>(D366-E366)/(M366*0.17)</f>
        <v>#DIV/0!</v>
      </c>
    </row>
    <row r="367" spans="1:14" ht="15" hidden="1" customHeight="1" x14ac:dyDescent="0.2">
      <c r="A367" s="1" t="s">
        <v>140</v>
      </c>
      <c r="B367" s="2" t="s">
        <v>36</v>
      </c>
      <c r="C367" s="2">
        <v>840</v>
      </c>
      <c r="D367" s="7">
        <v>1000</v>
      </c>
      <c r="E367" s="1">
        <f>773.5+168.5</f>
        <v>942</v>
      </c>
      <c r="F367" s="1" t="s">
        <v>8</v>
      </c>
      <c r="G367" s="41">
        <v>3</v>
      </c>
      <c r="I367" s="8">
        <v>43448</v>
      </c>
      <c r="J367" s="16" t="s">
        <v>141</v>
      </c>
    </row>
    <row r="368" spans="1:14" ht="15" hidden="1" customHeight="1" x14ac:dyDescent="0.2">
      <c r="A368" s="1" t="s">
        <v>140</v>
      </c>
      <c r="B368" s="2" t="s">
        <v>36</v>
      </c>
      <c r="C368" s="2">
        <v>860</v>
      </c>
      <c r="D368" s="7">
        <v>1500</v>
      </c>
      <c r="E368" s="1">
        <f>1527</f>
        <v>1527</v>
      </c>
      <c r="F368" s="1" t="s">
        <v>8</v>
      </c>
      <c r="G368" s="41">
        <v>3</v>
      </c>
      <c r="H368" s="1" t="s">
        <v>254</v>
      </c>
      <c r="I368" s="8">
        <v>43448</v>
      </c>
      <c r="J368" s="16" t="s">
        <v>141</v>
      </c>
    </row>
    <row r="369" spans="1:14" ht="15" hidden="1" customHeight="1" x14ac:dyDescent="0.2">
      <c r="A369" s="1" t="s">
        <v>140</v>
      </c>
      <c r="B369" s="2" t="s">
        <v>36</v>
      </c>
      <c r="C369" s="2">
        <v>960</v>
      </c>
      <c r="D369" s="7">
        <v>1500</v>
      </c>
      <c r="F369" s="1" t="s">
        <v>123</v>
      </c>
      <c r="I369" s="8">
        <v>43448</v>
      </c>
      <c r="J369" s="16" t="s">
        <v>141</v>
      </c>
    </row>
    <row r="370" spans="1:14" ht="15" hidden="1" customHeight="1" x14ac:dyDescent="0.2">
      <c r="A370" s="1" t="s">
        <v>140</v>
      </c>
      <c r="B370" s="2" t="s">
        <v>36</v>
      </c>
      <c r="C370" s="2">
        <v>1000</v>
      </c>
      <c r="D370" s="7">
        <v>2000</v>
      </c>
      <c r="E370" s="1">
        <f>1973.4</f>
        <v>1973.4</v>
      </c>
      <c r="F370" s="1" t="s">
        <v>8</v>
      </c>
      <c r="G370" s="41">
        <v>3</v>
      </c>
      <c r="I370" s="8">
        <v>43448</v>
      </c>
      <c r="J370" s="16" t="s">
        <v>141</v>
      </c>
    </row>
    <row r="371" spans="1:14" s="104" customFormat="1" ht="15" hidden="1" customHeight="1" x14ac:dyDescent="0.2">
      <c r="A371" s="98" t="s">
        <v>142</v>
      </c>
      <c r="B371" s="99" t="s">
        <v>40</v>
      </c>
      <c r="C371" s="99">
        <v>740</v>
      </c>
      <c r="D371" s="100">
        <v>1000</v>
      </c>
      <c r="E371" s="98">
        <f>320.5+605.8</f>
        <v>926.3</v>
      </c>
      <c r="F371" s="98" t="s">
        <v>8</v>
      </c>
      <c r="G371" s="101" t="s">
        <v>146</v>
      </c>
      <c r="H371" s="98"/>
      <c r="I371" s="102">
        <v>43448</v>
      </c>
      <c r="J371" s="98" t="s">
        <v>13</v>
      </c>
      <c r="K371" s="98"/>
      <c r="L371" s="98">
        <v>1</v>
      </c>
      <c r="M371" s="98">
        <f t="shared" ref="M371:M425" si="17">L371*C371</f>
        <v>740</v>
      </c>
      <c r="N371" s="103">
        <f t="shared" ref="N371:N422" si="18">(D371-E371)/(M371*0.17)</f>
        <v>0.58585055643879203</v>
      </c>
    </row>
    <row r="372" spans="1:14" s="96" customFormat="1" ht="15" hidden="1" customHeight="1" x14ac:dyDescent="0.2">
      <c r="A372" s="90" t="s">
        <v>142</v>
      </c>
      <c r="B372" s="91" t="s">
        <v>40</v>
      </c>
      <c r="C372" s="91">
        <v>600</v>
      </c>
      <c r="D372" s="92">
        <v>1000</v>
      </c>
      <c r="E372" s="90">
        <f>139.1+267.4+672.6</f>
        <v>1079.0999999999999</v>
      </c>
      <c r="F372" s="90" t="s">
        <v>8</v>
      </c>
      <c r="G372" s="93" t="s">
        <v>146</v>
      </c>
      <c r="H372" s="90"/>
      <c r="I372" s="94">
        <v>43448</v>
      </c>
      <c r="J372" s="90" t="s">
        <v>13</v>
      </c>
      <c r="K372" s="90"/>
      <c r="L372" s="90">
        <v>1</v>
      </c>
      <c r="M372" s="90">
        <f t="shared" si="17"/>
        <v>600</v>
      </c>
      <c r="N372" s="95">
        <f t="shared" si="18"/>
        <v>-0.77549019607843039</v>
      </c>
    </row>
    <row r="373" spans="1:14" s="96" customFormat="1" ht="15" hidden="1" customHeight="1" x14ac:dyDescent="0.2">
      <c r="A373" s="90" t="s">
        <v>142</v>
      </c>
      <c r="B373" s="91" t="s">
        <v>40</v>
      </c>
      <c r="C373" s="91">
        <v>1200</v>
      </c>
      <c r="D373" s="92">
        <v>500</v>
      </c>
      <c r="E373" s="90">
        <f>524.1</f>
        <v>524.1</v>
      </c>
      <c r="F373" s="90" t="s">
        <v>8</v>
      </c>
      <c r="G373" s="93" t="s">
        <v>146</v>
      </c>
      <c r="H373" s="90"/>
      <c r="I373" s="94">
        <v>43448</v>
      </c>
      <c r="J373" s="90" t="s">
        <v>13</v>
      </c>
      <c r="K373" s="90"/>
      <c r="L373" s="90">
        <v>1</v>
      </c>
      <c r="M373" s="90">
        <f t="shared" si="17"/>
        <v>1200</v>
      </c>
      <c r="N373" s="95">
        <f t="shared" si="18"/>
        <v>-0.11813725490196088</v>
      </c>
    </row>
    <row r="374" spans="1:14" s="104" customFormat="1" ht="15" hidden="1" customHeight="1" x14ac:dyDescent="0.2">
      <c r="A374" s="98" t="s">
        <v>142</v>
      </c>
      <c r="B374" s="99" t="s">
        <v>40</v>
      </c>
      <c r="C374" s="99">
        <v>780</v>
      </c>
      <c r="D374" s="100">
        <v>500</v>
      </c>
      <c r="E374" s="98">
        <f>167.2+317</f>
        <v>484.2</v>
      </c>
      <c r="F374" s="98" t="s">
        <v>8</v>
      </c>
      <c r="G374" s="101" t="s">
        <v>146</v>
      </c>
      <c r="H374" s="98"/>
      <c r="I374" s="102">
        <v>43448</v>
      </c>
      <c r="J374" s="98" t="s">
        <v>13</v>
      </c>
      <c r="K374" s="98"/>
      <c r="L374" s="98">
        <v>1</v>
      </c>
      <c r="M374" s="98">
        <f t="shared" si="17"/>
        <v>780</v>
      </c>
      <c r="N374" s="103">
        <f t="shared" si="18"/>
        <v>0.11915535444947216</v>
      </c>
    </row>
    <row r="375" spans="1:14" s="96" customFormat="1" ht="15" hidden="1" customHeight="1" x14ac:dyDescent="0.2">
      <c r="A375" s="90" t="s">
        <v>142</v>
      </c>
      <c r="B375" s="91" t="s">
        <v>40</v>
      </c>
      <c r="C375" s="91">
        <v>1080</v>
      </c>
      <c r="D375" s="92">
        <v>500</v>
      </c>
      <c r="E375" s="90">
        <f>467.4</f>
        <v>467.4</v>
      </c>
      <c r="F375" s="90" t="s">
        <v>8</v>
      </c>
      <c r="G375" s="93" t="s">
        <v>146</v>
      </c>
      <c r="H375" s="90"/>
      <c r="I375" s="94">
        <v>43448</v>
      </c>
      <c r="J375" s="90" t="s">
        <v>13</v>
      </c>
      <c r="K375" s="90"/>
      <c r="L375" s="90">
        <v>1</v>
      </c>
      <c r="M375" s="90">
        <f t="shared" si="17"/>
        <v>1080</v>
      </c>
      <c r="N375" s="95">
        <f t="shared" si="18"/>
        <v>0.17755991285403061</v>
      </c>
    </row>
    <row r="376" spans="1:14" s="96" customFormat="1" ht="15" hidden="1" customHeight="1" x14ac:dyDescent="0.2">
      <c r="A376" s="90" t="s">
        <v>142</v>
      </c>
      <c r="B376" s="91" t="s">
        <v>40</v>
      </c>
      <c r="C376" s="91">
        <v>1040</v>
      </c>
      <c r="D376" s="92">
        <v>500</v>
      </c>
      <c r="E376" s="90">
        <f>457</f>
        <v>457</v>
      </c>
      <c r="F376" s="90" t="s">
        <v>8</v>
      </c>
      <c r="G376" s="93" t="s">
        <v>146</v>
      </c>
      <c r="H376" s="90"/>
      <c r="I376" s="94">
        <v>43448</v>
      </c>
      <c r="J376" s="90" t="s">
        <v>13</v>
      </c>
      <c r="K376" s="90"/>
      <c r="L376" s="90">
        <v>1</v>
      </c>
      <c r="M376" s="90">
        <f t="shared" si="17"/>
        <v>1040</v>
      </c>
      <c r="N376" s="95">
        <f t="shared" si="18"/>
        <v>0.24321266968325791</v>
      </c>
    </row>
    <row r="377" spans="1:14" s="96" customFormat="1" ht="15" hidden="1" customHeight="1" x14ac:dyDescent="0.2">
      <c r="A377" s="90" t="s">
        <v>142</v>
      </c>
      <c r="B377" s="91" t="s">
        <v>40</v>
      </c>
      <c r="C377" s="91">
        <v>1000</v>
      </c>
      <c r="D377" s="92">
        <v>500</v>
      </c>
      <c r="E377" s="90">
        <f>465.2</f>
        <v>465.2</v>
      </c>
      <c r="F377" s="90" t="s">
        <v>8</v>
      </c>
      <c r="G377" s="93" t="s">
        <v>146</v>
      </c>
      <c r="H377" s="90"/>
      <c r="I377" s="94">
        <v>43448</v>
      </c>
      <c r="J377" s="90" t="s">
        <v>13</v>
      </c>
      <c r="K377" s="90"/>
      <c r="L377" s="90">
        <v>1</v>
      </c>
      <c r="M377" s="90">
        <f t="shared" si="17"/>
        <v>1000</v>
      </c>
      <c r="N377" s="95">
        <f t="shared" si="18"/>
        <v>0.20470588235294124</v>
      </c>
    </row>
    <row r="378" spans="1:14" s="96" customFormat="1" ht="15" hidden="1" customHeight="1" x14ac:dyDescent="0.2">
      <c r="A378" s="90" t="s">
        <v>142</v>
      </c>
      <c r="B378" s="91" t="s">
        <v>40</v>
      </c>
      <c r="C378" s="91">
        <v>860</v>
      </c>
      <c r="D378" s="92">
        <v>800</v>
      </c>
      <c r="E378" s="90">
        <f>749.8</f>
        <v>749.8</v>
      </c>
      <c r="F378" s="90" t="s">
        <v>8</v>
      </c>
      <c r="G378" s="93" t="s">
        <v>146</v>
      </c>
      <c r="H378" s="90"/>
      <c r="I378" s="94">
        <v>43448</v>
      </c>
      <c r="J378" s="90" t="s">
        <v>13</v>
      </c>
      <c r="K378" s="90"/>
      <c r="L378" s="90">
        <v>1</v>
      </c>
      <c r="M378" s="90">
        <f t="shared" si="17"/>
        <v>860</v>
      </c>
      <c r="N378" s="95">
        <f t="shared" si="18"/>
        <v>0.34336525307797566</v>
      </c>
    </row>
    <row r="379" spans="1:14" s="88" customFormat="1" ht="15" hidden="1" customHeight="1" x14ac:dyDescent="0.2">
      <c r="A379" s="82" t="s">
        <v>142</v>
      </c>
      <c r="B379" s="83" t="s">
        <v>39</v>
      </c>
      <c r="C379" s="83">
        <v>600</v>
      </c>
      <c r="D379" s="84">
        <v>500</v>
      </c>
      <c r="E379" s="82">
        <f>386.7+128</f>
        <v>514.70000000000005</v>
      </c>
      <c r="F379" s="82" t="s">
        <v>8</v>
      </c>
      <c r="G379" s="85" t="s">
        <v>146</v>
      </c>
      <c r="H379" s="82"/>
      <c r="I379" s="86">
        <v>43448</v>
      </c>
      <c r="J379" s="82" t="s">
        <v>13</v>
      </c>
      <c r="K379" s="82"/>
      <c r="L379" s="82">
        <v>1</v>
      </c>
      <c r="M379" s="82">
        <f t="shared" si="17"/>
        <v>600</v>
      </c>
      <c r="N379" s="87">
        <f t="shared" si="18"/>
        <v>-0.14411764705882396</v>
      </c>
    </row>
    <row r="380" spans="1:14" s="88" customFormat="1" ht="15" hidden="1" customHeight="1" x14ac:dyDescent="0.2">
      <c r="A380" s="82" t="s">
        <v>142</v>
      </c>
      <c r="B380" s="83" t="s">
        <v>39</v>
      </c>
      <c r="C380" s="83">
        <v>680</v>
      </c>
      <c r="D380" s="84">
        <v>1000</v>
      </c>
      <c r="E380" s="82">
        <f>1084.4</f>
        <v>1084.4000000000001</v>
      </c>
      <c r="F380" s="82" t="s">
        <v>8</v>
      </c>
      <c r="G380" s="85" t="s">
        <v>146</v>
      </c>
      <c r="H380" s="82"/>
      <c r="I380" s="86">
        <v>43448</v>
      </c>
      <c r="J380" s="82" t="s">
        <v>13</v>
      </c>
      <c r="K380" s="82"/>
      <c r="L380" s="82">
        <v>1</v>
      </c>
      <c r="M380" s="82">
        <f t="shared" si="17"/>
        <v>680</v>
      </c>
      <c r="N380" s="87">
        <f t="shared" si="18"/>
        <v>-0.73010380622837445</v>
      </c>
    </row>
    <row r="381" spans="1:14" s="88" customFormat="1" ht="15" hidden="1" customHeight="1" x14ac:dyDescent="0.2">
      <c r="A381" s="82" t="s">
        <v>142</v>
      </c>
      <c r="B381" s="83" t="s">
        <v>39</v>
      </c>
      <c r="C381" s="83">
        <v>1020</v>
      </c>
      <c r="D381" s="84">
        <v>500</v>
      </c>
      <c r="E381" s="82">
        <f>558.5</f>
        <v>558.5</v>
      </c>
      <c r="F381" s="82" t="s">
        <v>8</v>
      </c>
      <c r="G381" s="85" t="s">
        <v>146</v>
      </c>
      <c r="H381" s="82"/>
      <c r="I381" s="86">
        <v>43448</v>
      </c>
      <c r="J381" s="82" t="s">
        <v>13</v>
      </c>
      <c r="K381" s="82"/>
      <c r="L381" s="82">
        <v>1</v>
      </c>
      <c r="M381" s="82">
        <f t="shared" si="17"/>
        <v>1020</v>
      </c>
      <c r="N381" s="87">
        <f t="shared" si="18"/>
        <v>-0.33737024221453288</v>
      </c>
    </row>
    <row r="382" spans="1:14" s="88" customFormat="1" ht="15" hidden="1" customHeight="1" x14ac:dyDescent="0.2">
      <c r="A382" s="82" t="s">
        <v>142</v>
      </c>
      <c r="B382" s="83" t="s">
        <v>39</v>
      </c>
      <c r="C382" s="83">
        <v>1080</v>
      </c>
      <c r="D382" s="84">
        <v>1000</v>
      </c>
      <c r="E382" s="82">
        <f>1040.8</f>
        <v>1040.8</v>
      </c>
      <c r="F382" s="82" t="s">
        <v>8</v>
      </c>
      <c r="G382" s="85" t="s">
        <v>146</v>
      </c>
      <c r="H382" s="82"/>
      <c r="I382" s="86">
        <v>43448</v>
      </c>
      <c r="J382" s="82" t="s">
        <v>13</v>
      </c>
      <c r="K382" s="82"/>
      <c r="L382" s="82">
        <v>1</v>
      </c>
      <c r="M382" s="82">
        <f t="shared" si="17"/>
        <v>1080</v>
      </c>
      <c r="N382" s="87">
        <f t="shared" si="18"/>
        <v>-0.22222222222222196</v>
      </c>
    </row>
    <row r="383" spans="1:14" s="88" customFormat="1" ht="15" hidden="1" customHeight="1" x14ac:dyDescent="0.2">
      <c r="A383" s="82" t="s">
        <v>142</v>
      </c>
      <c r="B383" s="83" t="s">
        <v>39</v>
      </c>
      <c r="C383" s="83">
        <v>1180</v>
      </c>
      <c r="D383" s="84">
        <v>1000</v>
      </c>
      <c r="E383" s="82">
        <f>757+251.4</f>
        <v>1008.4</v>
      </c>
      <c r="F383" s="82" t="s">
        <v>8</v>
      </c>
      <c r="G383" s="85" t="s">
        <v>146</v>
      </c>
      <c r="H383" s="82"/>
      <c r="I383" s="86">
        <v>43448</v>
      </c>
      <c r="J383" s="82" t="s">
        <v>13</v>
      </c>
      <c r="K383" s="82"/>
      <c r="L383" s="82">
        <v>1</v>
      </c>
      <c r="M383" s="82">
        <f t="shared" si="17"/>
        <v>1180</v>
      </c>
      <c r="N383" s="87">
        <f t="shared" si="18"/>
        <v>-4.1874376869391709E-2</v>
      </c>
    </row>
    <row r="384" spans="1:14" s="88" customFormat="1" ht="15" hidden="1" customHeight="1" x14ac:dyDescent="0.2">
      <c r="A384" s="82" t="s">
        <v>142</v>
      </c>
      <c r="B384" s="83" t="s">
        <v>39</v>
      </c>
      <c r="C384" s="54">
        <v>1200</v>
      </c>
      <c r="D384" s="84">
        <v>2000</v>
      </c>
      <c r="E384" s="82">
        <f>1547.4+514.6</f>
        <v>2062</v>
      </c>
      <c r="F384" s="82" t="s">
        <v>8</v>
      </c>
      <c r="G384" s="85" t="s">
        <v>146</v>
      </c>
      <c r="H384" s="82"/>
      <c r="I384" s="86">
        <v>43448</v>
      </c>
      <c r="J384" s="82" t="s">
        <v>13</v>
      </c>
      <c r="K384" s="82"/>
      <c r="L384" s="82">
        <v>1</v>
      </c>
      <c r="M384" s="82">
        <f t="shared" si="17"/>
        <v>1200</v>
      </c>
      <c r="N384" s="87">
        <f t="shared" si="18"/>
        <v>-0.30392156862745096</v>
      </c>
    </row>
    <row r="385" spans="1:14" s="88" customFormat="1" ht="15" hidden="1" customHeight="1" x14ac:dyDescent="0.2">
      <c r="A385" s="82" t="s">
        <v>142</v>
      </c>
      <c r="B385" s="83" t="s">
        <v>39</v>
      </c>
      <c r="C385" s="83">
        <v>800</v>
      </c>
      <c r="D385" s="84">
        <v>1000</v>
      </c>
      <c r="E385" s="82">
        <f>1087.2</f>
        <v>1087.2</v>
      </c>
      <c r="F385" s="82" t="s">
        <v>8</v>
      </c>
      <c r="G385" s="85" t="s">
        <v>146</v>
      </c>
      <c r="H385" s="82"/>
      <c r="I385" s="86">
        <v>43448</v>
      </c>
      <c r="J385" s="82" t="s">
        <v>13</v>
      </c>
      <c r="K385" s="82"/>
      <c r="L385" s="82">
        <v>1</v>
      </c>
      <c r="M385" s="82">
        <f t="shared" si="17"/>
        <v>800</v>
      </c>
      <c r="N385" s="87">
        <f t="shared" si="18"/>
        <v>-0.64117647058823568</v>
      </c>
    </row>
    <row r="386" spans="1:14" ht="15" hidden="1" customHeight="1" x14ac:dyDescent="0.2">
      <c r="A386" s="1" t="s">
        <v>142</v>
      </c>
      <c r="B386" s="2" t="s">
        <v>39</v>
      </c>
      <c r="C386" s="2">
        <v>700</v>
      </c>
      <c r="D386" s="7">
        <v>1000</v>
      </c>
      <c r="E386" s="1">
        <f>1074.5</f>
        <v>1074.5</v>
      </c>
      <c r="F386" s="1" t="s">
        <v>8</v>
      </c>
      <c r="G386" s="41">
        <v>4</v>
      </c>
      <c r="I386" s="8">
        <v>43448</v>
      </c>
      <c r="J386" s="16" t="s">
        <v>13</v>
      </c>
      <c r="L386" s="10">
        <v>1</v>
      </c>
      <c r="M386" s="10">
        <f t="shared" si="17"/>
        <v>700</v>
      </c>
      <c r="N386" s="29">
        <f t="shared" si="18"/>
        <v>-0.62605042016806711</v>
      </c>
    </row>
    <row r="387" spans="1:14" s="88" customFormat="1" ht="15" hidden="1" customHeight="1" x14ac:dyDescent="0.2">
      <c r="A387" s="82" t="s">
        <v>142</v>
      </c>
      <c r="B387" s="83" t="s">
        <v>39</v>
      </c>
      <c r="C387" s="83">
        <v>940</v>
      </c>
      <c r="D387" s="84">
        <v>500</v>
      </c>
      <c r="E387" s="82">
        <f>519.6</f>
        <v>519.6</v>
      </c>
      <c r="F387" s="82" t="s">
        <v>8</v>
      </c>
      <c r="G387" s="85" t="s">
        <v>146</v>
      </c>
      <c r="H387" s="82"/>
      <c r="I387" s="86">
        <v>43448</v>
      </c>
      <c r="J387" s="82" t="s">
        <v>13</v>
      </c>
      <c r="K387" s="82"/>
      <c r="L387" s="82">
        <v>1</v>
      </c>
      <c r="M387" s="82">
        <f t="shared" si="17"/>
        <v>940</v>
      </c>
      <c r="N387" s="87">
        <f t="shared" si="18"/>
        <v>-0.12265331664580739</v>
      </c>
    </row>
    <row r="388" spans="1:14" s="88" customFormat="1" ht="15" hidden="1" customHeight="1" x14ac:dyDescent="0.2">
      <c r="A388" s="82" t="s">
        <v>142</v>
      </c>
      <c r="B388" s="83" t="s">
        <v>39</v>
      </c>
      <c r="C388" s="83">
        <v>960</v>
      </c>
      <c r="D388" s="84">
        <v>1000</v>
      </c>
      <c r="E388" s="82">
        <f>1058.3</f>
        <v>1058.3</v>
      </c>
      <c r="F388" s="82" t="s">
        <v>8</v>
      </c>
      <c r="G388" s="85" t="s">
        <v>146</v>
      </c>
      <c r="H388" s="82"/>
      <c r="I388" s="86">
        <v>43448</v>
      </c>
      <c r="J388" s="82" t="s">
        <v>13</v>
      </c>
      <c r="K388" s="82"/>
      <c r="L388" s="82">
        <v>1</v>
      </c>
      <c r="M388" s="82">
        <f t="shared" si="17"/>
        <v>960</v>
      </c>
      <c r="N388" s="87">
        <f t="shared" si="18"/>
        <v>-0.35723039215686242</v>
      </c>
    </row>
    <row r="389" spans="1:14" ht="15" hidden="1" customHeight="1" x14ac:dyDescent="0.2">
      <c r="A389" s="1" t="s">
        <v>142</v>
      </c>
      <c r="B389" s="2" t="s">
        <v>39</v>
      </c>
      <c r="C389" s="2">
        <v>990</v>
      </c>
      <c r="D389" s="7">
        <v>800</v>
      </c>
      <c r="E389" s="1">
        <f>887.8</f>
        <v>887.8</v>
      </c>
      <c r="F389" s="1" t="s">
        <v>8</v>
      </c>
      <c r="G389" s="41">
        <v>4</v>
      </c>
      <c r="I389" s="8">
        <v>43448</v>
      </c>
      <c r="J389" s="16" t="s">
        <v>13</v>
      </c>
      <c r="L389" s="10">
        <v>1</v>
      </c>
      <c r="M389" s="10">
        <f t="shared" si="17"/>
        <v>990</v>
      </c>
      <c r="N389" s="29">
        <f t="shared" si="18"/>
        <v>-0.52168746286393319</v>
      </c>
    </row>
    <row r="390" spans="1:14" s="78" customFormat="1" ht="15" hidden="1" customHeight="1" x14ac:dyDescent="0.2">
      <c r="A390" s="16" t="s">
        <v>142</v>
      </c>
      <c r="B390" s="73" t="s">
        <v>39</v>
      </c>
      <c r="C390" s="73">
        <v>1150</v>
      </c>
      <c r="D390" s="74">
        <v>500</v>
      </c>
      <c r="E390" s="16">
        <f>528.6</f>
        <v>528.6</v>
      </c>
      <c r="F390" s="16" t="s">
        <v>8</v>
      </c>
      <c r="G390" s="75" t="s">
        <v>146</v>
      </c>
      <c r="H390" s="16"/>
      <c r="I390" s="76">
        <v>43448</v>
      </c>
      <c r="J390" s="16" t="s">
        <v>13</v>
      </c>
      <c r="K390" s="16"/>
      <c r="L390" s="16">
        <v>1</v>
      </c>
      <c r="M390" s="16">
        <f t="shared" si="17"/>
        <v>1150</v>
      </c>
      <c r="N390" s="77">
        <f t="shared" si="18"/>
        <v>-0.1462915601023019</v>
      </c>
    </row>
    <row r="391" spans="1:14" s="88" customFormat="1" ht="15" hidden="1" customHeight="1" x14ac:dyDescent="0.2">
      <c r="A391" s="82" t="s">
        <v>142</v>
      </c>
      <c r="B391" s="83" t="s">
        <v>39</v>
      </c>
      <c r="C391" s="83">
        <v>820</v>
      </c>
      <c r="D391" s="84">
        <v>500</v>
      </c>
      <c r="E391" s="82">
        <f>599.3</f>
        <v>599.29999999999995</v>
      </c>
      <c r="F391" s="82" t="s">
        <v>8</v>
      </c>
      <c r="G391" s="85" t="s">
        <v>146</v>
      </c>
      <c r="H391" s="82"/>
      <c r="I391" s="86">
        <v>43448</v>
      </c>
      <c r="J391" s="82" t="s">
        <v>13</v>
      </c>
      <c r="K391" s="82"/>
      <c r="L391" s="82">
        <v>1</v>
      </c>
      <c r="M391" s="82">
        <f t="shared" si="17"/>
        <v>820</v>
      </c>
      <c r="N391" s="87">
        <f t="shared" si="18"/>
        <v>-0.71233859397417465</v>
      </c>
    </row>
    <row r="392" spans="1:14" s="88" customFormat="1" ht="15" hidden="1" customHeight="1" x14ac:dyDescent="0.2">
      <c r="A392" s="82" t="s">
        <v>142</v>
      </c>
      <c r="B392" s="83" t="s">
        <v>39</v>
      </c>
      <c r="C392" s="83">
        <v>1220</v>
      </c>
      <c r="D392" s="84">
        <v>1000</v>
      </c>
      <c r="E392" s="82">
        <f>782.6+261.4</f>
        <v>1044</v>
      </c>
      <c r="F392" s="82" t="s">
        <v>8</v>
      </c>
      <c r="G392" s="85" t="s">
        <v>146</v>
      </c>
      <c r="H392" s="82"/>
      <c r="I392" s="86">
        <v>43448</v>
      </c>
      <c r="J392" s="82" t="s">
        <v>13</v>
      </c>
      <c r="K392" s="82"/>
      <c r="L392" s="82">
        <v>1</v>
      </c>
      <c r="M392" s="82">
        <f t="shared" si="17"/>
        <v>1220</v>
      </c>
      <c r="N392" s="87">
        <f t="shared" si="18"/>
        <v>-0.21215043394406943</v>
      </c>
    </row>
    <row r="393" spans="1:14" s="52" customFormat="1" ht="15" hidden="1" customHeight="1" x14ac:dyDescent="0.2">
      <c r="A393" s="46" t="s">
        <v>142</v>
      </c>
      <c r="B393" s="47" t="s">
        <v>37</v>
      </c>
      <c r="C393" s="47">
        <v>1200</v>
      </c>
      <c r="D393" s="48">
        <v>1000</v>
      </c>
      <c r="E393" s="46">
        <f>991.9</f>
        <v>991.9</v>
      </c>
      <c r="F393" s="46" t="s">
        <v>8</v>
      </c>
      <c r="G393" s="49" t="s">
        <v>146</v>
      </c>
      <c r="H393" s="46"/>
      <c r="I393" s="50">
        <v>43448</v>
      </c>
      <c r="J393" s="46" t="s">
        <v>13</v>
      </c>
      <c r="K393" s="46"/>
      <c r="L393" s="46">
        <v>1</v>
      </c>
      <c r="M393" s="46">
        <f t="shared" si="17"/>
        <v>1200</v>
      </c>
      <c r="N393" s="51">
        <f t="shared" si="18"/>
        <v>3.9705882352941285E-2</v>
      </c>
    </row>
    <row r="394" spans="1:14" s="52" customFormat="1" ht="15" hidden="1" customHeight="1" x14ac:dyDescent="0.2">
      <c r="A394" s="46" t="s">
        <v>142</v>
      </c>
      <c r="B394" s="47" t="s">
        <v>37</v>
      </c>
      <c r="C394" s="47">
        <v>680</v>
      </c>
      <c r="D394" s="48">
        <v>800</v>
      </c>
      <c r="E394" s="46">
        <f>894.1</f>
        <v>894.1</v>
      </c>
      <c r="F394" s="46" t="s">
        <v>8</v>
      </c>
      <c r="G394" s="49" t="s">
        <v>146</v>
      </c>
      <c r="H394" s="46"/>
      <c r="I394" s="50">
        <v>43448</v>
      </c>
      <c r="J394" s="46" t="s">
        <v>13</v>
      </c>
      <c r="K394" s="46"/>
      <c r="L394" s="3">
        <v>1</v>
      </c>
      <c r="M394" s="46">
        <f t="shared" si="17"/>
        <v>680</v>
      </c>
      <c r="N394" s="51">
        <f t="shared" si="18"/>
        <v>-0.81401384083044992</v>
      </c>
    </row>
    <row r="395" spans="1:14" s="52" customFormat="1" ht="15" hidden="1" customHeight="1" x14ac:dyDescent="0.2">
      <c r="A395" s="46" t="s">
        <v>142</v>
      </c>
      <c r="B395" s="47" t="s">
        <v>37</v>
      </c>
      <c r="C395" s="47">
        <v>960</v>
      </c>
      <c r="D395" s="48">
        <v>800</v>
      </c>
      <c r="E395" s="46">
        <f>802.8</f>
        <v>802.8</v>
      </c>
      <c r="F395" s="46" t="s">
        <v>8</v>
      </c>
      <c r="G395" s="49" t="s">
        <v>146</v>
      </c>
      <c r="H395" s="46"/>
      <c r="I395" s="50">
        <v>43448</v>
      </c>
      <c r="J395" s="46" t="s">
        <v>13</v>
      </c>
      <c r="K395" s="46"/>
      <c r="L395" s="46">
        <v>1</v>
      </c>
      <c r="M395" s="46">
        <f t="shared" si="17"/>
        <v>960</v>
      </c>
      <c r="N395" s="51">
        <f t="shared" si="18"/>
        <v>-1.715686274509776E-2</v>
      </c>
    </row>
    <row r="396" spans="1:14" s="52" customFormat="1" ht="15" hidden="1" customHeight="1" x14ac:dyDescent="0.2">
      <c r="A396" s="46" t="s">
        <v>142</v>
      </c>
      <c r="B396" s="47" t="s">
        <v>37</v>
      </c>
      <c r="C396" s="47">
        <v>1280</v>
      </c>
      <c r="D396" s="48">
        <v>1000</v>
      </c>
      <c r="E396" s="46">
        <f>1002.2</f>
        <v>1002.2</v>
      </c>
      <c r="F396" s="46" t="s">
        <v>8</v>
      </c>
      <c r="G396" s="49">
        <v>3</v>
      </c>
      <c r="H396" s="46"/>
      <c r="I396" s="50">
        <v>43448</v>
      </c>
      <c r="J396" s="46" t="s">
        <v>13</v>
      </c>
      <c r="K396" s="46"/>
      <c r="L396" s="46">
        <v>1</v>
      </c>
      <c r="M396" s="46">
        <f t="shared" si="17"/>
        <v>1280</v>
      </c>
      <c r="N396" s="51">
        <f t="shared" si="18"/>
        <v>-1.0110294117647268E-2</v>
      </c>
    </row>
    <row r="397" spans="1:14" s="52" customFormat="1" ht="15" hidden="1" customHeight="1" x14ac:dyDescent="0.2">
      <c r="A397" s="46" t="s">
        <v>142</v>
      </c>
      <c r="B397" s="47" t="s">
        <v>37</v>
      </c>
      <c r="C397" s="47">
        <v>1040</v>
      </c>
      <c r="D397" s="48">
        <v>1200</v>
      </c>
      <c r="E397" s="46">
        <f>1259.4</f>
        <v>1259.4000000000001</v>
      </c>
      <c r="F397" s="46" t="s">
        <v>8</v>
      </c>
      <c r="G397" s="49" t="s">
        <v>146</v>
      </c>
      <c r="H397" s="46"/>
      <c r="I397" s="50">
        <v>43448</v>
      </c>
      <c r="J397" s="46" t="s">
        <v>13</v>
      </c>
      <c r="K397" s="46"/>
      <c r="L397" s="46">
        <v>1</v>
      </c>
      <c r="M397" s="46">
        <f t="shared" si="17"/>
        <v>1040</v>
      </c>
      <c r="N397" s="51">
        <f t="shared" si="18"/>
        <v>-0.3359728506787335</v>
      </c>
    </row>
    <row r="398" spans="1:14" s="52" customFormat="1" ht="15" hidden="1" customHeight="1" x14ac:dyDescent="0.2">
      <c r="A398" s="46" t="s">
        <v>142</v>
      </c>
      <c r="B398" s="47" t="s">
        <v>37</v>
      </c>
      <c r="C398" s="47">
        <v>760</v>
      </c>
      <c r="D398" s="48">
        <v>1500</v>
      </c>
      <c r="E398" s="46">
        <f>1537.3</f>
        <v>1537.3</v>
      </c>
      <c r="F398" s="46" t="s">
        <v>8</v>
      </c>
      <c r="G398" s="49" t="s">
        <v>146</v>
      </c>
      <c r="H398" s="46"/>
      <c r="I398" s="50">
        <v>43448</v>
      </c>
      <c r="J398" s="46" t="s">
        <v>13</v>
      </c>
      <c r="K398" s="46"/>
      <c r="L398" s="46">
        <v>1</v>
      </c>
      <c r="M398" s="46">
        <f t="shared" si="17"/>
        <v>760</v>
      </c>
      <c r="N398" s="51">
        <f t="shared" si="18"/>
        <v>-0.28869969040247639</v>
      </c>
    </row>
    <row r="399" spans="1:14" s="52" customFormat="1" ht="15" hidden="1" customHeight="1" x14ac:dyDescent="0.2">
      <c r="A399" s="46" t="s">
        <v>142</v>
      </c>
      <c r="B399" s="47" t="s">
        <v>37</v>
      </c>
      <c r="C399" s="47">
        <v>1220</v>
      </c>
      <c r="D399" s="48">
        <v>500</v>
      </c>
      <c r="E399" s="46">
        <f>548.8</f>
        <v>548.79999999999995</v>
      </c>
      <c r="F399" s="46" t="s">
        <v>8</v>
      </c>
      <c r="G399" s="49">
        <v>3</v>
      </c>
      <c r="H399" s="46"/>
      <c r="I399" s="50">
        <v>43448</v>
      </c>
      <c r="J399" s="46" t="s">
        <v>13</v>
      </c>
      <c r="K399" s="46"/>
      <c r="L399" s="46">
        <v>1</v>
      </c>
      <c r="M399" s="46">
        <f t="shared" si="17"/>
        <v>1220</v>
      </c>
      <c r="N399" s="51">
        <f t="shared" si="18"/>
        <v>-0.2352941176470586</v>
      </c>
    </row>
    <row r="400" spans="1:14" s="60" customFormat="1" ht="15" hidden="1" customHeight="1" x14ac:dyDescent="0.2">
      <c r="A400" s="55" t="s">
        <v>142</v>
      </c>
      <c r="B400" s="54" t="s">
        <v>37</v>
      </c>
      <c r="C400" s="54">
        <v>1070</v>
      </c>
      <c r="D400" s="56">
        <v>1000</v>
      </c>
      <c r="E400" s="55">
        <f>406.2+663</f>
        <v>1069.2</v>
      </c>
      <c r="F400" s="55" t="s">
        <v>8</v>
      </c>
      <c r="G400" s="57">
        <v>3</v>
      </c>
      <c r="H400" s="55"/>
      <c r="I400" s="58">
        <v>43448</v>
      </c>
      <c r="J400" s="55" t="s">
        <v>13</v>
      </c>
      <c r="K400" s="55"/>
      <c r="L400" s="55">
        <v>1</v>
      </c>
      <c r="M400" s="55">
        <f t="shared" si="17"/>
        <v>1070</v>
      </c>
      <c r="N400" s="59">
        <f t="shared" si="18"/>
        <v>-0.38042880703683368</v>
      </c>
    </row>
    <row r="401" spans="1:14" s="52" customFormat="1" ht="15" hidden="1" customHeight="1" x14ac:dyDescent="0.2">
      <c r="A401" s="46" t="s">
        <v>142</v>
      </c>
      <c r="B401" s="47" t="s">
        <v>37</v>
      </c>
      <c r="C401" s="47">
        <v>1150</v>
      </c>
      <c r="D401" s="48">
        <v>500</v>
      </c>
      <c r="E401" s="46">
        <f>511.4</f>
        <v>511.4</v>
      </c>
      <c r="F401" s="46" t="s">
        <v>8</v>
      </c>
      <c r="G401" s="49">
        <v>3</v>
      </c>
      <c r="H401" s="46"/>
      <c r="I401" s="50">
        <v>43448</v>
      </c>
      <c r="J401" s="46" t="s">
        <v>13</v>
      </c>
      <c r="K401" s="46"/>
      <c r="L401" s="46">
        <v>1</v>
      </c>
      <c r="M401" s="46">
        <f t="shared" si="17"/>
        <v>1150</v>
      </c>
      <c r="N401" s="51">
        <f t="shared" si="18"/>
        <v>-5.8312020460357938E-2</v>
      </c>
    </row>
    <row r="402" spans="1:14" ht="15" hidden="1" customHeight="1" x14ac:dyDescent="0.2">
      <c r="A402" s="1" t="s">
        <v>142</v>
      </c>
      <c r="B402" s="2" t="s">
        <v>38</v>
      </c>
      <c r="C402" s="2">
        <v>1040</v>
      </c>
      <c r="D402" s="7">
        <v>800</v>
      </c>
      <c r="E402" s="1">
        <f>444.2+408</f>
        <v>852.2</v>
      </c>
      <c r="F402" s="3" t="s">
        <v>8</v>
      </c>
      <c r="G402" s="41">
        <v>3</v>
      </c>
      <c r="I402" s="8">
        <v>43448</v>
      </c>
      <c r="J402" s="16" t="s">
        <v>13</v>
      </c>
      <c r="L402" s="10">
        <v>1</v>
      </c>
      <c r="M402" s="10">
        <f t="shared" si="17"/>
        <v>1040</v>
      </c>
      <c r="N402" s="29">
        <f t="shared" si="18"/>
        <v>-0.29524886877828077</v>
      </c>
    </row>
    <row r="403" spans="1:14" ht="15" hidden="1" customHeight="1" x14ac:dyDescent="0.2">
      <c r="A403" s="1" t="s">
        <v>142</v>
      </c>
      <c r="B403" s="2" t="s">
        <v>38</v>
      </c>
      <c r="C403" s="2">
        <v>720</v>
      </c>
      <c r="D403" s="7">
        <v>800</v>
      </c>
      <c r="E403" s="1">
        <f>537+310.9</f>
        <v>847.9</v>
      </c>
      <c r="F403" s="3" t="s">
        <v>8</v>
      </c>
      <c r="G403" s="41">
        <v>3</v>
      </c>
      <c r="I403" s="8">
        <v>43448</v>
      </c>
      <c r="J403" s="16" t="s">
        <v>13</v>
      </c>
      <c r="L403" s="10">
        <v>1</v>
      </c>
      <c r="M403" s="10">
        <f t="shared" si="17"/>
        <v>720</v>
      </c>
      <c r="N403" s="29">
        <f t="shared" si="18"/>
        <v>-0.39133986928104553</v>
      </c>
    </row>
    <row r="404" spans="1:14" s="96" customFormat="1" ht="15" hidden="1" customHeight="1" x14ac:dyDescent="0.2">
      <c r="A404" s="90" t="s">
        <v>142</v>
      </c>
      <c r="B404" s="91" t="s">
        <v>36</v>
      </c>
      <c r="C404" s="91">
        <v>1020</v>
      </c>
      <c r="D404" s="92">
        <v>500</v>
      </c>
      <c r="E404" s="90">
        <f>517.7</f>
        <v>517.70000000000005</v>
      </c>
      <c r="F404" s="90" t="s">
        <v>8</v>
      </c>
      <c r="G404" s="93" t="s">
        <v>146</v>
      </c>
      <c r="H404" s="90"/>
      <c r="I404" s="94">
        <v>43448</v>
      </c>
      <c r="J404" s="90" t="s">
        <v>13</v>
      </c>
      <c r="K404" s="90"/>
      <c r="L404" s="90">
        <v>1</v>
      </c>
      <c r="M404" s="90">
        <f t="shared" si="17"/>
        <v>1020</v>
      </c>
      <c r="N404" s="95">
        <f t="shared" si="18"/>
        <v>-0.10207612456747431</v>
      </c>
    </row>
    <row r="405" spans="1:14" s="96" customFormat="1" ht="15" hidden="1" customHeight="1" x14ac:dyDescent="0.2">
      <c r="A405" s="90" t="s">
        <v>142</v>
      </c>
      <c r="B405" s="91" t="s">
        <v>36</v>
      </c>
      <c r="C405" s="91">
        <v>680</v>
      </c>
      <c r="D405" s="92">
        <v>800</v>
      </c>
      <c r="E405" s="90">
        <f>819.4</f>
        <v>819.4</v>
      </c>
      <c r="F405" s="90" t="s">
        <v>8</v>
      </c>
      <c r="G405" s="93" t="s">
        <v>146</v>
      </c>
      <c r="H405" s="90"/>
      <c r="I405" s="94">
        <v>43448</v>
      </c>
      <c r="J405" s="90" t="s">
        <v>13</v>
      </c>
      <c r="K405" s="90"/>
      <c r="L405" s="90">
        <v>1</v>
      </c>
      <c r="M405" s="90">
        <f t="shared" si="17"/>
        <v>680</v>
      </c>
      <c r="N405" s="95">
        <f t="shared" si="18"/>
        <v>-0.16782006920415204</v>
      </c>
    </row>
    <row r="406" spans="1:14" s="96" customFormat="1" ht="15" hidden="1" customHeight="1" x14ac:dyDescent="0.2">
      <c r="A406" s="90" t="s">
        <v>142</v>
      </c>
      <c r="B406" s="91" t="s">
        <v>36</v>
      </c>
      <c r="C406" s="91">
        <v>760</v>
      </c>
      <c r="D406" s="92">
        <v>2000</v>
      </c>
      <c r="E406" s="90">
        <f>1212.3+743.4</f>
        <v>1955.6999999999998</v>
      </c>
      <c r="F406" s="90" t="s">
        <v>8</v>
      </c>
      <c r="G406" s="93" t="s">
        <v>146</v>
      </c>
      <c r="H406" s="90"/>
      <c r="I406" s="94">
        <v>43448</v>
      </c>
      <c r="J406" s="90" t="s">
        <v>13</v>
      </c>
      <c r="K406" s="90"/>
      <c r="L406" s="90">
        <v>1</v>
      </c>
      <c r="M406" s="90">
        <f t="shared" si="17"/>
        <v>760</v>
      </c>
      <c r="N406" s="95">
        <f t="shared" si="18"/>
        <v>0.34287925696594562</v>
      </c>
    </row>
    <row r="407" spans="1:14" ht="15" hidden="1" customHeight="1" x14ac:dyDescent="0.2">
      <c r="A407" s="1" t="s">
        <v>142</v>
      </c>
      <c r="B407" s="2" t="s">
        <v>36</v>
      </c>
      <c r="C407" s="2">
        <v>860</v>
      </c>
      <c r="D407" s="7">
        <v>500</v>
      </c>
      <c r="E407" s="1">
        <f>519.3</f>
        <v>519.29999999999995</v>
      </c>
      <c r="F407" s="1" t="s">
        <v>8</v>
      </c>
      <c r="I407" s="8">
        <v>43448</v>
      </c>
      <c r="J407" s="16" t="s">
        <v>13</v>
      </c>
      <c r="L407" s="10">
        <v>1</v>
      </c>
      <c r="M407" s="10">
        <f t="shared" si="17"/>
        <v>860</v>
      </c>
      <c r="N407" s="29">
        <f t="shared" si="18"/>
        <v>-0.13201094391244839</v>
      </c>
    </row>
    <row r="408" spans="1:14" s="96" customFormat="1" ht="15" hidden="1" customHeight="1" x14ac:dyDescent="0.2">
      <c r="A408" s="90" t="s">
        <v>142</v>
      </c>
      <c r="B408" s="91" t="s">
        <v>36</v>
      </c>
      <c r="C408" s="91">
        <v>1080</v>
      </c>
      <c r="D408" s="92">
        <v>800</v>
      </c>
      <c r="E408" s="90">
        <f>749</f>
        <v>749</v>
      </c>
      <c r="F408" s="90" t="s">
        <v>8</v>
      </c>
      <c r="G408" s="93" t="s">
        <v>146</v>
      </c>
      <c r="H408" s="90"/>
      <c r="I408" s="94">
        <v>43448</v>
      </c>
      <c r="J408" s="90" t="s">
        <v>13</v>
      </c>
      <c r="K408" s="90"/>
      <c r="L408" s="90">
        <v>1</v>
      </c>
      <c r="M408" s="90">
        <f t="shared" si="17"/>
        <v>1080</v>
      </c>
      <c r="N408" s="95">
        <f t="shared" si="18"/>
        <v>0.27777777777777773</v>
      </c>
    </row>
    <row r="409" spans="1:14" s="96" customFormat="1" ht="15" hidden="1" customHeight="1" x14ac:dyDescent="0.2">
      <c r="A409" s="90" t="s">
        <v>142</v>
      </c>
      <c r="B409" s="91" t="s">
        <v>36</v>
      </c>
      <c r="C409" s="91">
        <v>940</v>
      </c>
      <c r="D409" s="92">
        <v>600</v>
      </c>
      <c r="E409" s="90">
        <f>685.1</f>
        <v>685.1</v>
      </c>
      <c r="F409" s="90" t="s">
        <v>8</v>
      </c>
      <c r="G409" s="93">
        <v>3</v>
      </c>
      <c r="H409" s="90"/>
      <c r="I409" s="94">
        <v>43448</v>
      </c>
      <c r="J409" s="90" t="s">
        <v>13</v>
      </c>
      <c r="K409" s="90"/>
      <c r="L409" s="90">
        <v>1</v>
      </c>
      <c r="M409" s="90">
        <f t="shared" si="17"/>
        <v>940</v>
      </c>
      <c r="N409" s="95">
        <f t="shared" si="18"/>
        <v>-0.53254067584480613</v>
      </c>
    </row>
    <row r="410" spans="1:14" s="96" customFormat="1" ht="15" hidden="1" customHeight="1" x14ac:dyDescent="0.2">
      <c r="A410" s="90" t="s">
        <v>142</v>
      </c>
      <c r="B410" s="91" t="s">
        <v>36</v>
      </c>
      <c r="C410" s="91">
        <v>960</v>
      </c>
      <c r="D410" s="92">
        <v>500</v>
      </c>
      <c r="E410" s="90">
        <f>491.4</f>
        <v>491.4</v>
      </c>
      <c r="F410" s="90" t="s">
        <v>8</v>
      </c>
      <c r="G410" s="93" t="s">
        <v>146</v>
      </c>
      <c r="H410" s="90"/>
      <c r="I410" s="94">
        <v>43448</v>
      </c>
      <c r="J410" s="90" t="s">
        <v>13</v>
      </c>
      <c r="K410" s="90"/>
      <c r="L410" s="90">
        <v>1</v>
      </c>
      <c r="M410" s="90">
        <f t="shared" si="17"/>
        <v>960</v>
      </c>
      <c r="N410" s="95">
        <f t="shared" si="18"/>
        <v>5.2696078431372681E-2</v>
      </c>
    </row>
    <row r="411" spans="1:14" ht="15" hidden="1" customHeight="1" x14ac:dyDescent="0.2">
      <c r="A411" s="1" t="s">
        <v>142</v>
      </c>
      <c r="B411" s="2" t="s">
        <v>36</v>
      </c>
      <c r="C411" s="2">
        <v>900</v>
      </c>
      <c r="D411" s="7">
        <v>800</v>
      </c>
      <c r="E411" s="1">
        <f>810.6</f>
        <v>810.6</v>
      </c>
      <c r="F411" s="1" t="s">
        <v>8</v>
      </c>
      <c r="I411" s="8">
        <v>43448</v>
      </c>
      <c r="J411" s="16" t="s">
        <v>13</v>
      </c>
      <c r="L411" s="10">
        <v>1</v>
      </c>
      <c r="M411" s="10">
        <f t="shared" si="17"/>
        <v>900</v>
      </c>
      <c r="N411" s="29">
        <f t="shared" si="18"/>
        <v>-6.9281045751634129E-2</v>
      </c>
    </row>
    <row r="412" spans="1:14" s="96" customFormat="1" ht="15" hidden="1" customHeight="1" x14ac:dyDescent="0.2">
      <c r="A412" s="90" t="s">
        <v>142</v>
      </c>
      <c r="B412" s="91" t="s">
        <v>36</v>
      </c>
      <c r="C412" s="91">
        <v>1100</v>
      </c>
      <c r="D412" s="92">
        <v>500</v>
      </c>
      <c r="E412" s="90">
        <f>533.7</f>
        <v>533.70000000000005</v>
      </c>
      <c r="F412" s="90" t="s">
        <v>8</v>
      </c>
      <c r="G412" s="93" t="s">
        <v>146</v>
      </c>
      <c r="H412" s="90"/>
      <c r="I412" s="94">
        <v>43448</v>
      </c>
      <c r="J412" s="90" t="s">
        <v>13</v>
      </c>
      <c r="K412" s="90"/>
      <c r="L412" s="90">
        <v>1</v>
      </c>
      <c r="M412" s="90">
        <f t="shared" si="17"/>
        <v>1100</v>
      </c>
      <c r="N412" s="95">
        <f t="shared" si="18"/>
        <v>-0.18021390374331575</v>
      </c>
    </row>
    <row r="413" spans="1:14" s="96" customFormat="1" ht="15" hidden="1" customHeight="1" x14ac:dyDescent="0.2">
      <c r="A413" s="90" t="s">
        <v>142</v>
      </c>
      <c r="B413" s="91" t="s">
        <v>36</v>
      </c>
      <c r="C413" s="91">
        <v>1200</v>
      </c>
      <c r="D413" s="92">
        <v>1000</v>
      </c>
      <c r="E413" s="90">
        <f>1107.9</f>
        <v>1107.9000000000001</v>
      </c>
      <c r="F413" s="90" t="s">
        <v>8</v>
      </c>
      <c r="G413" s="93" t="s">
        <v>146</v>
      </c>
      <c r="H413" s="90"/>
      <c r="I413" s="94">
        <v>43448</v>
      </c>
      <c r="J413" s="90" t="s">
        <v>13</v>
      </c>
      <c r="K413" s="90"/>
      <c r="L413" s="90">
        <v>1</v>
      </c>
      <c r="M413" s="90">
        <f t="shared" si="17"/>
        <v>1200</v>
      </c>
      <c r="N413" s="95">
        <f t="shared" si="18"/>
        <v>-0.52892156862745132</v>
      </c>
    </row>
    <row r="414" spans="1:14" s="96" customFormat="1" ht="15" hidden="1" customHeight="1" x14ac:dyDescent="0.2">
      <c r="A414" s="90" t="s">
        <v>142</v>
      </c>
      <c r="B414" s="91" t="s">
        <v>36</v>
      </c>
      <c r="C414" s="91">
        <v>1280</v>
      </c>
      <c r="D414" s="92">
        <v>600</v>
      </c>
      <c r="E414" s="90">
        <f>655.2</f>
        <v>655.20000000000005</v>
      </c>
      <c r="F414" s="90" t="s">
        <v>8</v>
      </c>
      <c r="G414" s="93" t="s">
        <v>146</v>
      </c>
      <c r="H414" s="90"/>
      <c r="I414" s="94">
        <v>43448</v>
      </c>
      <c r="J414" s="90" t="s">
        <v>13</v>
      </c>
      <c r="K414" s="90"/>
      <c r="L414" s="90">
        <v>1</v>
      </c>
      <c r="M414" s="90">
        <f t="shared" si="17"/>
        <v>1280</v>
      </c>
      <c r="N414" s="95">
        <f t="shared" si="18"/>
        <v>-0.2536764705882355</v>
      </c>
    </row>
    <row r="415" spans="1:14" s="96" customFormat="1" ht="15" hidden="1" customHeight="1" x14ac:dyDescent="0.2">
      <c r="A415" s="90" t="s">
        <v>142</v>
      </c>
      <c r="B415" s="91" t="s">
        <v>36</v>
      </c>
      <c r="C415" s="91">
        <v>1160</v>
      </c>
      <c r="D415" s="92">
        <v>500</v>
      </c>
      <c r="E415" s="90">
        <f>501.7</f>
        <v>501.7</v>
      </c>
      <c r="F415" s="90" t="s">
        <v>8</v>
      </c>
      <c r="G415" s="93" t="s">
        <v>146</v>
      </c>
      <c r="H415" s="90"/>
      <c r="I415" s="94">
        <v>43448</v>
      </c>
      <c r="J415" s="90" t="s">
        <v>13</v>
      </c>
      <c r="K415" s="90"/>
      <c r="L415" s="90">
        <v>1</v>
      </c>
      <c r="M415" s="90">
        <f t="shared" si="17"/>
        <v>1160</v>
      </c>
      <c r="N415" s="95">
        <f t="shared" si="18"/>
        <v>-8.6206896551723547E-3</v>
      </c>
    </row>
    <row r="416" spans="1:14" ht="15" hidden="1" customHeight="1" x14ac:dyDescent="0.2">
      <c r="A416" s="1" t="s">
        <v>142</v>
      </c>
      <c r="B416" s="2" t="s">
        <v>36</v>
      </c>
      <c r="C416" s="2">
        <v>1220</v>
      </c>
      <c r="D416" s="7">
        <v>500</v>
      </c>
      <c r="E416" s="1">
        <f>459.2</f>
        <v>459.2</v>
      </c>
      <c r="F416" s="1" t="s">
        <v>8</v>
      </c>
      <c r="I416" s="8">
        <v>43448</v>
      </c>
      <c r="J416" s="16" t="s">
        <v>13</v>
      </c>
      <c r="L416" s="10">
        <v>1</v>
      </c>
      <c r="M416" s="10">
        <f t="shared" si="17"/>
        <v>1220</v>
      </c>
      <c r="N416" s="29">
        <f t="shared" si="18"/>
        <v>0.19672131147540989</v>
      </c>
    </row>
    <row r="417" spans="1:14" s="96" customFormat="1" ht="15" hidden="1" customHeight="1" x14ac:dyDescent="0.2">
      <c r="A417" s="90" t="s">
        <v>142</v>
      </c>
      <c r="B417" s="91" t="s">
        <v>36</v>
      </c>
      <c r="C417" s="91">
        <v>1040</v>
      </c>
      <c r="D417" s="92">
        <v>1200</v>
      </c>
      <c r="E417" s="90">
        <f>1197.3</f>
        <v>1197.3</v>
      </c>
      <c r="F417" s="90" t="s">
        <v>8</v>
      </c>
      <c r="G417" s="93" t="s">
        <v>146</v>
      </c>
      <c r="H417" s="90"/>
      <c r="I417" s="94">
        <v>43448</v>
      </c>
      <c r="J417" s="90" t="s">
        <v>13</v>
      </c>
      <c r="K417" s="90"/>
      <c r="L417" s="90">
        <v>1</v>
      </c>
      <c r="M417" s="90">
        <f t="shared" si="17"/>
        <v>1040</v>
      </c>
      <c r="N417" s="95">
        <f t="shared" si="18"/>
        <v>1.527149321266994E-2</v>
      </c>
    </row>
    <row r="418" spans="1:14" s="96" customFormat="1" ht="15" hidden="1" customHeight="1" x14ac:dyDescent="0.2">
      <c r="A418" s="90" t="s">
        <v>142</v>
      </c>
      <c r="B418" s="91" t="s">
        <v>36</v>
      </c>
      <c r="C418" s="91">
        <v>720</v>
      </c>
      <c r="D418" s="92">
        <v>2000</v>
      </c>
      <c r="E418" s="90">
        <f>1453.7+612.7</f>
        <v>2066.4</v>
      </c>
      <c r="F418" s="90" t="s">
        <v>8</v>
      </c>
      <c r="G418" s="93" t="s">
        <v>146</v>
      </c>
      <c r="H418" s="90"/>
      <c r="I418" s="94">
        <v>43448</v>
      </c>
      <c r="J418" s="90" t="s">
        <v>13</v>
      </c>
      <c r="K418" s="90"/>
      <c r="L418" s="90">
        <v>1</v>
      </c>
      <c r="M418" s="90">
        <f t="shared" si="17"/>
        <v>720</v>
      </c>
      <c r="N418" s="95">
        <f t="shared" si="18"/>
        <v>-0.54248366013071969</v>
      </c>
    </row>
    <row r="419" spans="1:14" s="96" customFormat="1" ht="15" hidden="1" customHeight="1" x14ac:dyDescent="0.2">
      <c r="A419" s="90" t="s">
        <v>142</v>
      </c>
      <c r="B419" s="91" t="s">
        <v>36</v>
      </c>
      <c r="C419" s="91">
        <v>1240</v>
      </c>
      <c r="D419" s="92">
        <v>500</v>
      </c>
      <c r="E419" s="90">
        <f>481</f>
        <v>481</v>
      </c>
      <c r="F419" s="90" t="s">
        <v>8</v>
      </c>
      <c r="G419" s="93">
        <v>3</v>
      </c>
      <c r="H419" s="90"/>
      <c r="I419" s="94">
        <v>43448</v>
      </c>
      <c r="J419" s="90" t="s">
        <v>13</v>
      </c>
      <c r="K419" s="90"/>
      <c r="L419" s="90">
        <v>1</v>
      </c>
      <c r="M419" s="90">
        <f t="shared" si="17"/>
        <v>1240</v>
      </c>
      <c r="N419" s="95">
        <f t="shared" si="18"/>
        <v>9.0132827324478179E-2</v>
      </c>
    </row>
    <row r="420" spans="1:14" s="96" customFormat="1" ht="15" hidden="1" customHeight="1" x14ac:dyDescent="0.2">
      <c r="A420" s="90" t="s">
        <v>142</v>
      </c>
      <c r="B420" s="91" t="s">
        <v>36</v>
      </c>
      <c r="C420" s="91">
        <v>1180</v>
      </c>
      <c r="D420" s="92">
        <v>800</v>
      </c>
      <c r="E420" s="90">
        <f>856.4</f>
        <v>856.4</v>
      </c>
      <c r="F420" s="90" t="s">
        <v>8</v>
      </c>
      <c r="G420" s="93">
        <v>3</v>
      </c>
      <c r="H420" s="90"/>
      <c r="I420" s="94">
        <v>43448</v>
      </c>
      <c r="J420" s="90" t="s">
        <v>13</v>
      </c>
      <c r="K420" s="90"/>
      <c r="L420" s="90">
        <v>1</v>
      </c>
      <c r="M420" s="90">
        <f t="shared" si="17"/>
        <v>1180</v>
      </c>
      <c r="N420" s="95">
        <f t="shared" si="18"/>
        <v>-0.28115653040877353</v>
      </c>
    </row>
    <row r="421" spans="1:14" s="104" customFormat="1" ht="15" hidden="1" customHeight="1" x14ac:dyDescent="0.2">
      <c r="A421" s="98" t="s">
        <v>148</v>
      </c>
      <c r="B421" s="99" t="s">
        <v>38</v>
      </c>
      <c r="C421" s="99">
        <v>260</v>
      </c>
      <c r="D421" s="100">
        <v>500</v>
      </c>
      <c r="E421" s="98">
        <f>533.2</f>
        <v>533.20000000000005</v>
      </c>
      <c r="F421" s="98" t="s">
        <v>8</v>
      </c>
      <c r="G421" s="101">
        <v>3</v>
      </c>
      <c r="H421" s="98" t="s">
        <v>149</v>
      </c>
      <c r="I421" s="102">
        <v>43448</v>
      </c>
      <c r="J421" s="98" t="s">
        <v>150</v>
      </c>
      <c r="K421" s="98"/>
      <c r="L421" s="98">
        <v>4</v>
      </c>
      <c r="M421" s="98">
        <f t="shared" si="17"/>
        <v>1040</v>
      </c>
      <c r="N421" s="103">
        <f t="shared" si="18"/>
        <v>-0.1877828054298645</v>
      </c>
    </row>
    <row r="422" spans="1:14" s="96" customFormat="1" ht="15" hidden="1" customHeight="1" x14ac:dyDescent="0.2">
      <c r="A422" s="90" t="s">
        <v>151</v>
      </c>
      <c r="B422" s="91" t="s">
        <v>36</v>
      </c>
      <c r="C422" s="91">
        <v>230</v>
      </c>
      <c r="D422" s="92">
        <v>700</v>
      </c>
      <c r="E422" s="90">
        <f>670.4</f>
        <v>670.4</v>
      </c>
      <c r="F422" s="90" t="s">
        <v>8</v>
      </c>
      <c r="G422" s="93">
        <v>3</v>
      </c>
      <c r="H422" s="90"/>
      <c r="I422" s="94">
        <v>43448</v>
      </c>
      <c r="J422" s="90" t="s">
        <v>152</v>
      </c>
      <c r="K422" s="90"/>
      <c r="L422" s="90">
        <v>4</v>
      </c>
      <c r="M422" s="90">
        <f t="shared" si="17"/>
        <v>920</v>
      </c>
      <c r="N422" s="95">
        <f t="shared" si="18"/>
        <v>0.18925831202046051</v>
      </c>
    </row>
    <row r="423" spans="1:14" s="88" customFormat="1" ht="15" hidden="1" customHeight="1" x14ac:dyDescent="0.2">
      <c r="A423" s="82" t="s">
        <v>153</v>
      </c>
      <c r="B423" s="83" t="s">
        <v>38</v>
      </c>
      <c r="C423" s="83">
        <v>420</v>
      </c>
      <c r="D423" s="84">
        <v>200</v>
      </c>
      <c r="E423" s="82">
        <f>214.8</f>
        <v>214.8</v>
      </c>
      <c r="F423" s="3" t="s">
        <v>8</v>
      </c>
      <c r="G423" s="85">
        <v>3</v>
      </c>
      <c r="H423" s="82" t="s">
        <v>252</v>
      </c>
      <c r="I423" s="86">
        <v>43448</v>
      </c>
      <c r="J423" s="82" t="s">
        <v>154</v>
      </c>
      <c r="K423" s="82"/>
      <c r="L423" s="82">
        <v>2</v>
      </c>
      <c r="M423" s="10">
        <f t="shared" si="17"/>
        <v>840</v>
      </c>
      <c r="N423" s="29">
        <f>(D423-E423)/(M423*0.17)</f>
        <v>-0.10364145658263313</v>
      </c>
    </row>
    <row r="424" spans="1:14" ht="15" hidden="1" customHeight="1" x14ac:dyDescent="0.2">
      <c r="A424" s="1" t="s">
        <v>155</v>
      </c>
      <c r="B424" s="2" t="s">
        <v>38</v>
      </c>
      <c r="C424" s="2">
        <v>440</v>
      </c>
      <c r="D424" s="7">
        <v>100</v>
      </c>
      <c r="E424" s="1">
        <f>100.2</f>
        <v>100.2</v>
      </c>
      <c r="F424" s="3" t="s">
        <v>8</v>
      </c>
      <c r="I424" s="8">
        <v>43448</v>
      </c>
      <c r="J424" s="16" t="s">
        <v>156</v>
      </c>
    </row>
    <row r="425" spans="1:14" s="52" customFormat="1" ht="15" hidden="1" customHeight="1" x14ac:dyDescent="0.2">
      <c r="A425" s="46" t="s">
        <v>157</v>
      </c>
      <c r="B425" s="47" t="s">
        <v>36</v>
      </c>
      <c r="C425" s="47">
        <v>410</v>
      </c>
      <c r="D425" s="48">
        <v>200</v>
      </c>
      <c r="E425" s="46">
        <f>254.4</f>
        <v>254.4</v>
      </c>
      <c r="F425" s="46" t="s">
        <v>8</v>
      </c>
      <c r="G425" s="49" t="s">
        <v>146</v>
      </c>
      <c r="H425" s="46"/>
      <c r="I425" s="50">
        <v>43448</v>
      </c>
      <c r="J425" s="46" t="s">
        <v>158</v>
      </c>
      <c r="K425" s="46"/>
      <c r="L425" s="46">
        <v>2</v>
      </c>
      <c r="M425" s="46">
        <f t="shared" si="17"/>
        <v>820</v>
      </c>
      <c r="N425" s="51">
        <f>(D425-E425)/(M425*0.17)</f>
        <v>-0.3902439024390244</v>
      </c>
    </row>
    <row r="426" spans="1:14" s="88" customFormat="1" ht="15" hidden="1" customHeight="1" x14ac:dyDescent="0.2">
      <c r="A426" s="82" t="s">
        <v>159</v>
      </c>
      <c r="B426" s="83" t="s">
        <v>39</v>
      </c>
      <c r="C426" s="54">
        <v>400</v>
      </c>
      <c r="D426" s="84">
        <v>300</v>
      </c>
      <c r="E426" s="82">
        <f>308.7</f>
        <v>308.7</v>
      </c>
      <c r="F426" s="82" t="s">
        <v>8</v>
      </c>
      <c r="G426" s="85">
        <v>4</v>
      </c>
      <c r="H426" s="82"/>
      <c r="I426" s="86">
        <v>43448</v>
      </c>
      <c r="J426" s="82" t="s">
        <v>160</v>
      </c>
      <c r="K426" s="82"/>
      <c r="L426" s="82">
        <v>3</v>
      </c>
      <c r="M426" s="82">
        <f t="shared" ref="M426:M432" si="19">L426*C426</f>
        <v>1200</v>
      </c>
      <c r="N426" s="87">
        <f t="shared" ref="N426:N432" si="20">(D426-E426)/(M426*0.17)</f>
        <v>-4.264705882352935E-2</v>
      </c>
    </row>
    <row r="427" spans="1:14" s="104" customFormat="1" ht="15" hidden="1" customHeight="1" x14ac:dyDescent="0.2">
      <c r="A427" s="98" t="s">
        <v>161</v>
      </c>
      <c r="B427" s="99" t="s">
        <v>39</v>
      </c>
      <c r="C427" s="99">
        <v>840</v>
      </c>
      <c r="D427" s="100">
        <v>2000</v>
      </c>
      <c r="E427" s="98">
        <f>442.7-147.8+1750.4</f>
        <v>2045.3000000000002</v>
      </c>
      <c r="F427" s="98" t="s">
        <v>8</v>
      </c>
      <c r="G427" s="101" t="s">
        <v>146</v>
      </c>
      <c r="H427" s="98" t="s">
        <v>162</v>
      </c>
      <c r="I427" s="102">
        <v>43448</v>
      </c>
      <c r="J427" s="98" t="s">
        <v>163</v>
      </c>
      <c r="K427" s="98"/>
      <c r="L427" s="98">
        <v>1</v>
      </c>
      <c r="M427" s="98">
        <f t="shared" si="19"/>
        <v>840</v>
      </c>
      <c r="N427" s="103">
        <f t="shared" si="20"/>
        <v>-0.31722689075630378</v>
      </c>
    </row>
    <row r="428" spans="1:14" s="60" customFormat="1" ht="15" hidden="1" customHeight="1" x14ac:dyDescent="0.2">
      <c r="A428" s="55" t="s">
        <v>161</v>
      </c>
      <c r="B428" s="54" t="s">
        <v>39</v>
      </c>
      <c r="C428" s="54">
        <v>760</v>
      </c>
      <c r="D428" s="56">
        <v>1000</v>
      </c>
      <c r="E428" s="55">
        <f>503.6+164.8+334.9</f>
        <v>1003.3000000000001</v>
      </c>
      <c r="F428" s="55" t="s">
        <v>8</v>
      </c>
      <c r="G428" s="57" t="s">
        <v>146</v>
      </c>
      <c r="H428" s="55" t="s">
        <v>162</v>
      </c>
      <c r="I428" s="58">
        <v>43448</v>
      </c>
      <c r="J428" s="55" t="s">
        <v>163</v>
      </c>
      <c r="K428" s="55"/>
      <c r="L428" s="55">
        <v>1</v>
      </c>
      <c r="M428" s="55">
        <f t="shared" si="19"/>
        <v>760</v>
      </c>
      <c r="N428" s="59">
        <f t="shared" si="20"/>
        <v>-2.5541795665635199E-2</v>
      </c>
    </row>
    <row r="429" spans="1:14" s="104" customFormat="1" ht="15" hidden="1" customHeight="1" x14ac:dyDescent="0.2">
      <c r="A429" s="98" t="s">
        <v>318</v>
      </c>
      <c r="B429" s="99" t="s">
        <v>37</v>
      </c>
      <c r="C429" s="99">
        <v>780</v>
      </c>
      <c r="D429" s="100">
        <v>600</v>
      </c>
      <c r="E429" s="98">
        <f>630.6</f>
        <v>630.6</v>
      </c>
      <c r="F429" s="98" t="s">
        <v>8</v>
      </c>
      <c r="G429" s="101">
        <v>3</v>
      </c>
      <c r="H429" s="98" t="s">
        <v>162</v>
      </c>
      <c r="I429" s="102">
        <v>43448</v>
      </c>
      <c r="J429" s="98" t="s">
        <v>163</v>
      </c>
      <c r="K429" s="98"/>
      <c r="L429" s="98">
        <v>1</v>
      </c>
      <c r="M429" s="98">
        <f t="shared" si="19"/>
        <v>780</v>
      </c>
      <c r="N429" s="103">
        <f t="shared" si="20"/>
        <v>-0.23076923076923089</v>
      </c>
    </row>
    <row r="430" spans="1:14" s="52" customFormat="1" ht="15" hidden="1" customHeight="1" x14ac:dyDescent="0.2">
      <c r="A430" s="46" t="s">
        <v>161</v>
      </c>
      <c r="B430" s="47" t="s">
        <v>38</v>
      </c>
      <c r="C430" s="47">
        <v>880</v>
      </c>
      <c r="D430" s="48">
        <v>500</v>
      </c>
      <c r="E430" s="46">
        <f>157.9+315.6</f>
        <v>473.5</v>
      </c>
      <c r="F430" s="46" t="s">
        <v>8</v>
      </c>
      <c r="G430" s="49">
        <v>1</v>
      </c>
      <c r="H430" s="46" t="s">
        <v>162</v>
      </c>
      <c r="I430" s="50">
        <v>43448</v>
      </c>
      <c r="J430" s="46" t="s">
        <v>163</v>
      </c>
      <c r="K430" s="46"/>
      <c r="L430" s="46">
        <v>1</v>
      </c>
      <c r="M430" s="46">
        <f t="shared" si="19"/>
        <v>880</v>
      </c>
      <c r="N430" s="51">
        <f t="shared" si="20"/>
        <v>0.17713903743315507</v>
      </c>
    </row>
    <row r="431" spans="1:14" ht="15" hidden="1" customHeight="1" x14ac:dyDescent="0.2">
      <c r="A431" s="1" t="s">
        <v>161</v>
      </c>
      <c r="B431" s="2" t="s">
        <v>38</v>
      </c>
      <c r="C431" s="2">
        <v>940</v>
      </c>
      <c r="D431" s="7">
        <v>1000</v>
      </c>
      <c r="E431" s="1">
        <f>961.6</f>
        <v>961.6</v>
      </c>
      <c r="F431" s="1" t="s">
        <v>8</v>
      </c>
      <c r="H431" s="1" t="s">
        <v>162</v>
      </c>
      <c r="I431" s="8">
        <v>43448</v>
      </c>
      <c r="J431" s="16" t="s">
        <v>163</v>
      </c>
      <c r="L431" s="3">
        <v>1</v>
      </c>
      <c r="M431" s="10">
        <f t="shared" si="19"/>
        <v>940</v>
      </c>
      <c r="N431" s="32">
        <f t="shared" si="20"/>
        <v>0.24030037546933652</v>
      </c>
    </row>
    <row r="432" spans="1:14" s="52" customFormat="1" ht="15" hidden="1" customHeight="1" x14ac:dyDescent="0.2">
      <c r="A432" s="46" t="s">
        <v>161</v>
      </c>
      <c r="B432" s="47" t="s">
        <v>38</v>
      </c>
      <c r="C432" s="47">
        <v>980</v>
      </c>
      <c r="D432" s="48">
        <v>500</v>
      </c>
      <c r="E432" s="46">
        <f>177.3+354.9</f>
        <v>532.20000000000005</v>
      </c>
      <c r="F432" s="46" t="s">
        <v>8</v>
      </c>
      <c r="G432" s="49">
        <v>1</v>
      </c>
      <c r="H432" s="46" t="s">
        <v>162</v>
      </c>
      <c r="I432" s="50">
        <v>43448</v>
      </c>
      <c r="J432" s="46" t="s">
        <v>163</v>
      </c>
      <c r="K432" s="46"/>
      <c r="L432" s="46">
        <v>1</v>
      </c>
      <c r="M432" s="46">
        <f t="shared" si="19"/>
        <v>980</v>
      </c>
      <c r="N432" s="51">
        <f t="shared" si="20"/>
        <v>-0.19327731092437</v>
      </c>
    </row>
    <row r="433" spans="1:14" s="60" customFormat="1" ht="15" hidden="1" customHeight="1" x14ac:dyDescent="0.2">
      <c r="A433" s="55" t="s">
        <v>164</v>
      </c>
      <c r="B433" s="54" t="s">
        <v>36</v>
      </c>
      <c r="C433" s="47">
        <v>505</v>
      </c>
      <c r="D433" s="56">
        <v>2000</v>
      </c>
      <c r="E433" s="55">
        <f>678.7+708.9+670.6</f>
        <v>2058.1999999999998</v>
      </c>
      <c r="F433" s="55" t="s">
        <v>8</v>
      </c>
      <c r="G433" s="57" t="s">
        <v>146</v>
      </c>
      <c r="H433" s="55"/>
      <c r="I433" s="58">
        <v>43448</v>
      </c>
      <c r="J433" s="55" t="s">
        <v>165</v>
      </c>
      <c r="K433" s="55"/>
      <c r="L433" s="55">
        <v>2</v>
      </c>
      <c r="M433" s="55">
        <f>L433*C433</f>
        <v>1010</v>
      </c>
      <c r="N433" s="59">
        <f>(D433-E433)/(M433*0.17)</f>
        <v>-0.33896330809551434</v>
      </c>
    </row>
    <row r="434" spans="1:14" s="96" customFormat="1" ht="15" hidden="1" customHeight="1" x14ac:dyDescent="0.2">
      <c r="A434" s="90" t="s">
        <v>166</v>
      </c>
      <c r="B434" s="91" t="s">
        <v>36</v>
      </c>
      <c r="C434" s="91">
        <v>495</v>
      </c>
      <c r="D434" s="92">
        <v>1500</v>
      </c>
      <c r="E434" s="90">
        <f>1228.4+229.2</f>
        <v>1457.6000000000001</v>
      </c>
      <c r="F434" s="90" t="s">
        <v>8</v>
      </c>
      <c r="G434" s="93" t="s">
        <v>146</v>
      </c>
      <c r="H434" s="90" t="s">
        <v>167</v>
      </c>
      <c r="I434" s="94">
        <v>43448</v>
      </c>
      <c r="J434" s="90" t="s">
        <v>168</v>
      </c>
      <c r="K434" s="90"/>
      <c r="L434" s="90"/>
      <c r="M434" s="90"/>
      <c r="N434" s="95"/>
    </row>
    <row r="435" spans="1:14" s="104" customFormat="1" ht="15" hidden="1" customHeight="1" x14ac:dyDescent="0.2">
      <c r="A435" s="98" t="s">
        <v>169</v>
      </c>
      <c r="B435" s="99" t="s">
        <v>38</v>
      </c>
      <c r="C435" s="99">
        <v>410</v>
      </c>
      <c r="D435" s="100">
        <v>500</v>
      </c>
      <c r="E435" s="98">
        <f>616.5</f>
        <v>616.5</v>
      </c>
      <c r="F435" s="98" t="s">
        <v>8</v>
      </c>
      <c r="G435" s="101">
        <v>3</v>
      </c>
      <c r="H435" s="98"/>
      <c r="I435" s="102">
        <v>43448</v>
      </c>
      <c r="J435" s="98" t="s">
        <v>170</v>
      </c>
      <c r="K435" s="98"/>
      <c r="L435" s="98">
        <v>3</v>
      </c>
      <c r="M435" s="98">
        <f>L435*C435</f>
        <v>1230</v>
      </c>
      <c r="N435" s="103">
        <f>(D435-E435)/(M435*0.17)</f>
        <v>-0.55714968914395024</v>
      </c>
    </row>
    <row r="436" spans="1:14" s="96" customFormat="1" ht="15" hidden="1" customHeight="1" x14ac:dyDescent="0.2">
      <c r="A436" s="90" t="s">
        <v>169</v>
      </c>
      <c r="B436" s="91" t="s">
        <v>36</v>
      </c>
      <c r="C436" s="91">
        <v>440</v>
      </c>
      <c r="D436" s="92">
        <v>500</v>
      </c>
      <c r="E436" s="90">
        <f>513.4</f>
        <v>513.4</v>
      </c>
      <c r="F436" s="90" t="s">
        <v>8</v>
      </c>
      <c r="G436" s="93">
        <v>3</v>
      </c>
      <c r="H436" s="90"/>
      <c r="I436" s="94">
        <v>43448</v>
      </c>
      <c r="J436" s="90" t="s">
        <v>170</v>
      </c>
      <c r="K436" s="90"/>
      <c r="L436" s="90">
        <v>2</v>
      </c>
      <c r="M436" s="90">
        <f>L436*C436</f>
        <v>880</v>
      </c>
      <c r="N436" s="95">
        <f>(D436-E436)/(M436*0.17)</f>
        <v>-8.9572192513368815E-2</v>
      </c>
    </row>
    <row r="437" spans="1:14" s="52" customFormat="1" ht="15" hidden="1" customHeight="1" x14ac:dyDescent="0.2">
      <c r="A437" s="46" t="s">
        <v>169</v>
      </c>
      <c r="B437" s="47" t="s">
        <v>36</v>
      </c>
      <c r="C437" s="47">
        <v>490</v>
      </c>
      <c r="D437" s="48">
        <v>50</v>
      </c>
      <c r="E437" s="46" t="s">
        <v>123</v>
      </c>
      <c r="F437" s="46" t="s">
        <v>123</v>
      </c>
      <c r="G437" s="49"/>
      <c r="H437" s="46"/>
      <c r="I437" s="50">
        <v>43448</v>
      </c>
      <c r="J437" s="46" t="s">
        <v>11</v>
      </c>
      <c r="K437" s="46"/>
      <c r="L437" s="46"/>
      <c r="M437" s="46"/>
      <c r="N437" s="51"/>
    </row>
    <row r="438" spans="1:14" s="78" customFormat="1" ht="15" hidden="1" customHeight="1" x14ac:dyDescent="0.2">
      <c r="A438" s="16" t="s">
        <v>171</v>
      </c>
      <c r="B438" s="73" t="s">
        <v>39</v>
      </c>
      <c r="C438" s="54">
        <v>250</v>
      </c>
      <c r="D438" s="74">
        <v>2000</v>
      </c>
      <c r="E438" s="16">
        <f>2078.4</f>
        <v>2078.4</v>
      </c>
      <c r="F438" s="16" t="s">
        <v>8</v>
      </c>
      <c r="G438" s="75" t="s">
        <v>146</v>
      </c>
      <c r="H438" s="16">
        <v>350</v>
      </c>
      <c r="I438" s="76">
        <v>43448</v>
      </c>
      <c r="J438" s="16" t="s">
        <v>172</v>
      </c>
      <c r="K438" s="16"/>
      <c r="L438" s="16">
        <v>4</v>
      </c>
      <c r="M438" s="16">
        <f t="shared" ref="M438:M444" si="21">L438*C438</f>
        <v>1000</v>
      </c>
      <c r="N438" s="77">
        <f t="shared" ref="N438:N444" si="22">(D438-E438)/(M438*0.17)</f>
        <v>-0.46117647058823585</v>
      </c>
    </row>
    <row r="439" spans="1:14" s="52" customFormat="1" ht="15" hidden="1" customHeight="1" x14ac:dyDescent="0.2">
      <c r="A439" s="46" t="s">
        <v>171</v>
      </c>
      <c r="B439" s="47" t="s">
        <v>37</v>
      </c>
      <c r="C439" s="47">
        <v>330</v>
      </c>
      <c r="D439" s="48">
        <v>1500</v>
      </c>
      <c r="E439" s="46">
        <f>441.6+1155.3</f>
        <v>1596.9</v>
      </c>
      <c r="F439" s="46" t="s">
        <v>8</v>
      </c>
      <c r="G439" s="49" t="s">
        <v>146</v>
      </c>
      <c r="H439" s="46">
        <v>350</v>
      </c>
      <c r="I439" s="50">
        <v>43448</v>
      </c>
      <c r="J439" s="46" t="s">
        <v>172</v>
      </c>
      <c r="K439" s="46"/>
      <c r="L439" s="46">
        <v>3</v>
      </c>
      <c r="M439" s="46">
        <f t="shared" si="21"/>
        <v>990</v>
      </c>
      <c r="N439" s="51">
        <f t="shared" si="22"/>
        <v>-0.57575757575757625</v>
      </c>
    </row>
    <row r="440" spans="1:14" s="52" customFormat="1" ht="15" hidden="1" customHeight="1" x14ac:dyDescent="0.2">
      <c r="A440" s="46" t="s">
        <v>173</v>
      </c>
      <c r="B440" s="47" t="s">
        <v>37</v>
      </c>
      <c r="C440" s="54">
        <v>300</v>
      </c>
      <c r="D440" s="48">
        <v>50</v>
      </c>
      <c r="E440" s="46">
        <f>51</f>
        <v>51</v>
      </c>
      <c r="F440" s="46" t="s">
        <v>8</v>
      </c>
      <c r="G440" s="49" t="s">
        <v>146</v>
      </c>
      <c r="H440" s="46" t="s">
        <v>180</v>
      </c>
      <c r="I440" s="50">
        <v>43448</v>
      </c>
      <c r="J440" s="46" t="s">
        <v>175</v>
      </c>
      <c r="K440" s="46"/>
      <c r="L440" s="46">
        <v>4</v>
      </c>
      <c r="M440" s="10">
        <f t="shared" si="21"/>
        <v>1200</v>
      </c>
      <c r="N440" s="29">
        <f t="shared" si="22"/>
        <v>-4.9019607843137246E-3</v>
      </c>
    </row>
    <row r="441" spans="1:14" s="52" customFormat="1" ht="15" hidden="1" customHeight="1" x14ac:dyDescent="0.2">
      <c r="A441" s="46" t="s">
        <v>173</v>
      </c>
      <c r="B441" s="47" t="s">
        <v>37</v>
      </c>
      <c r="C441" s="54">
        <v>400</v>
      </c>
      <c r="D441" s="48">
        <v>50</v>
      </c>
      <c r="E441" s="46">
        <f>61.5</f>
        <v>61.5</v>
      </c>
      <c r="F441" s="46" t="s">
        <v>8</v>
      </c>
      <c r="G441" s="49" t="s">
        <v>146</v>
      </c>
      <c r="H441" s="46" t="s">
        <v>180</v>
      </c>
      <c r="I441" s="50">
        <v>43448</v>
      </c>
      <c r="J441" s="46" t="s">
        <v>175</v>
      </c>
      <c r="K441" s="46"/>
      <c r="L441" s="46">
        <v>3</v>
      </c>
      <c r="M441" s="10">
        <f t="shared" si="21"/>
        <v>1200</v>
      </c>
      <c r="N441" s="29">
        <f t="shared" si="22"/>
        <v>-5.6372549019607837E-2</v>
      </c>
    </row>
    <row r="442" spans="1:14" s="104" customFormat="1" ht="15" hidden="1" customHeight="1" x14ac:dyDescent="0.2">
      <c r="A442" s="98" t="s">
        <v>173</v>
      </c>
      <c r="B442" s="99" t="s">
        <v>38</v>
      </c>
      <c r="C442" s="99">
        <v>410</v>
      </c>
      <c r="D442" s="100">
        <v>80</v>
      </c>
      <c r="E442" s="98">
        <f>84.9</f>
        <v>84.9</v>
      </c>
      <c r="F442" s="98" t="s">
        <v>8</v>
      </c>
      <c r="G442" s="101"/>
      <c r="H442" s="98">
        <v>600</v>
      </c>
      <c r="I442" s="102">
        <v>43448</v>
      </c>
      <c r="J442" s="98" t="s">
        <v>175</v>
      </c>
      <c r="K442" s="98"/>
      <c r="L442" s="98">
        <v>3</v>
      </c>
      <c r="M442" s="98">
        <f t="shared" si="21"/>
        <v>1230</v>
      </c>
      <c r="N442" s="103">
        <f t="shared" si="22"/>
        <v>-2.3433763749402224E-2</v>
      </c>
    </row>
    <row r="443" spans="1:14" s="78" customFormat="1" ht="15" hidden="1" customHeight="1" x14ac:dyDescent="0.2">
      <c r="A443" s="16" t="s">
        <v>173</v>
      </c>
      <c r="B443" s="73" t="s">
        <v>39</v>
      </c>
      <c r="C443" s="73">
        <v>800</v>
      </c>
      <c r="D443" s="74">
        <v>180</v>
      </c>
      <c r="E443" s="16">
        <f>164.3</f>
        <v>164.3</v>
      </c>
      <c r="F443" s="16" t="s">
        <v>8</v>
      </c>
      <c r="G443" s="75" t="s">
        <v>146</v>
      </c>
      <c r="H443" s="16">
        <v>600</v>
      </c>
      <c r="I443" s="76">
        <v>43448</v>
      </c>
      <c r="J443" s="16" t="s">
        <v>175</v>
      </c>
      <c r="K443" s="16"/>
      <c r="L443" s="16">
        <v>1</v>
      </c>
      <c r="M443" s="16">
        <f t="shared" si="21"/>
        <v>800</v>
      </c>
      <c r="N443" s="77">
        <f t="shared" si="22"/>
        <v>0.11544117647058816</v>
      </c>
    </row>
    <row r="444" spans="1:14" s="78" customFormat="1" ht="15" hidden="1" customHeight="1" x14ac:dyDescent="0.2">
      <c r="A444" s="16" t="s">
        <v>173</v>
      </c>
      <c r="B444" s="73" t="s">
        <v>39</v>
      </c>
      <c r="C444" s="73">
        <v>720</v>
      </c>
      <c r="D444" s="74">
        <v>250</v>
      </c>
      <c r="E444" s="16">
        <f>294.6</f>
        <v>294.60000000000002</v>
      </c>
      <c r="F444" s="16" t="s">
        <v>8</v>
      </c>
      <c r="G444" s="75" t="s">
        <v>146</v>
      </c>
      <c r="H444" s="16" t="s">
        <v>174</v>
      </c>
      <c r="I444" s="76">
        <v>43448</v>
      </c>
      <c r="J444" s="16" t="s">
        <v>175</v>
      </c>
      <c r="K444" s="16"/>
      <c r="L444" s="16">
        <v>1</v>
      </c>
      <c r="M444" s="16">
        <f t="shared" si="21"/>
        <v>720</v>
      </c>
      <c r="N444" s="77">
        <f t="shared" si="22"/>
        <v>-0.36437908496732041</v>
      </c>
    </row>
    <row r="445" spans="1:14" s="78" customFormat="1" ht="15" hidden="1" customHeight="1" x14ac:dyDescent="0.2">
      <c r="A445" s="16" t="s">
        <v>176</v>
      </c>
      <c r="B445" s="73" t="s">
        <v>37</v>
      </c>
      <c r="C445" s="73">
        <v>420</v>
      </c>
      <c r="D445" s="74">
        <v>750</v>
      </c>
      <c r="E445" s="16">
        <f>758.9</f>
        <v>758.9</v>
      </c>
      <c r="F445" s="16" t="s">
        <v>8</v>
      </c>
      <c r="G445" s="75" t="s">
        <v>146</v>
      </c>
      <c r="H445" s="16"/>
      <c r="I445" s="76">
        <v>43448</v>
      </c>
      <c r="J445" s="16" t="s">
        <v>177</v>
      </c>
      <c r="K445" s="16"/>
      <c r="L445" s="16">
        <v>2</v>
      </c>
      <c r="M445" s="16">
        <f t="shared" ref="M445:M453" si="23">L445*C445</f>
        <v>840</v>
      </c>
      <c r="N445" s="77">
        <f t="shared" ref="N445:N453" si="24">(D445-E445)/(M445*0.17)</f>
        <v>-6.232492997198863E-2</v>
      </c>
    </row>
    <row r="446" spans="1:14" s="104" customFormat="1" ht="15" hidden="1" customHeight="1" x14ac:dyDescent="0.2">
      <c r="A446" s="98" t="s">
        <v>178</v>
      </c>
      <c r="B446" s="99" t="s">
        <v>39</v>
      </c>
      <c r="C446" s="91">
        <v>320</v>
      </c>
      <c r="D446" s="100">
        <v>150</v>
      </c>
      <c r="E446" s="98">
        <f>155.4</f>
        <v>155.4</v>
      </c>
      <c r="F446" s="98" t="s">
        <v>8</v>
      </c>
      <c r="G446" s="101" t="s">
        <v>146</v>
      </c>
      <c r="H446" s="98"/>
      <c r="I446" s="102">
        <v>43448</v>
      </c>
      <c r="J446" s="98" t="s">
        <v>5</v>
      </c>
      <c r="K446" s="98"/>
      <c r="L446" s="98">
        <v>3</v>
      </c>
      <c r="M446" s="98">
        <f t="shared" si="23"/>
        <v>960</v>
      </c>
      <c r="N446" s="103">
        <f t="shared" si="24"/>
        <v>-3.3088235294117675E-2</v>
      </c>
    </row>
    <row r="447" spans="1:14" ht="15" hidden="1" customHeight="1" x14ac:dyDescent="0.2">
      <c r="A447" s="1" t="s">
        <v>178</v>
      </c>
      <c r="B447" s="2" t="s">
        <v>39</v>
      </c>
      <c r="C447" s="2">
        <v>360</v>
      </c>
      <c r="D447" s="7">
        <v>500</v>
      </c>
      <c r="E447" s="1">
        <f>523.8</f>
        <v>523.79999999999995</v>
      </c>
      <c r="F447" s="1" t="s">
        <v>8</v>
      </c>
      <c r="I447" s="8">
        <v>43448</v>
      </c>
      <c r="J447" s="16" t="s">
        <v>5</v>
      </c>
      <c r="M447" s="10">
        <f t="shared" si="23"/>
        <v>0</v>
      </c>
      <c r="N447" s="29" t="e">
        <f t="shared" si="24"/>
        <v>#DIV/0!</v>
      </c>
    </row>
    <row r="448" spans="1:14" s="104" customFormat="1" ht="15" hidden="1" customHeight="1" x14ac:dyDescent="0.2">
      <c r="A448" s="98" t="s">
        <v>178</v>
      </c>
      <c r="B448" s="99" t="s">
        <v>39</v>
      </c>
      <c r="C448" s="91">
        <v>400</v>
      </c>
      <c r="D448" s="100">
        <v>300</v>
      </c>
      <c r="E448" s="98">
        <f>764.4</f>
        <v>764.4</v>
      </c>
      <c r="F448" s="98" t="s">
        <v>8</v>
      </c>
      <c r="G448" s="101" t="s">
        <v>146</v>
      </c>
      <c r="H448" s="98"/>
      <c r="I448" s="102">
        <v>43448</v>
      </c>
      <c r="J448" s="98" t="s">
        <v>5</v>
      </c>
      <c r="K448" s="98"/>
      <c r="L448" s="98">
        <v>3</v>
      </c>
      <c r="M448" s="98">
        <f t="shared" si="23"/>
        <v>1200</v>
      </c>
      <c r="N448" s="103">
        <f t="shared" si="24"/>
        <v>-2.2764705882352936</v>
      </c>
    </row>
    <row r="449" spans="1:14" s="104" customFormat="1" ht="15" hidden="1" customHeight="1" x14ac:dyDescent="0.2">
      <c r="A449" s="98" t="s">
        <v>178</v>
      </c>
      <c r="B449" s="99" t="s">
        <v>39</v>
      </c>
      <c r="C449" s="91">
        <v>450</v>
      </c>
      <c r="D449" s="100">
        <v>1000</v>
      </c>
      <c r="E449" s="98">
        <f>1087.2</f>
        <v>1087.2</v>
      </c>
      <c r="F449" s="98" t="s">
        <v>8</v>
      </c>
      <c r="G449" s="101" t="s">
        <v>146</v>
      </c>
      <c r="H449" s="98"/>
      <c r="I449" s="102">
        <v>43448</v>
      </c>
      <c r="J449" s="98" t="s">
        <v>5</v>
      </c>
      <c r="K449" s="98"/>
      <c r="L449" s="98">
        <v>3</v>
      </c>
      <c r="M449" s="98">
        <f t="shared" si="23"/>
        <v>1350</v>
      </c>
      <c r="N449" s="103">
        <f t="shared" si="24"/>
        <v>-0.37995642701525068</v>
      </c>
    </row>
    <row r="450" spans="1:14" s="104" customFormat="1" ht="15" hidden="1" customHeight="1" x14ac:dyDescent="0.2">
      <c r="A450" s="98" t="s">
        <v>178</v>
      </c>
      <c r="B450" s="99" t="s">
        <v>39</v>
      </c>
      <c r="C450" s="91">
        <v>480</v>
      </c>
      <c r="D450" s="100">
        <v>300</v>
      </c>
      <c r="E450" s="98">
        <f>325.4</f>
        <v>325.39999999999998</v>
      </c>
      <c r="F450" s="98" t="s">
        <v>8</v>
      </c>
      <c r="G450" s="101" t="s">
        <v>146</v>
      </c>
      <c r="H450" s="98"/>
      <c r="I450" s="102">
        <v>43448</v>
      </c>
      <c r="J450" s="98" t="s">
        <v>5</v>
      </c>
      <c r="K450" s="98"/>
      <c r="L450" s="98">
        <v>2</v>
      </c>
      <c r="M450" s="98">
        <f t="shared" si="23"/>
        <v>960</v>
      </c>
      <c r="N450" s="103">
        <f t="shared" si="24"/>
        <v>-0.15563725490196062</v>
      </c>
    </row>
    <row r="451" spans="1:14" s="104" customFormat="1" ht="15" hidden="1" customHeight="1" x14ac:dyDescent="0.2">
      <c r="A451" s="98" t="s">
        <v>178</v>
      </c>
      <c r="B451" s="99" t="s">
        <v>39</v>
      </c>
      <c r="C451" s="91">
        <v>500</v>
      </c>
      <c r="D451" s="100">
        <v>1000</v>
      </c>
      <c r="E451" s="98">
        <f>962.3</f>
        <v>962.3</v>
      </c>
      <c r="F451" s="98" t="s">
        <v>8</v>
      </c>
      <c r="G451" s="101" t="s">
        <v>146</v>
      </c>
      <c r="H451" s="98"/>
      <c r="I451" s="102">
        <v>43448</v>
      </c>
      <c r="J451" s="98" t="s">
        <v>5</v>
      </c>
      <c r="K451" s="98"/>
      <c r="L451" s="98">
        <v>2</v>
      </c>
      <c r="M451" s="98">
        <f t="shared" si="23"/>
        <v>1000</v>
      </c>
      <c r="N451" s="103">
        <f t="shared" si="24"/>
        <v>0.2217647058823532</v>
      </c>
    </row>
    <row r="452" spans="1:14" s="104" customFormat="1" ht="15" hidden="1" customHeight="1" x14ac:dyDescent="0.2">
      <c r="A452" s="98" t="s">
        <v>178</v>
      </c>
      <c r="B452" s="99" t="s">
        <v>39</v>
      </c>
      <c r="C452" s="91">
        <v>560</v>
      </c>
      <c r="D452" s="100">
        <v>750</v>
      </c>
      <c r="E452" s="98">
        <f>766</f>
        <v>766</v>
      </c>
      <c r="F452" s="98" t="s">
        <v>8</v>
      </c>
      <c r="G452" s="101" t="s">
        <v>146</v>
      </c>
      <c r="H452" s="98"/>
      <c r="I452" s="102">
        <v>43448</v>
      </c>
      <c r="J452" s="98" t="s">
        <v>5</v>
      </c>
      <c r="K452" s="98"/>
      <c r="L452" s="98">
        <v>2</v>
      </c>
      <c r="M452" s="98">
        <f t="shared" si="23"/>
        <v>1120</v>
      </c>
      <c r="N452" s="103">
        <f t="shared" si="24"/>
        <v>-8.4033613445378144E-2</v>
      </c>
    </row>
    <row r="453" spans="1:14" ht="15" hidden="1" customHeight="1" x14ac:dyDescent="0.2">
      <c r="A453" s="1" t="s">
        <v>178</v>
      </c>
      <c r="B453" s="2" t="s">
        <v>39</v>
      </c>
      <c r="C453" s="2">
        <v>600</v>
      </c>
      <c r="D453" s="7">
        <v>100</v>
      </c>
      <c r="E453" s="1">
        <f>141</f>
        <v>141</v>
      </c>
      <c r="F453" s="1" t="s">
        <v>8</v>
      </c>
      <c r="H453" s="1" t="s">
        <v>179</v>
      </c>
      <c r="I453" s="8">
        <v>43448</v>
      </c>
      <c r="J453" s="16" t="s">
        <v>5</v>
      </c>
      <c r="M453" s="10">
        <f t="shared" si="23"/>
        <v>0</v>
      </c>
      <c r="N453" s="29" t="e">
        <f t="shared" si="24"/>
        <v>#DIV/0!</v>
      </c>
    </row>
    <row r="454" spans="1:14" s="52" customFormat="1" ht="15" hidden="1" customHeight="1" x14ac:dyDescent="0.2">
      <c r="A454" s="46" t="s">
        <v>178</v>
      </c>
      <c r="B454" s="47" t="s">
        <v>37</v>
      </c>
      <c r="C454" s="54">
        <v>390</v>
      </c>
      <c r="D454" s="48">
        <v>200</v>
      </c>
      <c r="E454" s="46">
        <f>192.9</f>
        <v>192.9</v>
      </c>
      <c r="F454" s="46" t="s">
        <v>8</v>
      </c>
      <c r="G454" s="49" t="s">
        <v>146</v>
      </c>
      <c r="H454" s="46"/>
      <c r="I454" s="50">
        <v>43448</v>
      </c>
      <c r="J454" s="46" t="s">
        <v>5</v>
      </c>
      <c r="K454" s="46"/>
      <c r="L454" s="46"/>
      <c r="M454" s="46"/>
      <c r="N454" s="51"/>
    </row>
    <row r="455" spans="1:14" s="60" customFormat="1" ht="15" hidden="1" customHeight="1" x14ac:dyDescent="0.2">
      <c r="A455" s="55" t="s">
        <v>178</v>
      </c>
      <c r="B455" s="54" t="s">
        <v>37</v>
      </c>
      <c r="C455" s="54">
        <v>430</v>
      </c>
      <c r="D455" s="56">
        <v>1700</v>
      </c>
      <c r="E455" s="55">
        <f>1093.8+797.7</f>
        <v>1891.5</v>
      </c>
      <c r="F455" s="55" t="s">
        <v>8</v>
      </c>
      <c r="G455" s="57">
        <v>4</v>
      </c>
      <c r="H455" s="55"/>
      <c r="I455" s="58">
        <v>43448</v>
      </c>
      <c r="J455" s="55" t="s">
        <v>5</v>
      </c>
      <c r="K455" s="55"/>
      <c r="L455" s="55">
        <v>3</v>
      </c>
      <c r="M455" s="55">
        <f t="shared" ref="M455:M460" si="25">L455*C455</f>
        <v>1290</v>
      </c>
      <c r="N455" s="59">
        <f t="shared" ref="N455:N465" si="26">(D455-E455)/(M455*0.17)</f>
        <v>-0.87323301413588683</v>
      </c>
    </row>
    <row r="456" spans="1:14" s="78" customFormat="1" ht="15" hidden="1" customHeight="1" x14ac:dyDescent="0.2">
      <c r="A456" s="16" t="s">
        <v>178</v>
      </c>
      <c r="B456" s="73" t="s">
        <v>37</v>
      </c>
      <c r="C456" s="73">
        <v>500</v>
      </c>
      <c r="D456" s="74">
        <v>100</v>
      </c>
      <c r="E456" s="16">
        <f>124.6</f>
        <v>124.6</v>
      </c>
      <c r="F456" s="16" t="s">
        <v>8</v>
      </c>
      <c r="G456" s="75" t="s">
        <v>146</v>
      </c>
      <c r="H456" s="16"/>
      <c r="I456" s="76">
        <v>43448</v>
      </c>
      <c r="J456" s="16" t="s">
        <v>5</v>
      </c>
      <c r="K456" s="16"/>
      <c r="L456" s="16">
        <v>1</v>
      </c>
      <c r="M456" s="16">
        <f t="shared" si="25"/>
        <v>500</v>
      </c>
      <c r="N456" s="77">
        <f t="shared" si="26"/>
        <v>-0.28941176470588231</v>
      </c>
    </row>
    <row r="457" spans="1:14" ht="15" hidden="1" customHeight="1" x14ac:dyDescent="0.2">
      <c r="A457" s="1" t="s">
        <v>178</v>
      </c>
      <c r="B457" s="2" t="s">
        <v>37</v>
      </c>
      <c r="C457" s="54">
        <v>560</v>
      </c>
      <c r="D457" s="7">
        <v>800</v>
      </c>
      <c r="E457" s="1">
        <f>827.1</f>
        <v>827.1</v>
      </c>
      <c r="F457" s="1" t="s">
        <v>8</v>
      </c>
      <c r="G457" s="41">
        <v>4</v>
      </c>
      <c r="I457" s="8">
        <v>43448</v>
      </c>
      <c r="J457" s="16" t="s">
        <v>5</v>
      </c>
      <c r="L457" s="3">
        <v>2</v>
      </c>
      <c r="M457" s="10">
        <f t="shared" si="25"/>
        <v>1120</v>
      </c>
      <c r="N457" s="29">
        <f t="shared" si="26"/>
        <v>-0.14233193277310935</v>
      </c>
    </row>
    <row r="458" spans="1:14" ht="15" hidden="1" customHeight="1" x14ac:dyDescent="0.2">
      <c r="A458" s="1" t="s">
        <v>178</v>
      </c>
      <c r="B458" s="2" t="s">
        <v>38</v>
      </c>
      <c r="C458" s="2">
        <v>260</v>
      </c>
      <c r="D458" s="7">
        <v>500</v>
      </c>
      <c r="E458" s="1">
        <f>491.6</f>
        <v>491.6</v>
      </c>
      <c r="F458" s="1" t="s">
        <v>8</v>
      </c>
      <c r="I458" s="8">
        <v>43448</v>
      </c>
      <c r="J458" s="16" t="s">
        <v>5</v>
      </c>
      <c r="L458" s="3">
        <v>1</v>
      </c>
      <c r="M458" s="10">
        <f t="shared" si="25"/>
        <v>260</v>
      </c>
      <c r="N458" s="32">
        <f t="shared" si="26"/>
        <v>0.19004524886877774</v>
      </c>
    </row>
    <row r="459" spans="1:14" s="60" customFormat="1" ht="15" hidden="1" customHeight="1" x14ac:dyDescent="0.2">
      <c r="A459" s="55" t="s">
        <v>178</v>
      </c>
      <c r="B459" s="54" t="s">
        <v>38</v>
      </c>
      <c r="C459" s="54">
        <v>400</v>
      </c>
      <c r="D459" s="56">
        <v>1000</v>
      </c>
      <c r="E459" s="55">
        <f>256.8+150+160.7+385+346.6</f>
        <v>1299.0999999999999</v>
      </c>
      <c r="F459" s="55" t="s">
        <v>8</v>
      </c>
      <c r="G459" s="57">
        <v>3</v>
      </c>
      <c r="H459" s="55"/>
      <c r="I459" s="58">
        <v>43448</v>
      </c>
      <c r="J459" s="55" t="s">
        <v>5</v>
      </c>
      <c r="K459" s="55"/>
      <c r="L459" s="55">
        <v>2</v>
      </c>
      <c r="M459" s="55">
        <f t="shared" si="25"/>
        <v>800</v>
      </c>
      <c r="N459" s="59">
        <f t="shared" si="26"/>
        <v>-2.1992647058823525</v>
      </c>
    </row>
    <row r="460" spans="1:14" s="104" customFormat="1" ht="15" hidden="1" customHeight="1" x14ac:dyDescent="0.2">
      <c r="A460" s="98" t="s">
        <v>161</v>
      </c>
      <c r="B460" s="99" t="s">
        <v>37</v>
      </c>
      <c r="C460" s="99">
        <v>880</v>
      </c>
      <c r="D460" s="100">
        <v>1500</v>
      </c>
      <c r="E460" s="98">
        <f>957.6+571.4</f>
        <v>1529</v>
      </c>
      <c r="F460" s="98" t="s">
        <v>8</v>
      </c>
      <c r="G460" s="101">
        <v>3</v>
      </c>
      <c r="H460" s="98" t="s">
        <v>162</v>
      </c>
      <c r="I460" s="102">
        <v>43448</v>
      </c>
      <c r="J460" s="98" t="s">
        <v>163</v>
      </c>
      <c r="K460" s="98"/>
      <c r="L460" s="98">
        <v>1</v>
      </c>
      <c r="M460" s="98">
        <f t="shared" si="25"/>
        <v>880</v>
      </c>
      <c r="N460" s="103">
        <f t="shared" si="26"/>
        <v>-0.19385026737967911</v>
      </c>
    </row>
    <row r="461" spans="1:14" s="78" customFormat="1" ht="15" hidden="1" customHeight="1" x14ac:dyDescent="0.2">
      <c r="A461" s="16" t="s">
        <v>181</v>
      </c>
      <c r="B461" s="73" t="s">
        <v>37</v>
      </c>
      <c r="C461" s="73">
        <v>560</v>
      </c>
      <c r="D461" s="74">
        <v>350</v>
      </c>
      <c r="E461" s="16">
        <f>336.5</f>
        <v>336.5</v>
      </c>
      <c r="F461" s="16" t="s">
        <v>8</v>
      </c>
      <c r="G461" s="75">
        <v>4</v>
      </c>
      <c r="H461" s="16"/>
      <c r="I461" s="76">
        <v>43448</v>
      </c>
      <c r="J461" s="16" t="s">
        <v>182</v>
      </c>
      <c r="K461" s="16"/>
      <c r="L461" s="16">
        <v>2</v>
      </c>
      <c r="M461" s="16">
        <f t="shared" ref="M461:M468" si="27">L461*C461</f>
        <v>1120</v>
      </c>
      <c r="N461" s="77">
        <f t="shared" si="26"/>
        <v>7.0903361344537813E-2</v>
      </c>
    </row>
    <row r="462" spans="1:14" s="52" customFormat="1" ht="15" hidden="1" customHeight="1" x14ac:dyDescent="0.2">
      <c r="A462" s="46" t="s">
        <v>181</v>
      </c>
      <c r="B462" s="47" t="s">
        <v>37</v>
      </c>
      <c r="C462" s="47">
        <v>600</v>
      </c>
      <c r="D462" s="48">
        <v>500</v>
      </c>
      <c r="E462" s="46">
        <f>515.1</f>
        <v>515.1</v>
      </c>
      <c r="F462" s="46" t="s">
        <v>8</v>
      </c>
      <c r="G462" s="49" t="s">
        <v>146</v>
      </c>
      <c r="H462" s="46"/>
      <c r="I462" s="50">
        <v>43448</v>
      </c>
      <c r="J462" s="46" t="s">
        <v>182</v>
      </c>
      <c r="K462" s="46"/>
      <c r="L462" s="46">
        <v>1</v>
      </c>
      <c r="M462" s="46">
        <f t="shared" si="27"/>
        <v>600</v>
      </c>
      <c r="N462" s="51">
        <f t="shared" si="26"/>
        <v>-0.14803921568627471</v>
      </c>
    </row>
    <row r="463" spans="1:14" s="52" customFormat="1" ht="15" hidden="1" customHeight="1" x14ac:dyDescent="0.2">
      <c r="A463" s="46" t="s">
        <v>181</v>
      </c>
      <c r="B463" s="47" t="s">
        <v>37</v>
      </c>
      <c r="C463" s="47">
        <v>650</v>
      </c>
      <c r="D463" s="48">
        <v>500</v>
      </c>
      <c r="E463" s="46">
        <f>558.8</f>
        <v>558.79999999999995</v>
      </c>
      <c r="F463" s="46" t="s">
        <v>8</v>
      </c>
      <c r="G463" s="49" t="s">
        <v>146</v>
      </c>
      <c r="H463" s="46"/>
      <c r="I463" s="50">
        <v>43448</v>
      </c>
      <c r="J463" s="46" t="s">
        <v>182</v>
      </c>
      <c r="K463" s="46"/>
      <c r="L463" s="46">
        <v>1</v>
      </c>
      <c r="M463" s="46">
        <f t="shared" si="27"/>
        <v>650</v>
      </c>
      <c r="N463" s="51">
        <f t="shared" si="26"/>
        <v>-0.53212669683257874</v>
      </c>
    </row>
    <row r="464" spans="1:14" ht="15" hidden="1" customHeight="1" x14ac:dyDescent="0.2">
      <c r="A464" s="1" t="s">
        <v>181</v>
      </c>
      <c r="B464" s="2" t="s">
        <v>37</v>
      </c>
      <c r="C464" s="2">
        <v>800</v>
      </c>
      <c r="D464" s="7">
        <v>300</v>
      </c>
      <c r="E464" s="1">
        <f>326.4</f>
        <v>326.39999999999998</v>
      </c>
      <c r="F464" s="1" t="s">
        <v>8</v>
      </c>
      <c r="G464" s="41">
        <v>4</v>
      </c>
      <c r="I464" s="8">
        <v>43448</v>
      </c>
      <c r="J464" s="16" t="s">
        <v>182</v>
      </c>
      <c r="L464" s="3">
        <v>1</v>
      </c>
      <c r="M464" s="10">
        <f t="shared" si="27"/>
        <v>800</v>
      </c>
      <c r="N464" s="29">
        <f t="shared" si="26"/>
        <v>-0.19411764705882337</v>
      </c>
    </row>
    <row r="465" spans="1:14" s="52" customFormat="1" ht="15" hidden="1" customHeight="1" x14ac:dyDescent="0.2">
      <c r="A465" s="46" t="s">
        <v>181</v>
      </c>
      <c r="B465" s="47" t="s">
        <v>37</v>
      </c>
      <c r="C465" s="47">
        <v>760</v>
      </c>
      <c r="D465" s="48">
        <v>600</v>
      </c>
      <c r="E465" s="46">
        <f>682</f>
        <v>682</v>
      </c>
      <c r="F465" s="46" t="s">
        <v>8</v>
      </c>
      <c r="G465" s="49" t="s">
        <v>146</v>
      </c>
      <c r="H465" s="46"/>
      <c r="I465" s="50">
        <v>43448</v>
      </c>
      <c r="J465" s="46" t="s">
        <v>182</v>
      </c>
      <c r="K465" s="46"/>
      <c r="L465" s="46">
        <v>1</v>
      </c>
      <c r="M465" s="46">
        <f t="shared" si="27"/>
        <v>760</v>
      </c>
      <c r="N465" s="51">
        <f t="shared" si="26"/>
        <v>-0.63467492260061908</v>
      </c>
    </row>
    <row r="466" spans="1:14" ht="15" hidden="1" customHeight="1" x14ac:dyDescent="0.2">
      <c r="A466" s="1" t="s">
        <v>99</v>
      </c>
      <c r="B466" s="2" t="s">
        <v>39</v>
      </c>
      <c r="C466" s="2">
        <v>145</v>
      </c>
      <c r="E466" s="1">
        <f>518.3</f>
        <v>518.29999999999995</v>
      </c>
      <c r="F466" s="1" t="s">
        <v>201</v>
      </c>
      <c r="M466" s="10">
        <f t="shared" si="27"/>
        <v>0</v>
      </c>
    </row>
    <row r="467" spans="1:14" s="71" customFormat="1" ht="15" hidden="1" customHeight="1" x14ac:dyDescent="0.2">
      <c r="A467" s="65" t="s">
        <v>184</v>
      </c>
      <c r="B467" s="66" t="s">
        <v>39</v>
      </c>
      <c r="C467" s="66">
        <v>500</v>
      </c>
      <c r="D467" s="67">
        <v>600</v>
      </c>
      <c r="E467" s="65">
        <f>183.3+421.2</f>
        <v>604.5</v>
      </c>
      <c r="F467" s="65" t="s">
        <v>8</v>
      </c>
      <c r="G467" s="68" t="s">
        <v>146</v>
      </c>
      <c r="H467" s="65"/>
      <c r="I467" s="69">
        <v>43451</v>
      </c>
      <c r="J467" s="65" t="s">
        <v>185</v>
      </c>
      <c r="K467" s="65"/>
      <c r="L467" s="65">
        <v>1</v>
      </c>
      <c r="M467" s="65">
        <f t="shared" si="27"/>
        <v>500</v>
      </c>
      <c r="N467" s="70">
        <f>(D467-E467)/(M467*0.17)</f>
        <v>-5.2941176470588235E-2</v>
      </c>
    </row>
    <row r="468" spans="1:14" s="52" customFormat="1" ht="15" hidden="1" customHeight="1" x14ac:dyDescent="0.2">
      <c r="A468" s="46" t="s">
        <v>184</v>
      </c>
      <c r="B468" s="47" t="s">
        <v>38</v>
      </c>
      <c r="C468" s="47">
        <v>540</v>
      </c>
      <c r="D468" s="48">
        <v>1000</v>
      </c>
      <c r="E468" s="46">
        <f>1055.8</f>
        <v>1055.8</v>
      </c>
      <c r="F468" s="46" t="s">
        <v>8</v>
      </c>
      <c r="G468" s="49">
        <v>4</v>
      </c>
      <c r="H468" s="46"/>
      <c r="I468" s="50">
        <v>43451</v>
      </c>
      <c r="J468" s="46" t="s">
        <v>185</v>
      </c>
      <c r="K468" s="46"/>
      <c r="L468" s="46">
        <v>2</v>
      </c>
      <c r="M468" s="46">
        <f t="shared" si="27"/>
        <v>1080</v>
      </c>
      <c r="N468" s="51">
        <f>(D468-E468)/(M468*0.17)</f>
        <v>-0.30392156862745068</v>
      </c>
    </row>
    <row r="469" spans="1:14" ht="15" hidden="1" customHeight="1" x14ac:dyDescent="0.2">
      <c r="A469" s="1" t="s">
        <v>186</v>
      </c>
      <c r="B469" s="2" t="s">
        <v>36</v>
      </c>
      <c r="C469" s="2">
        <v>255</v>
      </c>
      <c r="D469" s="7" t="s">
        <v>199</v>
      </c>
      <c r="E469" s="1" t="s">
        <v>123</v>
      </c>
      <c r="F469" s="1" t="s">
        <v>123</v>
      </c>
      <c r="H469" s="1">
        <v>300</v>
      </c>
      <c r="I469" s="8">
        <v>43451</v>
      </c>
      <c r="J469" s="16" t="s">
        <v>202</v>
      </c>
    </row>
    <row r="470" spans="1:14" s="52" customFormat="1" ht="15" hidden="1" customHeight="1" x14ac:dyDescent="0.2">
      <c r="A470" s="46" t="s">
        <v>187</v>
      </c>
      <c r="B470" s="47" t="s">
        <v>38</v>
      </c>
      <c r="C470" s="47">
        <v>880</v>
      </c>
      <c r="D470" s="48">
        <v>1000</v>
      </c>
      <c r="E470" s="46">
        <f>1077.2</f>
        <v>1077.2</v>
      </c>
      <c r="F470" s="46" t="s">
        <v>8</v>
      </c>
      <c r="G470" s="49">
        <v>4</v>
      </c>
      <c r="H470" s="46"/>
      <c r="I470" s="50">
        <v>43451</v>
      </c>
      <c r="J470" s="46" t="s">
        <v>17</v>
      </c>
      <c r="K470" s="46"/>
      <c r="L470" s="46">
        <v>1</v>
      </c>
      <c r="M470" s="46">
        <f>L470*C470</f>
        <v>880</v>
      </c>
      <c r="N470" s="51">
        <f>(D470-E470)/(M470*0.17)</f>
        <v>-0.51604278074866328</v>
      </c>
    </row>
    <row r="471" spans="1:14" ht="15" hidden="1" customHeight="1" x14ac:dyDescent="0.2">
      <c r="A471" s="1" t="s">
        <v>187</v>
      </c>
      <c r="B471" s="2" t="s">
        <v>38</v>
      </c>
      <c r="C471" s="2">
        <v>700</v>
      </c>
      <c r="D471" s="7">
        <v>300</v>
      </c>
      <c r="E471" s="1">
        <f>318.3</f>
        <v>318.3</v>
      </c>
      <c r="F471" s="1" t="s">
        <v>8</v>
      </c>
      <c r="G471" s="41">
        <v>4</v>
      </c>
      <c r="I471" s="8">
        <v>43451</v>
      </c>
      <c r="J471" s="16" t="s">
        <v>17</v>
      </c>
      <c r="L471" s="10">
        <v>1</v>
      </c>
      <c r="M471" s="10">
        <f>L471*C471</f>
        <v>700</v>
      </c>
      <c r="N471" s="29">
        <f>(D471-E471)/(M471*0.17)</f>
        <v>-0.15378151260504208</v>
      </c>
    </row>
    <row r="472" spans="1:14" s="52" customFormat="1" ht="15" hidden="1" customHeight="1" x14ac:dyDescent="0.2">
      <c r="A472" s="46" t="s">
        <v>187</v>
      </c>
      <c r="B472" s="47" t="s">
        <v>38</v>
      </c>
      <c r="C472" s="47">
        <v>840</v>
      </c>
      <c r="D472" s="48">
        <v>300</v>
      </c>
      <c r="E472" s="46">
        <f>307.4</f>
        <v>307.39999999999998</v>
      </c>
      <c r="F472" s="46" t="s">
        <v>8</v>
      </c>
      <c r="G472" s="49">
        <v>4</v>
      </c>
      <c r="H472" s="46"/>
      <c r="I472" s="50">
        <v>43451</v>
      </c>
      <c r="J472" s="46" t="s">
        <v>17</v>
      </c>
      <c r="K472" s="46"/>
      <c r="L472" s="46">
        <v>1</v>
      </c>
      <c r="M472" s="46">
        <f>L472*C472</f>
        <v>840</v>
      </c>
      <c r="N472" s="51">
        <f>(D472-E472)/(M472*0.17)</f>
        <v>-5.1820728291316363E-2</v>
      </c>
    </row>
    <row r="473" spans="1:14" s="88" customFormat="1" ht="15" hidden="1" customHeight="1" x14ac:dyDescent="0.2">
      <c r="A473" s="82" t="s">
        <v>188</v>
      </c>
      <c r="B473" s="83" t="s">
        <v>39</v>
      </c>
      <c r="C473" s="54">
        <v>600</v>
      </c>
      <c r="D473" s="84">
        <v>300</v>
      </c>
      <c r="E473" s="82">
        <f>265</f>
        <v>265</v>
      </c>
      <c r="F473" s="82" t="s">
        <v>8</v>
      </c>
      <c r="G473" s="85">
        <v>3</v>
      </c>
      <c r="H473" s="82">
        <v>300</v>
      </c>
      <c r="I473" s="86">
        <v>43451</v>
      </c>
      <c r="J473" s="82" t="s">
        <v>189</v>
      </c>
      <c r="K473" s="82"/>
      <c r="L473" s="82">
        <v>2</v>
      </c>
      <c r="M473" s="82">
        <f t="shared" ref="M473:M479" si="28">L473*C473</f>
        <v>1200</v>
      </c>
      <c r="N473" s="87">
        <f t="shared" ref="N473:N479" si="29">(D473-E473)/(M473*0.17)</f>
        <v>0.17156862745098037</v>
      </c>
    </row>
    <row r="474" spans="1:14" s="52" customFormat="1" ht="15" hidden="1" customHeight="1" x14ac:dyDescent="0.2">
      <c r="A474" s="46" t="s">
        <v>190</v>
      </c>
      <c r="B474" s="47" t="s">
        <v>36</v>
      </c>
      <c r="C474" s="47">
        <v>840</v>
      </c>
      <c r="D474" s="48">
        <v>1000</v>
      </c>
      <c r="E474" s="46">
        <f>777.4+194.7</f>
        <v>972.09999999999991</v>
      </c>
      <c r="F474" s="46" t="s">
        <v>8</v>
      </c>
      <c r="G474" s="49" t="s">
        <v>146</v>
      </c>
      <c r="H474" s="46"/>
      <c r="I474" s="50">
        <v>43451</v>
      </c>
      <c r="J474" s="46" t="s">
        <v>191</v>
      </c>
      <c r="K474" s="46"/>
      <c r="L474" s="46">
        <v>1</v>
      </c>
      <c r="M474" s="46">
        <f t="shared" si="28"/>
        <v>840</v>
      </c>
      <c r="N474" s="51">
        <f t="shared" si="29"/>
        <v>0.19537815126050481</v>
      </c>
    </row>
    <row r="475" spans="1:14" s="96" customFormat="1" ht="15" hidden="1" customHeight="1" x14ac:dyDescent="0.2">
      <c r="A475" s="90" t="s">
        <v>190</v>
      </c>
      <c r="B475" s="91" t="s">
        <v>36</v>
      </c>
      <c r="C475" s="91">
        <v>1050</v>
      </c>
      <c r="D475" s="92">
        <v>200</v>
      </c>
      <c r="E475" s="90">
        <f>228.5</f>
        <v>228.5</v>
      </c>
      <c r="F475" s="90" t="s">
        <v>8</v>
      </c>
      <c r="G475" s="93">
        <v>3</v>
      </c>
      <c r="H475" s="90"/>
      <c r="I475" s="94">
        <v>43451</v>
      </c>
      <c r="J475" s="90" t="s">
        <v>191</v>
      </c>
      <c r="K475" s="90"/>
      <c r="L475" s="90">
        <v>1</v>
      </c>
      <c r="M475" s="90">
        <f t="shared" si="28"/>
        <v>1050</v>
      </c>
      <c r="N475" s="95">
        <f t="shared" si="29"/>
        <v>-0.15966386554621848</v>
      </c>
    </row>
    <row r="476" spans="1:14" ht="15" hidden="1" customHeight="1" x14ac:dyDescent="0.2">
      <c r="A476" s="1" t="s">
        <v>258</v>
      </c>
      <c r="B476" s="2" t="s">
        <v>36</v>
      </c>
      <c r="C476" s="2">
        <v>350</v>
      </c>
      <c r="D476" s="7">
        <v>5000</v>
      </c>
      <c r="E476" s="1">
        <f>1537.5+210+2315.4+999.6</f>
        <v>5062.5</v>
      </c>
      <c r="F476" s="1" t="s">
        <v>8</v>
      </c>
      <c r="G476" s="41">
        <v>3</v>
      </c>
      <c r="I476" s="8">
        <v>43451</v>
      </c>
      <c r="J476" s="16" t="s">
        <v>55</v>
      </c>
      <c r="L476" s="10">
        <v>3</v>
      </c>
      <c r="M476" s="10">
        <f t="shared" si="28"/>
        <v>1050</v>
      </c>
      <c r="N476" s="29">
        <f t="shared" si="29"/>
        <v>-0.35014005602240894</v>
      </c>
    </row>
    <row r="477" spans="1:14" ht="15" hidden="1" customHeight="1" x14ac:dyDescent="0.2">
      <c r="A477" s="1" t="s">
        <v>192</v>
      </c>
      <c r="B477" s="2" t="s">
        <v>37</v>
      </c>
      <c r="C477" s="2">
        <v>240</v>
      </c>
      <c r="D477" s="7">
        <v>1200</v>
      </c>
      <c r="E477" s="1">
        <f>893.1+246.5</f>
        <v>1139.5999999999999</v>
      </c>
      <c r="F477" s="1" t="s">
        <v>8</v>
      </c>
      <c r="G477" s="41">
        <v>3</v>
      </c>
      <c r="I477" s="8">
        <v>43451</v>
      </c>
      <c r="J477" s="16" t="s">
        <v>193</v>
      </c>
      <c r="L477" s="3">
        <v>1</v>
      </c>
      <c r="M477" s="18">
        <f t="shared" si="28"/>
        <v>240</v>
      </c>
      <c r="N477" s="32">
        <f t="shared" si="29"/>
        <v>1.4803921568627472</v>
      </c>
    </row>
    <row r="478" spans="1:14" s="96" customFormat="1" ht="15" hidden="1" customHeight="1" x14ac:dyDescent="0.2">
      <c r="A478" s="90" t="s">
        <v>194</v>
      </c>
      <c r="B478" s="91" t="s">
        <v>38</v>
      </c>
      <c r="C478" s="91">
        <v>460</v>
      </c>
      <c r="D478" s="92">
        <v>4000</v>
      </c>
      <c r="E478" s="90">
        <f>2568.8+1110.2+285.2</f>
        <v>3964.2</v>
      </c>
      <c r="F478" s="90" t="s">
        <v>8</v>
      </c>
      <c r="G478" s="93"/>
      <c r="H478" s="90"/>
      <c r="I478" s="94">
        <v>43451</v>
      </c>
      <c r="J478" s="90" t="s">
        <v>195</v>
      </c>
      <c r="K478" s="90"/>
      <c r="L478" s="90">
        <v>2</v>
      </c>
      <c r="M478" s="90">
        <f t="shared" si="28"/>
        <v>920</v>
      </c>
      <c r="N478" s="95">
        <f t="shared" si="29"/>
        <v>0.22890025575447687</v>
      </c>
    </row>
    <row r="479" spans="1:14" s="96" customFormat="1" ht="15" hidden="1" customHeight="1" x14ac:dyDescent="0.2">
      <c r="A479" s="90" t="s">
        <v>194</v>
      </c>
      <c r="B479" s="91" t="s">
        <v>38</v>
      </c>
      <c r="C479" s="91">
        <v>500</v>
      </c>
      <c r="D479" s="92">
        <v>1000</v>
      </c>
      <c r="E479" s="90">
        <f>987.6</f>
        <v>987.6</v>
      </c>
      <c r="F479" s="90" t="s">
        <v>8</v>
      </c>
      <c r="G479" s="93"/>
      <c r="H479" s="90"/>
      <c r="I479" s="94">
        <v>43451</v>
      </c>
      <c r="J479" s="90" t="s">
        <v>195</v>
      </c>
      <c r="K479" s="90"/>
      <c r="L479" s="90">
        <v>2</v>
      </c>
      <c r="M479" s="90">
        <f t="shared" si="28"/>
        <v>1000</v>
      </c>
      <c r="N479" s="95">
        <f t="shared" si="29"/>
        <v>7.2941176470588107E-2</v>
      </c>
    </row>
    <row r="480" spans="1:14" s="104" customFormat="1" ht="15" hidden="1" customHeight="1" x14ac:dyDescent="0.2">
      <c r="A480" s="98" t="s">
        <v>196</v>
      </c>
      <c r="B480" s="99" t="s">
        <v>39</v>
      </c>
      <c r="C480" s="47">
        <v>260</v>
      </c>
      <c r="D480" s="100">
        <v>200</v>
      </c>
      <c r="E480" s="98">
        <f>176</f>
        <v>176</v>
      </c>
      <c r="F480" s="98" t="s">
        <v>8</v>
      </c>
      <c r="G480" s="101" t="s">
        <v>146</v>
      </c>
      <c r="H480" s="98">
        <v>300</v>
      </c>
      <c r="I480" s="102">
        <v>43451</v>
      </c>
      <c r="J480" s="98" t="s">
        <v>197</v>
      </c>
      <c r="K480" s="98"/>
      <c r="L480" s="98">
        <v>4</v>
      </c>
      <c r="M480" s="98">
        <f t="shared" ref="M480:M485" si="30">L480*C480</f>
        <v>1040</v>
      </c>
      <c r="N480" s="103">
        <f t="shared" ref="N480:N485" si="31">(D480-E480)/(M480*0.17)</f>
        <v>0.13574660633484162</v>
      </c>
    </row>
    <row r="481" spans="1:14" ht="15" hidden="1" customHeight="1" x14ac:dyDescent="0.2">
      <c r="A481" s="1" t="s">
        <v>196</v>
      </c>
      <c r="B481" s="2" t="s">
        <v>39</v>
      </c>
      <c r="C481" s="2">
        <v>300</v>
      </c>
      <c r="D481" s="7">
        <v>300</v>
      </c>
      <c r="E481" s="1">
        <f>329</f>
        <v>329</v>
      </c>
      <c r="F481" s="1" t="s">
        <v>8</v>
      </c>
      <c r="H481" s="1">
        <v>300</v>
      </c>
      <c r="I481" s="8">
        <v>43451</v>
      </c>
      <c r="J481" s="16" t="s">
        <v>197</v>
      </c>
      <c r="M481" s="10">
        <f t="shared" si="30"/>
        <v>0</v>
      </c>
      <c r="N481" s="29" t="e">
        <f t="shared" si="31"/>
        <v>#DIV/0!</v>
      </c>
    </row>
    <row r="482" spans="1:14" s="104" customFormat="1" ht="15" hidden="1" customHeight="1" x14ac:dyDescent="0.2">
      <c r="A482" s="98" t="s">
        <v>196</v>
      </c>
      <c r="B482" s="99" t="s">
        <v>39</v>
      </c>
      <c r="C482" s="91">
        <v>410</v>
      </c>
      <c r="D482" s="100">
        <v>500</v>
      </c>
      <c r="E482" s="98">
        <f>465.8</f>
        <v>465.8</v>
      </c>
      <c r="F482" s="98" t="s">
        <v>8</v>
      </c>
      <c r="G482" s="101" t="s">
        <v>146</v>
      </c>
      <c r="H482" s="98">
        <v>300</v>
      </c>
      <c r="I482" s="102">
        <v>43451</v>
      </c>
      <c r="J482" s="98" t="s">
        <v>197</v>
      </c>
      <c r="K482" s="98"/>
      <c r="L482" s="98">
        <v>3</v>
      </c>
      <c r="M482" s="98">
        <f t="shared" si="30"/>
        <v>1230</v>
      </c>
      <c r="N482" s="103">
        <f t="shared" si="31"/>
        <v>0.16355810616929692</v>
      </c>
    </row>
    <row r="483" spans="1:14" s="104" customFormat="1" ht="15" hidden="1" customHeight="1" x14ac:dyDescent="0.2">
      <c r="A483" s="98" t="s">
        <v>196</v>
      </c>
      <c r="B483" s="99" t="s">
        <v>39</v>
      </c>
      <c r="C483" s="91">
        <v>430</v>
      </c>
      <c r="D483" s="100">
        <v>1500</v>
      </c>
      <c r="E483" s="98">
        <f>1541.1</f>
        <v>1541.1</v>
      </c>
      <c r="F483" s="98" t="s">
        <v>8</v>
      </c>
      <c r="G483" s="101" t="s">
        <v>146</v>
      </c>
      <c r="H483" s="98">
        <v>300</v>
      </c>
      <c r="I483" s="102">
        <v>43451</v>
      </c>
      <c r="J483" s="98" t="s">
        <v>197</v>
      </c>
      <c r="K483" s="98"/>
      <c r="L483" s="98">
        <v>3</v>
      </c>
      <c r="M483" s="98">
        <f t="shared" si="30"/>
        <v>1290</v>
      </c>
      <c r="N483" s="103">
        <f t="shared" si="31"/>
        <v>-0.1874145006839941</v>
      </c>
    </row>
    <row r="484" spans="1:14" s="104" customFormat="1" ht="15" hidden="1" customHeight="1" x14ac:dyDescent="0.2">
      <c r="A484" s="98" t="s">
        <v>196</v>
      </c>
      <c r="B484" s="99" t="s">
        <v>39</v>
      </c>
      <c r="C484" s="91">
        <v>550</v>
      </c>
      <c r="D484" s="100">
        <v>300</v>
      </c>
      <c r="E484" s="98">
        <f>296.6</f>
        <v>296.60000000000002</v>
      </c>
      <c r="F484" s="98" t="s">
        <v>8</v>
      </c>
      <c r="G484" s="101" t="s">
        <v>146</v>
      </c>
      <c r="H484" s="98">
        <v>300</v>
      </c>
      <c r="I484" s="102">
        <v>43451</v>
      </c>
      <c r="J484" s="98" t="s">
        <v>197</v>
      </c>
      <c r="K484" s="98"/>
      <c r="L484" s="98">
        <v>2</v>
      </c>
      <c r="M484" s="98">
        <f t="shared" si="30"/>
        <v>1100</v>
      </c>
      <c r="N484" s="103">
        <f t="shared" si="31"/>
        <v>1.818181818181806E-2</v>
      </c>
    </row>
    <row r="485" spans="1:14" s="104" customFormat="1" ht="15" hidden="1" customHeight="1" x14ac:dyDescent="0.2">
      <c r="A485" s="98" t="s">
        <v>196</v>
      </c>
      <c r="B485" s="99" t="s">
        <v>37</v>
      </c>
      <c r="C485" s="99">
        <v>500</v>
      </c>
      <c r="D485" s="100">
        <v>1000</v>
      </c>
      <c r="E485" s="98">
        <f>1047.2</f>
        <v>1047.2</v>
      </c>
      <c r="F485" s="98" t="s">
        <v>8</v>
      </c>
      <c r="G485" s="101">
        <v>3</v>
      </c>
      <c r="H485" s="98">
        <v>300</v>
      </c>
      <c r="I485" s="102">
        <v>43451</v>
      </c>
      <c r="J485" s="98" t="s">
        <v>197</v>
      </c>
      <c r="K485" s="98"/>
      <c r="L485" s="98">
        <v>2</v>
      </c>
      <c r="M485" s="98">
        <f t="shared" si="30"/>
        <v>1000</v>
      </c>
      <c r="N485" s="103">
        <f t="shared" si="31"/>
        <v>-0.27764705882352969</v>
      </c>
    </row>
    <row r="486" spans="1:14" s="52" customFormat="1" ht="15" hidden="1" customHeight="1" x14ac:dyDescent="0.2">
      <c r="A486" s="46" t="s">
        <v>196</v>
      </c>
      <c r="B486" s="47" t="s">
        <v>36</v>
      </c>
      <c r="C486" s="47">
        <v>800</v>
      </c>
      <c r="D486" s="48">
        <v>200</v>
      </c>
      <c r="E486" s="46">
        <f>195.1</f>
        <v>195.1</v>
      </c>
      <c r="F486" s="46" t="s">
        <v>8</v>
      </c>
      <c r="G486" s="49">
        <v>3</v>
      </c>
      <c r="H486" s="46">
        <v>300</v>
      </c>
      <c r="I486" s="50">
        <v>43451</v>
      </c>
      <c r="J486" s="46" t="s">
        <v>197</v>
      </c>
      <c r="K486" s="46"/>
      <c r="L486" s="46">
        <v>1</v>
      </c>
      <c r="M486" s="46">
        <f t="shared" ref="M486:M495" si="32">L486*C486</f>
        <v>800</v>
      </c>
      <c r="N486" s="51">
        <f t="shared" ref="N486:N494" si="33">(D486-E486)/(M486*0.17)</f>
        <v>3.6029411764705921E-2</v>
      </c>
    </row>
    <row r="487" spans="1:14" s="104" customFormat="1" ht="15" hidden="1" customHeight="1" x14ac:dyDescent="0.2">
      <c r="A487" s="98" t="s">
        <v>198</v>
      </c>
      <c r="B487" s="99" t="s">
        <v>37</v>
      </c>
      <c r="C487" s="99">
        <v>1200</v>
      </c>
      <c r="D487" s="100">
        <v>5000</v>
      </c>
      <c r="E487" s="98">
        <f>581.8+2968.6+1626.6</f>
        <v>5177</v>
      </c>
      <c r="F487" s="98" t="s">
        <v>8</v>
      </c>
      <c r="G487" s="101"/>
      <c r="H487" s="98"/>
      <c r="I487" s="102">
        <v>43451</v>
      </c>
      <c r="J487" s="98" t="s">
        <v>59</v>
      </c>
      <c r="K487" s="98"/>
      <c r="L487" s="98">
        <v>1</v>
      </c>
      <c r="M487" s="98">
        <f t="shared" si="32"/>
        <v>1200</v>
      </c>
      <c r="N487" s="103">
        <f t="shared" si="33"/>
        <v>-0.86764705882352933</v>
      </c>
    </row>
    <row r="488" spans="1:14" s="104" customFormat="1" ht="15" hidden="1" customHeight="1" x14ac:dyDescent="0.2">
      <c r="A488" s="98" t="s">
        <v>198</v>
      </c>
      <c r="B488" s="99" t="s">
        <v>37</v>
      </c>
      <c r="C488" s="99">
        <v>1280</v>
      </c>
      <c r="D488" s="100">
        <v>1000</v>
      </c>
      <c r="E488" s="98">
        <f>248+766.4</f>
        <v>1014.4</v>
      </c>
      <c r="F488" s="98" t="s">
        <v>8</v>
      </c>
      <c r="G488" s="101"/>
      <c r="H488" s="98"/>
      <c r="I488" s="102">
        <v>43451</v>
      </c>
      <c r="J488" s="98" t="s">
        <v>59</v>
      </c>
      <c r="K488" s="98"/>
      <c r="L488" s="98">
        <v>1</v>
      </c>
      <c r="M488" s="98">
        <f t="shared" si="32"/>
        <v>1280</v>
      </c>
      <c r="N488" s="103">
        <f t="shared" si="33"/>
        <v>-6.6176470588235184E-2</v>
      </c>
    </row>
    <row r="489" spans="1:14" s="104" customFormat="1" ht="15" hidden="1" customHeight="1" x14ac:dyDescent="0.2">
      <c r="A489" s="98" t="s">
        <v>198</v>
      </c>
      <c r="B489" s="99" t="s">
        <v>37</v>
      </c>
      <c r="C489" s="99">
        <v>1120</v>
      </c>
      <c r="D489" s="100">
        <v>2000</v>
      </c>
      <c r="E489" s="98">
        <f>2028.9</f>
        <v>2028.9</v>
      </c>
      <c r="F489" s="98" t="s">
        <v>8</v>
      </c>
      <c r="G489" s="101"/>
      <c r="H489" s="98"/>
      <c r="I489" s="102">
        <v>43451</v>
      </c>
      <c r="J489" s="98" t="s">
        <v>59</v>
      </c>
      <c r="K489" s="98"/>
      <c r="L489" s="98">
        <v>1</v>
      </c>
      <c r="M489" s="98">
        <f t="shared" si="32"/>
        <v>1120</v>
      </c>
      <c r="N489" s="103">
        <f t="shared" si="33"/>
        <v>-0.15178571428571475</v>
      </c>
    </row>
    <row r="490" spans="1:14" s="104" customFormat="1" ht="15" hidden="1" customHeight="1" x14ac:dyDescent="0.2">
      <c r="A490" s="98" t="s">
        <v>198</v>
      </c>
      <c r="B490" s="99" t="s">
        <v>37</v>
      </c>
      <c r="C490" s="99">
        <v>1300</v>
      </c>
      <c r="D490" s="100">
        <v>2000</v>
      </c>
      <c r="E490" s="98">
        <f>1714.9+290</f>
        <v>2004.9</v>
      </c>
      <c r="F490" s="98" t="s">
        <v>8</v>
      </c>
      <c r="G490" s="101"/>
      <c r="H490" s="98"/>
      <c r="I490" s="102">
        <v>43451</v>
      </c>
      <c r="J490" s="98" t="s">
        <v>59</v>
      </c>
      <c r="K490" s="98"/>
      <c r="L490" s="98">
        <v>1</v>
      </c>
      <c r="M490" s="98">
        <f t="shared" si="32"/>
        <v>1300</v>
      </c>
      <c r="N490" s="103">
        <f t="shared" si="33"/>
        <v>-2.2171945701357873E-2</v>
      </c>
    </row>
    <row r="491" spans="1:14" s="104" customFormat="1" ht="15" hidden="1" customHeight="1" x14ac:dyDescent="0.2">
      <c r="A491" s="98" t="s">
        <v>198</v>
      </c>
      <c r="B491" s="99" t="s">
        <v>37</v>
      </c>
      <c r="C491" s="99">
        <v>1320</v>
      </c>
      <c r="D491" s="100">
        <v>3000</v>
      </c>
      <c r="E491" s="98">
        <f>2274.9+816.3</f>
        <v>3091.2</v>
      </c>
      <c r="F491" s="98" t="s">
        <v>8</v>
      </c>
      <c r="G491" s="101"/>
      <c r="H491" s="98"/>
      <c r="I491" s="102">
        <v>43451</v>
      </c>
      <c r="J491" s="98" t="s">
        <v>59</v>
      </c>
      <c r="K491" s="98"/>
      <c r="L491" s="98">
        <v>1</v>
      </c>
      <c r="M491" s="98">
        <f t="shared" si="32"/>
        <v>1320</v>
      </c>
      <c r="N491" s="103">
        <f t="shared" si="33"/>
        <v>-0.40641711229946442</v>
      </c>
    </row>
    <row r="492" spans="1:14" s="104" customFormat="1" ht="15" hidden="1" customHeight="1" x14ac:dyDescent="0.2">
      <c r="A492" s="98" t="s">
        <v>198</v>
      </c>
      <c r="B492" s="99" t="s">
        <v>38</v>
      </c>
      <c r="C492" s="99">
        <v>1050</v>
      </c>
      <c r="D492" s="100">
        <v>3000</v>
      </c>
      <c r="E492" s="98">
        <f>905.1+2085.4</f>
        <v>2990.5</v>
      </c>
      <c r="F492" s="98" t="s">
        <v>8</v>
      </c>
      <c r="G492" s="101"/>
      <c r="H492" s="98"/>
      <c r="I492" s="102">
        <v>43451</v>
      </c>
      <c r="J492" s="98" t="s">
        <v>59</v>
      </c>
      <c r="K492" s="98"/>
      <c r="L492" s="98">
        <v>1</v>
      </c>
      <c r="M492" s="98">
        <f t="shared" si="32"/>
        <v>1050</v>
      </c>
      <c r="N492" s="103">
        <f t="shared" si="33"/>
        <v>5.3221288515406161E-2</v>
      </c>
    </row>
    <row r="493" spans="1:14" s="125" customFormat="1" ht="15" hidden="1" customHeight="1" x14ac:dyDescent="0.2">
      <c r="A493" s="119" t="s">
        <v>198</v>
      </c>
      <c r="B493" s="120" t="s">
        <v>38</v>
      </c>
      <c r="C493" s="120">
        <v>1200</v>
      </c>
      <c r="D493" s="121">
        <v>2000</v>
      </c>
      <c r="E493" s="119">
        <f>1452.8</f>
        <v>1452.8</v>
      </c>
      <c r="F493" s="119"/>
      <c r="G493" s="122"/>
      <c r="H493" s="119"/>
      <c r="I493" s="123">
        <v>43451</v>
      </c>
      <c r="J493" s="119" t="s">
        <v>59</v>
      </c>
      <c r="K493" s="119"/>
      <c r="L493" s="119">
        <v>1</v>
      </c>
      <c r="M493" s="119">
        <f t="shared" si="32"/>
        <v>1200</v>
      </c>
      <c r="N493" s="29">
        <f>(D493-E493)/(M493*0.17)</f>
        <v>2.6823529411764704</v>
      </c>
    </row>
    <row r="494" spans="1:14" s="104" customFormat="1" ht="15" hidden="1" customHeight="1" x14ac:dyDescent="0.2">
      <c r="A494" s="98" t="s">
        <v>198</v>
      </c>
      <c r="B494" s="99" t="s">
        <v>38</v>
      </c>
      <c r="C494" s="99">
        <v>1280</v>
      </c>
      <c r="D494" s="100">
        <v>2000</v>
      </c>
      <c r="E494" s="98">
        <f>2066.7</f>
        <v>2066.6999999999998</v>
      </c>
      <c r="F494" s="98" t="s">
        <v>8</v>
      </c>
      <c r="G494" s="101"/>
      <c r="H494" s="98"/>
      <c r="I494" s="102">
        <v>43451</v>
      </c>
      <c r="J494" s="98" t="s">
        <v>59</v>
      </c>
      <c r="K494" s="98"/>
      <c r="L494" s="98">
        <v>1</v>
      </c>
      <c r="M494" s="98">
        <f t="shared" si="32"/>
        <v>1280</v>
      </c>
      <c r="N494" s="103">
        <f t="shared" si="33"/>
        <v>-0.30652573529411675</v>
      </c>
    </row>
    <row r="495" spans="1:14" s="125" customFormat="1" ht="15" hidden="1" customHeight="1" x14ac:dyDescent="0.2">
      <c r="A495" s="119" t="s">
        <v>198</v>
      </c>
      <c r="B495" s="120" t="s">
        <v>38</v>
      </c>
      <c r="C495" s="120">
        <v>1320</v>
      </c>
      <c r="D495" s="121">
        <v>2000</v>
      </c>
      <c r="E495" s="119"/>
      <c r="F495" s="119"/>
      <c r="G495" s="122"/>
      <c r="H495" s="119"/>
      <c r="I495" s="123">
        <v>43451</v>
      </c>
      <c r="J495" s="119" t="s">
        <v>59</v>
      </c>
      <c r="K495" s="119"/>
      <c r="L495" s="119">
        <v>1</v>
      </c>
      <c r="M495" s="119">
        <f t="shared" si="32"/>
        <v>1320</v>
      </c>
      <c r="N495" s="29">
        <f>(D495-E495)/(M495*0.17)</f>
        <v>8.9126559714795004</v>
      </c>
    </row>
    <row r="496" spans="1:14" s="104" customFormat="1" ht="15" hidden="1" customHeight="1" x14ac:dyDescent="0.2">
      <c r="A496" s="98" t="s">
        <v>198</v>
      </c>
      <c r="B496" s="99" t="s">
        <v>36</v>
      </c>
      <c r="C496" s="99">
        <v>1000</v>
      </c>
      <c r="D496" s="100">
        <v>2000</v>
      </c>
      <c r="E496" s="98">
        <f>199.8+1828.3</f>
        <v>2028.1</v>
      </c>
      <c r="F496" s="98" t="s">
        <v>8</v>
      </c>
      <c r="G496" s="101" t="s">
        <v>146</v>
      </c>
      <c r="H496" s="98"/>
      <c r="I496" s="102">
        <v>43451</v>
      </c>
      <c r="J496" s="98" t="s">
        <v>59</v>
      </c>
      <c r="K496" s="98"/>
      <c r="L496" s="98">
        <v>1</v>
      </c>
      <c r="M496" s="98">
        <f t="shared" ref="M496:M501" si="34">L496*C496</f>
        <v>1000</v>
      </c>
      <c r="N496" s="103">
        <f t="shared" ref="N496:N501" si="35">(D496-E496)/(M496*0.17)</f>
        <v>-0.16529411764705829</v>
      </c>
    </row>
    <row r="497" spans="1:14" ht="15" hidden="1" customHeight="1" x14ac:dyDescent="0.2">
      <c r="A497" s="1" t="s">
        <v>198</v>
      </c>
      <c r="B497" s="2" t="s">
        <v>36</v>
      </c>
      <c r="C497" s="2">
        <v>960</v>
      </c>
      <c r="D497" s="7">
        <v>4000</v>
      </c>
      <c r="I497" s="8">
        <v>43451</v>
      </c>
      <c r="J497" s="16" t="s">
        <v>59</v>
      </c>
      <c r="L497" s="10">
        <v>1</v>
      </c>
      <c r="M497" s="10">
        <f t="shared" si="34"/>
        <v>960</v>
      </c>
      <c r="N497" s="29">
        <f t="shared" si="35"/>
        <v>24.509803921568626</v>
      </c>
    </row>
    <row r="498" spans="1:14" ht="15" hidden="1" customHeight="1" x14ac:dyDescent="0.2">
      <c r="A498" s="1" t="s">
        <v>198</v>
      </c>
      <c r="B498" s="2" t="s">
        <v>36</v>
      </c>
      <c r="C498" s="2">
        <v>1050</v>
      </c>
      <c r="D498" s="7">
        <v>1000</v>
      </c>
      <c r="I498" s="8">
        <v>43451</v>
      </c>
      <c r="J498" s="16" t="s">
        <v>59</v>
      </c>
      <c r="L498" s="10">
        <v>1</v>
      </c>
      <c r="M498" s="10">
        <f t="shared" si="34"/>
        <v>1050</v>
      </c>
      <c r="N498" s="29">
        <f t="shared" si="35"/>
        <v>5.6022408963585431</v>
      </c>
    </row>
    <row r="499" spans="1:14" ht="15" hidden="1" customHeight="1" x14ac:dyDescent="0.2">
      <c r="A499" s="1" t="s">
        <v>198</v>
      </c>
      <c r="B499" s="2" t="s">
        <v>36</v>
      </c>
      <c r="C499" s="2">
        <v>1200</v>
      </c>
      <c r="D499" s="7">
        <v>1000</v>
      </c>
      <c r="I499" s="8">
        <v>43451</v>
      </c>
      <c r="J499" s="16" t="s">
        <v>59</v>
      </c>
      <c r="L499" s="10">
        <v>1</v>
      </c>
      <c r="M499" s="10">
        <f t="shared" si="34"/>
        <v>1200</v>
      </c>
      <c r="N499" s="29">
        <f t="shared" si="35"/>
        <v>4.901960784313725</v>
      </c>
    </row>
    <row r="500" spans="1:14" ht="15" hidden="1" customHeight="1" x14ac:dyDescent="0.2">
      <c r="A500" s="1" t="s">
        <v>198</v>
      </c>
      <c r="B500" s="2" t="s">
        <v>36</v>
      </c>
      <c r="C500" s="2">
        <v>1280</v>
      </c>
      <c r="D500" s="7">
        <v>2000</v>
      </c>
      <c r="I500" s="8">
        <v>43451</v>
      </c>
      <c r="J500" s="16" t="s">
        <v>59</v>
      </c>
      <c r="L500" s="10">
        <v>1</v>
      </c>
      <c r="M500" s="10">
        <f t="shared" si="34"/>
        <v>1280</v>
      </c>
      <c r="N500" s="29">
        <f t="shared" si="35"/>
        <v>9.1911764705882337</v>
      </c>
    </row>
    <row r="501" spans="1:14" s="104" customFormat="1" ht="15" hidden="1" customHeight="1" x14ac:dyDescent="0.2">
      <c r="A501" s="98" t="s">
        <v>186</v>
      </c>
      <c r="B501" s="99" t="s">
        <v>36</v>
      </c>
      <c r="C501" s="99">
        <v>250</v>
      </c>
      <c r="D501" s="100">
        <f>500</f>
        <v>500</v>
      </c>
      <c r="E501" s="98">
        <f>197.2+346.4</f>
        <v>543.59999999999991</v>
      </c>
      <c r="F501" s="98" t="s">
        <v>8</v>
      </c>
      <c r="G501" s="101" t="s">
        <v>146</v>
      </c>
      <c r="H501" s="98">
        <v>300</v>
      </c>
      <c r="I501" s="102">
        <v>43452</v>
      </c>
      <c r="J501" s="98" t="s">
        <v>202</v>
      </c>
      <c r="K501" s="98"/>
      <c r="L501" s="98">
        <v>4</v>
      </c>
      <c r="M501" s="98">
        <f t="shared" si="34"/>
        <v>1000</v>
      </c>
      <c r="N501" s="103">
        <f t="shared" si="35"/>
        <v>-0.25647058823529356</v>
      </c>
    </row>
    <row r="502" spans="1:14" ht="15" hidden="1" customHeight="1" x14ac:dyDescent="0.2">
      <c r="A502" s="1" t="s">
        <v>203</v>
      </c>
      <c r="B502" s="2" t="s">
        <v>37</v>
      </c>
      <c r="C502" s="2">
        <v>395</v>
      </c>
      <c r="D502" s="7">
        <v>100</v>
      </c>
      <c r="F502" s="1" t="s">
        <v>241</v>
      </c>
      <c r="H502" s="1" t="s">
        <v>204</v>
      </c>
      <c r="I502" s="8">
        <v>43452</v>
      </c>
      <c r="J502" s="16" t="s">
        <v>205</v>
      </c>
    </row>
    <row r="503" spans="1:14" s="104" customFormat="1" ht="15" hidden="1" customHeight="1" x14ac:dyDescent="0.2">
      <c r="A503" s="98" t="s">
        <v>178</v>
      </c>
      <c r="B503" s="99" t="s">
        <v>39</v>
      </c>
      <c r="C503" s="91">
        <v>300</v>
      </c>
      <c r="D503" s="100">
        <v>500</v>
      </c>
      <c r="E503" s="98">
        <f>554.4</f>
        <v>554.4</v>
      </c>
      <c r="F503" s="98" t="s">
        <v>8</v>
      </c>
      <c r="G503" s="101" t="s">
        <v>146</v>
      </c>
      <c r="H503" s="98"/>
      <c r="I503" s="102">
        <v>43452</v>
      </c>
      <c r="J503" s="98" t="s">
        <v>5</v>
      </c>
      <c r="K503" s="98"/>
      <c r="L503" s="98">
        <v>4</v>
      </c>
      <c r="M503" s="98">
        <f>L503*C503</f>
        <v>1200</v>
      </c>
      <c r="N503" s="103">
        <f>(D503-E503)/(M503*0.17)</f>
        <v>-0.2666666666666665</v>
      </c>
    </row>
    <row r="504" spans="1:14" s="104" customFormat="1" ht="15" hidden="1" customHeight="1" x14ac:dyDescent="0.2">
      <c r="A504" s="98" t="s">
        <v>178</v>
      </c>
      <c r="B504" s="99" t="s">
        <v>39</v>
      </c>
      <c r="C504" s="91">
        <v>400</v>
      </c>
      <c r="D504" s="100">
        <v>500</v>
      </c>
      <c r="E504" s="98"/>
      <c r="F504" s="98" t="s">
        <v>297</v>
      </c>
      <c r="G504" s="101" t="s">
        <v>146</v>
      </c>
      <c r="H504" s="98"/>
      <c r="I504" s="102">
        <v>43452</v>
      </c>
      <c r="J504" s="98" t="s">
        <v>5</v>
      </c>
      <c r="K504" s="98"/>
      <c r="L504" s="98">
        <v>3</v>
      </c>
      <c r="M504" s="98">
        <f>L504*C504</f>
        <v>1200</v>
      </c>
      <c r="N504" s="103">
        <f>(D504-E504)/(M504*0.17)</f>
        <v>2.4509803921568625</v>
      </c>
    </row>
    <row r="505" spans="1:14" s="96" customFormat="1" ht="15" hidden="1" customHeight="1" x14ac:dyDescent="0.2">
      <c r="A505" s="90" t="s">
        <v>206</v>
      </c>
      <c r="B505" s="91" t="s">
        <v>36</v>
      </c>
      <c r="C505" s="91">
        <v>880</v>
      </c>
      <c r="D505" s="92">
        <v>2100</v>
      </c>
      <c r="E505" s="97">
        <f>413.3+625.9+944.5</f>
        <v>1983.7</v>
      </c>
      <c r="F505" s="90" t="s">
        <v>8</v>
      </c>
      <c r="G505" s="93" t="s">
        <v>146</v>
      </c>
      <c r="H505" s="90">
        <v>826</v>
      </c>
      <c r="I505" s="94">
        <v>43452</v>
      </c>
      <c r="J505" s="90" t="s">
        <v>207</v>
      </c>
      <c r="K505" s="90"/>
      <c r="L505" s="90">
        <v>1</v>
      </c>
      <c r="M505" s="90">
        <f>L505*C505</f>
        <v>880</v>
      </c>
      <c r="N505" s="95">
        <f>(D505-E505)/(M505*0.17)</f>
        <v>0.77740641711229908</v>
      </c>
    </row>
    <row r="506" spans="1:14" ht="15" hidden="1" customHeight="1" x14ac:dyDescent="0.2">
      <c r="A506" s="1" t="s">
        <v>208</v>
      </c>
      <c r="B506" s="2" t="s">
        <v>37</v>
      </c>
      <c r="C506" s="2">
        <v>430</v>
      </c>
      <c r="D506" s="7">
        <v>200</v>
      </c>
      <c r="E506" s="1" t="s">
        <v>209</v>
      </c>
      <c r="F506" s="1" t="s">
        <v>8</v>
      </c>
      <c r="I506" s="8">
        <v>43452</v>
      </c>
      <c r="J506" s="16" t="s">
        <v>11</v>
      </c>
    </row>
    <row r="507" spans="1:14" ht="15" hidden="1" customHeight="1" x14ac:dyDescent="0.2">
      <c r="A507" s="1" t="s">
        <v>194</v>
      </c>
      <c r="B507" s="2" t="s">
        <v>39</v>
      </c>
      <c r="C507" s="2">
        <v>300</v>
      </c>
      <c r="D507" s="62">
        <v>1000</v>
      </c>
      <c r="F507" s="1" t="s">
        <v>231</v>
      </c>
      <c r="I507" s="8">
        <v>43452</v>
      </c>
      <c r="J507" s="16" t="s">
        <v>195</v>
      </c>
    </row>
    <row r="508" spans="1:14" ht="15" hidden="1" customHeight="1" x14ac:dyDescent="0.2">
      <c r="A508" s="1" t="s">
        <v>194</v>
      </c>
      <c r="B508" s="2" t="s">
        <v>39</v>
      </c>
      <c r="C508" s="2">
        <v>340</v>
      </c>
      <c r="D508" s="62">
        <v>1000</v>
      </c>
      <c r="F508" s="1" t="s">
        <v>231</v>
      </c>
      <c r="I508" s="8">
        <v>43452</v>
      </c>
      <c r="J508" s="16" t="s">
        <v>195</v>
      </c>
    </row>
    <row r="509" spans="1:14" ht="15" hidden="1" customHeight="1" x14ac:dyDescent="0.2">
      <c r="A509" s="1" t="s">
        <v>194</v>
      </c>
      <c r="B509" s="2" t="s">
        <v>39</v>
      </c>
      <c r="C509" s="2">
        <v>420</v>
      </c>
      <c r="D509" s="62">
        <v>500</v>
      </c>
      <c r="F509" s="1" t="s">
        <v>231</v>
      </c>
      <c r="I509" s="8">
        <v>43452</v>
      </c>
      <c r="J509" s="16" t="s">
        <v>195</v>
      </c>
    </row>
    <row r="510" spans="1:14" ht="15" hidden="1" customHeight="1" x14ac:dyDescent="0.2">
      <c r="A510" s="1" t="s">
        <v>194</v>
      </c>
      <c r="B510" s="2" t="s">
        <v>39</v>
      </c>
      <c r="C510" s="2">
        <v>450</v>
      </c>
      <c r="D510" s="62">
        <v>500</v>
      </c>
      <c r="F510" s="1" t="s">
        <v>231</v>
      </c>
      <c r="I510" s="8">
        <v>43452</v>
      </c>
      <c r="J510" s="16" t="s">
        <v>195</v>
      </c>
    </row>
    <row r="511" spans="1:14" s="96" customFormat="1" ht="15" hidden="1" customHeight="1" x14ac:dyDescent="0.2">
      <c r="A511" s="90" t="s">
        <v>211</v>
      </c>
      <c r="B511" s="91" t="s">
        <v>36</v>
      </c>
      <c r="C511" s="91">
        <v>320</v>
      </c>
      <c r="D511" s="92">
        <v>350</v>
      </c>
      <c r="E511" s="90">
        <f>367.8</f>
        <v>367.8</v>
      </c>
      <c r="F511" s="90" t="s">
        <v>8</v>
      </c>
      <c r="G511" s="93">
        <v>3</v>
      </c>
      <c r="H511" s="90"/>
      <c r="I511" s="94">
        <v>43452</v>
      </c>
      <c r="J511" s="90" t="s">
        <v>212</v>
      </c>
      <c r="K511" s="90"/>
      <c r="L511" s="90">
        <v>3</v>
      </c>
      <c r="M511" s="90">
        <f>L511*C511</f>
        <v>960</v>
      </c>
      <c r="N511" s="95">
        <f>(D511-E511)/(M511*0.17)</f>
        <v>-0.10906862745098045</v>
      </c>
    </row>
    <row r="512" spans="1:14" s="52" customFormat="1" ht="15" hidden="1" customHeight="1" x14ac:dyDescent="0.2">
      <c r="A512" s="46" t="s">
        <v>213</v>
      </c>
      <c r="B512" s="47" t="s">
        <v>36</v>
      </c>
      <c r="C512" s="47">
        <v>245</v>
      </c>
      <c r="D512" s="48">
        <v>2000</v>
      </c>
      <c r="E512" s="46">
        <f>1272.4+888.4</f>
        <v>2160.8000000000002</v>
      </c>
      <c r="F512" s="46" t="s">
        <v>8</v>
      </c>
      <c r="G512" s="49" t="s">
        <v>146</v>
      </c>
      <c r="H512" s="46"/>
      <c r="I512" s="50">
        <v>43452</v>
      </c>
      <c r="J512" s="46" t="s">
        <v>214</v>
      </c>
      <c r="K512" s="46"/>
      <c r="L512" s="46">
        <v>4</v>
      </c>
      <c r="M512" s="46">
        <f>L512*C512</f>
        <v>980</v>
      </c>
      <c r="N512" s="51">
        <f>(D512-E512)/(M512*0.17)</f>
        <v>-0.96518607442977289</v>
      </c>
    </row>
    <row r="513" spans="1:14" s="78" customFormat="1" ht="15" hidden="1" customHeight="1" x14ac:dyDescent="0.2">
      <c r="A513" s="16" t="s">
        <v>215</v>
      </c>
      <c r="B513" s="73" t="s">
        <v>39</v>
      </c>
      <c r="C513" s="54">
        <v>220</v>
      </c>
      <c r="D513" s="74">
        <v>100</v>
      </c>
      <c r="E513" s="16">
        <f>114.3</f>
        <v>114.3</v>
      </c>
      <c r="F513" s="16" t="s">
        <v>8</v>
      </c>
      <c r="G513" s="75" t="s">
        <v>146</v>
      </c>
      <c r="H513" s="80" t="s">
        <v>219</v>
      </c>
      <c r="I513" s="76">
        <v>43452</v>
      </c>
      <c r="J513" s="16" t="s">
        <v>216</v>
      </c>
      <c r="K513" s="16"/>
      <c r="L513" s="16">
        <v>4</v>
      </c>
      <c r="M513" s="16">
        <f>L513*C513</f>
        <v>880</v>
      </c>
      <c r="N513" s="77">
        <f>(D513-E513)/(M513*0.17)</f>
        <v>-9.5588235294117613E-2</v>
      </c>
    </row>
    <row r="514" spans="1:14" ht="15" hidden="1" customHeight="1" x14ac:dyDescent="0.2">
      <c r="A514" s="1" t="s">
        <v>217</v>
      </c>
      <c r="B514" s="2" t="s">
        <v>37</v>
      </c>
      <c r="C514" s="2">
        <v>1140</v>
      </c>
      <c r="D514" s="61">
        <v>560</v>
      </c>
      <c r="F514" s="1" t="s">
        <v>218</v>
      </c>
      <c r="I514" s="8">
        <v>43452</v>
      </c>
      <c r="J514" s="16" t="s">
        <v>49</v>
      </c>
    </row>
    <row r="515" spans="1:14" ht="15" hidden="1" customHeight="1" x14ac:dyDescent="0.2">
      <c r="A515" s="1" t="s">
        <v>217</v>
      </c>
      <c r="B515" s="2" t="s">
        <v>37</v>
      </c>
      <c r="C515" s="2">
        <v>756</v>
      </c>
      <c r="D515" s="61">
        <v>1000</v>
      </c>
      <c r="F515" s="1" t="s">
        <v>218</v>
      </c>
      <c r="I515" s="8">
        <v>43452</v>
      </c>
      <c r="J515" s="16" t="s">
        <v>49</v>
      </c>
    </row>
    <row r="516" spans="1:14" ht="15" hidden="1" customHeight="1" x14ac:dyDescent="0.2">
      <c r="A516" s="1" t="s">
        <v>217</v>
      </c>
      <c r="B516" s="2" t="s">
        <v>37</v>
      </c>
      <c r="C516" s="2">
        <v>856</v>
      </c>
      <c r="D516" s="61">
        <v>250</v>
      </c>
      <c r="F516" s="1" t="s">
        <v>218</v>
      </c>
      <c r="I516" s="8">
        <v>43452</v>
      </c>
      <c r="J516" s="16" t="s">
        <v>49</v>
      </c>
    </row>
    <row r="517" spans="1:14" ht="15" hidden="1" customHeight="1" x14ac:dyDescent="0.2">
      <c r="A517" s="1" t="s">
        <v>217</v>
      </c>
      <c r="B517" s="2" t="s">
        <v>39</v>
      </c>
      <c r="C517" s="2">
        <v>1320</v>
      </c>
      <c r="D517" s="61">
        <v>260</v>
      </c>
      <c r="F517" s="1" t="s">
        <v>218</v>
      </c>
      <c r="I517" s="8">
        <v>43452</v>
      </c>
      <c r="J517" s="16" t="s">
        <v>49</v>
      </c>
    </row>
    <row r="518" spans="1:14" ht="15" hidden="1" customHeight="1" x14ac:dyDescent="0.2">
      <c r="A518" s="1" t="s">
        <v>217</v>
      </c>
      <c r="B518" s="2" t="s">
        <v>39</v>
      </c>
      <c r="C518" s="2">
        <v>1190</v>
      </c>
      <c r="D518" s="61">
        <v>250</v>
      </c>
      <c r="F518" s="1" t="s">
        <v>218</v>
      </c>
      <c r="I518" s="8">
        <v>43452</v>
      </c>
      <c r="J518" s="16" t="s">
        <v>49</v>
      </c>
    </row>
    <row r="519" spans="1:14" ht="15" hidden="1" customHeight="1" x14ac:dyDescent="0.2">
      <c r="A519" s="1" t="s">
        <v>217</v>
      </c>
      <c r="B519" s="2" t="s">
        <v>39</v>
      </c>
      <c r="C519" s="2">
        <v>850</v>
      </c>
      <c r="D519" s="61">
        <v>245</v>
      </c>
      <c r="F519" s="1" t="s">
        <v>218</v>
      </c>
      <c r="I519" s="8">
        <v>43452</v>
      </c>
      <c r="J519" s="16" t="s">
        <v>49</v>
      </c>
    </row>
    <row r="520" spans="1:14" ht="15" hidden="1" customHeight="1" x14ac:dyDescent="0.2">
      <c r="A520" s="1" t="s">
        <v>217</v>
      </c>
      <c r="B520" s="2" t="s">
        <v>39</v>
      </c>
      <c r="C520" s="2">
        <v>1100</v>
      </c>
      <c r="D520" s="61">
        <v>820</v>
      </c>
      <c r="F520" s="1" t="s">
        <v>218</v>
      </c>
      <c r="I520" s="8">
        <v>43452</v>
      </c>
      <c r="J520" s="16" t="s">
        <v>49</v>
      </c>
    </row>
    <row r="521" spans="1:14" s="78" customFormat="1" ht="15" hidden="1" customHeight="1" x14ac:dyDescent="0.2">
      <c r="A521" s="16" t="s">
        <v>130</v>
      </c>
      <c r="B521" s="73" t="s">
        <v>39</v>
      </c>
      <c r="C521" s="73">
        <v>350</v>
      </c>
      <c r="D521" s="79">
        <v>500</v>
      </c>
      <c r="E521" s="16">
        <f>512.7</f>
        <v>512.70000000000005</v>
      </c>
      <c r="F521" s="16" t="s">
        <v>8</v>
      </c>
      <c r="G521" s="75" t="s">
        <v>146</v>
      </c>
      <c r="H521" s="16"/>
      <c r="I521" s="76">
        <v>43452</v>
      </c>
      <c r="J521" s="16" t="s">
        <v>43</v>
      </c>
      <c r="K521" s="16"/>
      <c r="L521" s="16">
        <v>3</v>
      </c>
      <c r="M521" s="16">
        <f t="shared" ref="M521:M535" si="36">L521*C521</f>
        <v>1050</v>
      </c>
      <c r="N521" s="77">
        <f t="shared" ref="N521:N535" si="37">(D521-E521)/(M521*0.17)</f>
        <v>-7.1148459383753762E-2</v>
      </c>
    </row>
    <row r="522" spans="1:14" s="88" customFormat="1" ht="15" hidden="1" customHeight="1" x14ac:dyDescent="0.2">
      <c r="A522" s="82" t="s">
        <v>130</v>
      </c>
      <c r="B522" s="83" t="s">
        <v>39</v>
      </c>
      <c r="C522" s="54">
        <v>240</v>
      </c>
      <c r="D522" s="84">
        <v>800</v>
      </c>
      <c r="E522" s="82">
        <f>795</f>
        <v>795</v>
      </c>
      <c r="F522" s="82" t="s">
        <v>8</v>
      </c>
      <c r="G522" s="85">
        <v>3</v>
      </c>
      <c r="H522" s="82"/>
      <c r="I522" s="86">
        <v>43452</v>
      </c>
      <c r="J522" s="82" t="s">
        <v>43</v>
      </c>
      <c r="K522" s="82"/>
      <c r="L522" s="82">
        <v>5</v>
      </c>
      <c r="M522" s="82">
        <f t="shared" si="36"/>
        <v>1200</v>
      </c>
      <c r="N522" s="87">
        <f t="shared" si="37"/>
        <v>2.4509803921568624E-2</v>
      </c>
    </row>
    <row r="523" spans="1:14" s="78" customFormat="1" ht="15" hidden="1" customHeight="1" x14ac:dyDescent="0.2">
      <c r="A523" s="16" t="s">
        <v>130</v>
      </c>
      <c r="B523" s="73" t="s">
        <v>39</v>
      </c>
      <c r="C523" s="54">
        <v>280</v>
      </c>
      <c r="D523" s="74">
        <v>500</v>
      </c>
      <c r="E523" s="16">
        <f>506</f>
        <v>506</v>
      </c>
      <c r="F523" s="16" t="s">
        <v>8</v>
      </c>
      <c r="G523" s="75" t="s">
        <v>146</v>
      </c>
      <c r="H523" s="16"/>
      <c r="I523" s="76">
        <v>43452</v>
      </c>
      <c r="J523" s="16" t="s">
        <v>43</v>
      </c>
      <c r="K523" s="16"/>
      <c r="L523" s="16">
        <v>4</v>
      </c>
      <c r="M523" s="16">
        <f t="shared" si="36"/>
        <v>1120</v>
      </c>
      <c r="N523" s="77">
        <f t="shared" si="37"/>
        <v>-3.1512605042016806E-2</v>
      </c>
    </row>
    <row r="524" spans="1:14" s="78" customFormat="1" ht="15" hidden="1" customHeight="1" x14ac:dyDescent="0.2">
      <c r="A524" s="16" t="s">
        <v>130</v>
      </c>
      <c r="B524" s="73" t="s">
        <v>39</v>
      </c>
      <c r="C524" s="54">
        <v>380</v>
      </c>
      <c r="D524" s="74">
        <v>500</v>
      </c>
      <c r="E524" s="16">
        <f>513.9</f>
        <v>513.9</v>
      </c>
      <c r="F524" s="16" t="s">
        <v>8</v>
      </c>
      <c r="G524" s="75" t="s">
        <v>146</v>
      </c>
      <c r="H524" s="16"/>
      <c r="I524" s="76">
        <v>43452</v>
      </c>
      <c r="J524" s="16" t="s">
        <v>43</v>
      </c>
      <c r="K524" s="16"/>
      <c r="L524" s="16">
        <v>3</v>
      </c>
      <c r="M524" s="16">
        <f t="shared" si="36"/>
        <v>1140</v>
      </c>
      <c r="N524" s="77">
        <f t="shared" si="37"/>
        <v>-7.1723426212590174E-2</v>
      </c>
    </row>
    <row r="525" spans="1:14" s="88" customFormat="1" ht="15" hidden="1" customHeight="1" x14ac:dyDescent="0.2">
      <c r="A525" s="82" t="s">
        <v>130</v>
      </c>
      <c r="B525" s="83" t="s">
        <v>39</v>
      </c>
      <c r="C525" s="54">
        <v>260</v>
      </c>
      <c r="D525" s="84">
        <v>500</v>
      </c>
      <c r="E525" s="82">
        <f>549.6</f>
        <v>549.6</v>
      </c>
      <c r="F525" s="82" t="s">
        <v>8</v>
      </c>
      <c r="G525" s="85">
        <v>3</v>
      </c>
      <c r="H525" s="82"/>
      <c r="I525" s="86">
        <v>43452</v>
      </c>
      <c r="J525" s="82" t="s">
        <v>43</v>
      </c>
      <c r="K525" s="82"/>
      <c r="L525" s="82">
        <v>4</v>
      </c>
      <c r="M525" s="82">
        <f t="shared" si="36"/>
        <v>1040</v>
      </c>
      <c r="N525" s="87">
        <f t="shared" si="37"/>
        <v>-0.28054298642533948</v>
      </c>
    </row>
    <row r="526" spans="1:14" s="78" customFormat="1" ht="15" hidden="1" customHeight="1" x14ac:dyDescent="0.2">
      <c r="A526" s="16" t="s">
        <v>215</v>
      </c>
      <c r="B526" s="73" t="s">
        <v>39</v>
      </c>
      <c r="C526" s="54">
        <v>200</v>
      </c>
      <c r="D526" s="74">
        <v>100</v>
      </c>
      <c r="E526" s="16">
        <f>101</f>
        <v>101</v>
      </c>
      <c r="F526" s="16" t="s">
        <v>8</v>
      </c>
      <c r="G526" s="75" t="s">
        <v>146</v>
      </c>
      <c r="H526" s="80" t="s">
        <v>219</v>
      </c>
      <c r="I526" s="76">
        <v>43453</v>
      </c>
      <c r="J526" s="16" t="s">
        <v>216</v>
      </c>
      <c r="K526" s="16"/>
      <c r="L526" s="16">
        <v>5</v>
      </c>
      <c r="M526" s="16">
        <f t="shared" si="36"/>
        <v>1000</v>
      </c>
      <c r="N526" s="77">
        <f t="shared" si="37"/>
        <v>-5.8823529411764705E-3</v>
      </c>
    </row>
    <row r="527" spans="1:14" s="96" customFormat="1" ht="15" hidden="1" customHeight="1" x14ac:dyDescent="0.2">
      <c r="A527" s="90" t="s">
        <v>220</v>
      </c>
      <c r="B527" s="91" t="s">
        <v>36</v>
      </c>
      <c r="C527" s="91">
        <v>240</v>
      </c>
      <c r="D527" s="92">
        <v>350</v>
      </c>
      <c r="E527" s="90">
        <f>371.6</f>
        <v>371.6</v>
      </c>
      <c r="F527" s="90" t="s">
        <v>8</v>
      </c>
      <c r="G527" s="93">
        <v>3</v>
      </c>
      <c r="H527" s="90">
        <v>300</v>
      </c>
      <c r="I527" s="94">
        <v>43453</v>
      </c>
      <c r="J527" s="90" t="s">
        <v>221</v>
      </c>
      <c r="K527" s="90"/>
      <c r="L527" s="90">
        <v>4</v>
      </c>
      <c r="M527" s="90">
        <f t="shared" si="36"/>
        <v>960</v>
      </c>
      <c r="N527" s="95">
        <f t="shared" si="37"/>
        <v>-0.1323529411764707</v>
      </c>
    </row>
    <row r="528" spans="1:14" s="96" customFormat="1" ht="15" hidden="1" customHeight="1" x14ac:dyDescent="0.2">
      <c r="A528" s="90" t="s">
        <v>222</v>
      </c>
      <c r="B528" s="91" t="s">
        <v>40</v>
      </c>
      <c r="C528" s="91">
        <v>680</v>
      </c>
      <c r="D528" s="92">
        <v>400</v>
      </c>
      <c r="E528" s="90">
        <f>418.1</f>
        <v>418.1</v>
      </c>
      <c r="F528" s="90" t="s">
        <v>8</v>
      </c>
      <c r="G528" s="93" t="s">
        <v>146</v>
      </c>
      <c r="H528" s="90"/>
      <c r="I528" s="94">
        <v>43453</v>
      </c>
      <c r="J528" s="90" t="s">
        <v>13</v>
      </c>
      <c r="K528" s="90"/>
      <c r="L528" s="90">
        <v>1</v>
      </c>
      <c r="M528" s="90">
        <f t="shared" si="36"/>
        <v>680</v>
      </c>
      <c r="N528" s="95">
        <f t="shared" si="37"/>
        <v>-0.156574394463668</v>
      </c>
    </row>
    <row r="529" spans="1:14" s="96" customFormat="1" ht="15" hidden="1" customHeight="1" x14ac:dyDescent="0.2">
      <c r="A529" s="90" t="s">
        <v>222</v>
      </c>
      <c r="B529" s="91" t="s">
        <v>40</v>
      </c>
      <c r="C529" s="91">
        <v>700</v>
      </c>
      <c r="D529" s="92">
        <v>400</v>
      </c>
      <c r="E529" s="90">
        <f>424.9</f>
        <v>424.9</v>
      </c>
      <c r="F529" s="90" t="s">
        <v>8</v>
      </c>
      <c r="G529" s="93" t="s">
        <v>146</v>
      </c>
      <c r="H529" s="90"/>
      <c r="I529" s="94">
        <v>43453</v>
      </c>
      <c r="J529" s="90" t="s">
        <v>13</v>
      </c>
      <c r="K529" s="90"/>
      <c r="L529" s="90">
        <v>1</v>
      </c>
      <c r="M529" s="90">
        <f t="shared" si="36"/>
        <v>700</v>
      </c>
      <c r="N529" s="95">
        <f t="shared" si="37"/>
        <v>-0.20924369747899138</v>
      </c>
    </row>
    <row r="530" spans="1:14" s="96" customFormat="1" ht="15" hidden="1" customHeight="1" x14ac:dyDescent="0.2">
      <c r="A530" s="90" t="s">
        <v>222</v>
      </c>
      <c r="B530" s="91" t="s">
        <v>40</v>
      </c>
      <c r="C530" s="91">
        <v>760</v>
      </c>
      <c r="D530" s="92">
        <v>400</v>
      </c>
      <c r="E530" s="90">
        <f>366.9</f>
        <v>366.9</v>
      </c>
      <c r="F530" s="90" t="s">
        <v>8</v>
      </c>
      <c r="G530" s="93" t="s">
        <v>146</v>
      </c>
      <c r="H530" s="90"/>
      <c r="I530" s="94">
        <v>43453</v>
      </c>
      <c r="J530" s="90" t="s">
        <v>13</v>
      </c>
      <c r="K530" s="90"/>
      <c r="L530" s="90">
        <v>1</v>
      </c>
      <c r="M530" s="90">
        <f t="shared" si="36"/>
        <v>760</v>
      </c>
      <c r="N530" s="95">
        <f t="shared" si="37"/>
        <v>0.25619195046439641</v>
      </c>
    </row>
    <row r="531" spans="1:14" s="96" customFormat="1" ht="15" hidden="1" customHeight="1" x14ac:dyDescent="0.2">
      <c r="A531" s="90" t="s">
        <v>222</v>
      </c>
      <c r="B531" s="91" t="s">
        <v>40</v>
      </c>
      <c r="C531" s="91">
        <v>880</v>
      </c>
      <c r="D531" s="92">
        <v>600</v>
      </c>
      <c r="E531" s="90">
        <f>578.9</f>
        <v>578.9</v>
      </c>
      <c r="F531" s="90" t="s">
        <v>8</v>
      </c>
      <c r="G531" s="93" t="s">
        <v>146</v>
      </c>
      <c r="H531" s="90"/>
      <c r="I531" s="94">
        <v>43453</v>
      </c>
      <c r="J531" s="90" t="s">
        <v>13</v>
      </c>
      <c r="K531" s="90"/>
      <c r="L531" s="90">
        <v>1</v>
      </c>
      <c r="M531" s="90">
        <f t="shared" si="36"/>
        <v>880</v>
      </c>
      <c r="N531" s="95">
        <f t="shared" si="37"/>
        <v>0.14104278074866322</v>
      </c>
    </row>
    <row r="532" spans="1:14" s="96" customFormat="1" ht="15" hidden="1" customHeight="1" x14ac:dyDescent="0.2">
      <c r="A532" s="90" t="s">
        <v>222</v>
      </c>
      <c r="B532" s="91" t="s">
        <v>40</v>
      </c>
      <c r="C532" s="91">
        <v>960</v>
      </c>
      <c r="D532" s="92">
        <v>700</v>
      </c>
      <c r="E532" s="90">
        <f>653.4</f>
        <v>653.4</v>
      </c>
      <c r="F532" s="90" t="s">
        <v>8</v>
      </c>
      <c r="G532" s="93" t="s">
        <v>146</v>
      </c>
      <c r="H532" s="90"/>
      <c r="I532" s="94">
        <v>43453</v>
      </c>
      <c r="J532" s="90" t="s">
        <v>13</v>
      </c>
      <c r="K532" s="90"/>
      <c r="L532" s="90">
        <v>1</v>
      </c>
      <c r="M532" s="90">
        <f t="shared" si="36"/>
        <v>960</v>
      </c>
      <c r="N532" s="95">
        <f t="shared" si="37"/>
        <v>0.28553921568627461</v>
      </c>
    </row>
    <row r="533" spans="1:14" s="96" customFormat="1" ht="15" hidden="1" customHeight="1" x14ac:dyDescent="0.2">
      <c r="A533" s="90" t="s">
        <v>222</v>
      </c>
      <c r="B533" s="91" t="s">
        <v>40</v>
      </c>
      <c r="C533" s="91">
        <v>1020</v>
      </c>
      <c r="D533" s="92">
        <v>400</v>
      </c>
      <c r="E533" s="90">
        <f>420</f>
        <v>420</v>
      </c>
      <c r="F533" s="90" t="s">
        <v>8</v>
      </c>
      <c r="G533" s="93" t="s">
        <v>146</v>
      </c>
      <c r="H533" s="90"/>
      <c r="I533" s="94">
        <v>43453</v>
      </c>
      <c r="J533" s="90" t="s">
        <v>13</v>
      </c>
      <c r="K533" s="90"/>
      <c r="L533" s="90">
        <v>1</v>
      </c>
      <c r="M533" s="90">
        <f t="shared" si="36"/>
        <v>1020</v>
      </c>
      <c r="N533" s="95">
        <f t="shared" si="37"/>
        <v>-0.11534025374855825</v>
      </c>
    </row>
    <row r="534" spans="1:14" s="96" customFormat="1" ht="15" hidden="1" customHeight="1" x14ac:dyDescent="0.2">
      <c r="A534" s="90" t="s">
        <v>222</v>
      </c>
      <c r="B534" s="91" t="s">
        <v>40</v>
      </c>
      <c r="C534" s="91">
        <v>1000</v>
      </c>
      <c r="D534" s="92">
        <v>400</v>
      </c>
      <c r="E534" s="90">
        <f>406.3</f>
        <v>406.3</v>
      </c>
      <c r="F534" s="90" t="s">
        <v>8</v>
      </c>
      <c r="G534" s="93" t="s">
        <v>146</v>
      </c>
      <c r="H534" s="90"/>
      <c r="I534" s="94">
        <v>43453</v>
      </c>
      <c r="J534" s="90" t="s">
        <v>13</v>
      </c>
      <c r="K534" s="90"/>
      <c r="L534" s="90">
        <v>1</v>
      </c>
      <c r="M534" s="90">
        <f t="shared" si="36"/>
        <v>1000</v>
      </c>
      <c r="N534" s="95">
        <f t="shared" si="37"/>
        <v>-3.7058823529411831E-2</v>
      </c>
    </row>
    <row r="535" spans="1:14" s="60" customFormat="1" ht="15" hidden="1" customHeight="1" x14ac:dyDescent="0.2">
      <c r="A535" s="55" t="s">
        <v>222</v>
      </c>
      <c r="B535" s="54" t="s">
        <v>40</v>
      </c>
      <c r="C535" s="54">
        <v>1200</v>
      </c>
      <c r="D535" s="56">
        <v>700</v>
      </c>
      <c r="E535" s="55">
        <f>534+275.6</f>
        <v>809.6</v>
      </c>
      <c r="F535" s="55" t="s">
        <v>8</v>
      </c>
      <c r="G535" s="57" t="s">
        <v>146</v>
      </c>
      <c r="H535" s="55"/>
      <c r="I535" s="58">
        <v>43453</v>
      </c>
      <c r="J535" s="55" t="s">
        <v>13</v>
      </c>
      <c r="K535" s="55"/>
      <c r="L535" s="55">
        <v>1</v>
      </c>
      <c r="M535" s="55">
        <f t="shared" si="36"/>
        <v>1200</v>
      </c>
      <c r="N535" s="59">
        <f t="shared" si="37"/>
        <v>-0.5372549019607844</v>
      </c>
    </row>
    <row r="536" spans="1:14" s="104" customFormat="1" ht="15" hidden="1" customHeight="1" x14ac:dyDescent="0.2">
      <c r="A536" s="98" t="s">
        <v>222</v>
      </c>
      <c r="B536" s="99" t="s">
        <v>39</v>
      </c>
      <c r="C536" s="99">
        <v>1000</v>
      </c>
      <c r="D536" s="100">
        <v>400</v>
      </c>
      <c r="E536" s="98">
        <f>458.8</f>
        <v>458.8</v>
      </c>
      <c r="F536" s="98" t="s">
        <v>8</v>
      </c>
      <c r="G536" s="101" t="s">
        <v>146</v>
      </c>
      <c r="H536" s="98"/>
      <c r="I536" s="102">
        <v>43453</v>
      </c>
      <c r="J536" s="98" t="s">
        <v>13</v>
      </c>
      <c r="K536" s="98"/>
      <c r="L536" s="98">
        <v>1</v>
      </c>
      <c r="M536" s="98">
        <f t="shared" ref="M536:M543" si="38">L536*C536</f>
        <v>1000</v>
      </c>
      <c r="N536" s="103">
        <f t="shared" ref="N536:N543" si="39">(D536-E536)/(M536*0.17)</f>
        <v>-0.34588235294117653</v>
      </c>
    </row>
    <row r="537" spans="1:14" s="104" customFormat="1" ht="15" hidden="1" customHeight="1" x14ac:dyDescent="0.2">
      <c r="A537" s="98" t="s">
        <v>222</v>
      </c>
      <c r="B537" s="99" t="s">
        <v>39</v>
      </c>
      <c r="C537" s="99">
        <v>1060</v>
      </c>
      <c r="D537" s="100">
        <v>400</v>
      </c>
      <c r="E537" s="98">
        <f>369.7</f>
        <v>369.7</v>
      </c>
      <c r="F537" s="98" t="s">
        <v>8</v>
      </c>
      <c r="G537" s="101" t="s">
        <v>146</v>
      </c>
      <c r="H537" s="98"/>
      <c r="I537" s="102">
        <v>43453</v>
      </c>
      <c r="J537" s="98" t="s">
        <v>13</v>
      </c>
      <c r="K537" s="98"/>
      <c r="L537" s="98">
        <v>1</v>
      </c>
      <c r="M537" s="98">
        <f t="shared" si="38"/>
        <v>1060</v>
      </c>
      <c r="N537" s="103">
        <f t="shared" si="39"/>
        <v>0.16814650388457275</v>
      </c>
    </row>
    <row r="538" spans="1:14" s="104" customFormat="1" ht="15" hidden="1" customHeight="1" x14ac:dyDescent="0.2">
      <c r="A538" s="98" t="s">
        <v>300</v>
      </c>
      <c r="B538" s="99" t="s">
        <v>39</v>
      </c>
      <c r="C538" s="47">
        <v>1080</v>
      </c>
      <c r="D538" s="100">
        <v>500</v>
      </c>
      <c r="E538" s="98">
        <f>562.8</f>
        <v>562.79999999999995</v>
      </c>
      <c r="F538" s="98" t="s">
        <v>8</v>
      </c>
      <c r="G538" s="101">
        <v>4</v>
      </c>
      <c r="H538" s="98"/>
      <c r="I538" s="102">
        <v>43453</v>
      </c>
      <c r="J538" s="98" t="s">
        <v>13</v>
      </c>
      <c r="K538" s="98"/>
      <c r="L538" s="98">
        <v>1</v>
      </c>
      <c r="M538" s="98">
        <f t="shared" si="38"/>
        <v>1080</v>
      </c>
      <c r="N538" s="103">
        <f t="shared" si="39"/>
        <v>-0.34204793028322411</v>
      </c>
    </row>
    <row r="539" spans="1:14" s="104" customFormat="1" ht="15" hidden="1" customHeight="1" x14ac:dyDescent="0.2">
      <c r="A539" s="98" t="s">
        <v>222</v>
      </c>
      <c r="B539" s="99" t="s">
        <v>39</v>
      </c>
      <c r="C539" s="99">
        <v>1100</v>
      </c>
      <c r="D539" s="100">
        <v>400</v>
      </c>
      <c r="E539" s="98">
        <f>385.4</f>
        <v>385.4</v>
      </c>
      <c r="F539" s="98" t="s">
        <v>8</v>
      </c>
      <c r="G539" s="101" t="s">
        <v>146</v>
      </c>
      <c r="H539" s="98"/>
      <c r="I539" s="102">
        <v>43453</v>
      </c>
      <c r="J539" s="98" t="s">
        <v>13</v>
      </c>
      <c r="K539" s="98"/>
      <c r="L539" s="98">
        <v>1</v>
      </c>
      <c r="M539" s="98">
        <f t="shared" si="38"/>
        <v>1100</v>
      </c>
      <c r="N539" s="103">
        <f t="shared" si="39"/>
        <v>7.8074866310160543E-2</v>
      </c>
    </row>
    <row r="540" spans="1:14" s="104" customFormat="1" ht="15" hidden="1" customHeight="1" x14ac:dyDescent="0.2">
      <c r="A540" s="98" t="s">
        <v>222</v>
      </c>
      <c r="B540" s="99" t="s">
        <v>39</v>
      </c>
      <c r="C540" s="99">
        <v>1200</v>
      </c>
      <c r="D540" s="100">
        <v>400</v>
      </c>
      <c r="E540" s="98">
        <f>432.8</f>
        <v>432.8</v>
      </c>
      <c r="F540" s="98" t="s">
        <v>8</v>
      </c>
      <c r="G540" s="101" t="s">
        <v>146</v>
      </c>
      <c r="H540" s="98"/>
      <c r="I540" s="102">
        <v>43453</v>
      </c>
      <c r="J540" s="98" t="s">
        <v>13</v>
      </c>
      <c r="K540" s="98"/>
      <c r="L540" s="98">
        <v>1</v>
      </c>
      <c r="M540" s="98">
        <f t="shared" si="38"/>
        <v>1200</v>
      </c>
      <c r="N540" s="103">
        <f t="shared" si="39"/>
        <v>-0.16078431372549024</v>
      </c>
    </row>
    <row r="541" spans="1:14" s="104" customFormat="1" ht="15" hidden="1" customHeight="1" x14ac:dyDescent="0.2">
      <c r="A541" s="98" t="s">
        <v>222</v>
      </c>
      <c r="B541" s="99" t="s">
        <v>39</v>
      </c>
      <c r="C541" s="99">
        <v>1220</v>
      </c>
      <c r="D541" s="100">
        <v>750</v>
      </c>
      <c r="E541" s="98">
        <f>757.6</f>
        <v>757.6</v>
      </c>
      <c r="F541" s="98" t="s">
        <v>8</v>
      </c>
      <c r="G541" s="101" t="s">
        <v>146</v>
      </c>
      <c r="H541" s="98"/>
      <c r="I541" s="102">
        <v>43453</v>
      </c>
      <c r="J541" s="98" t="s">
        <v>13</v>
      </c>
      <c r="K541" s="98"/>
      <c r="L541" s="98">
        <v>1</v>
      </c>
      <c r="M541" s="98">
        <f t="shared" si="38"/>
        <v>1220</v>
      </c>
      <c r="N541" s="103">
        <f t="shared" si="39"/>
        <v>-3.6644165863066645E-2</v>
      </c>
    </row>
    <row r="542" spans="1:14" s="104" customFormat="1" ht="15" hidden="1" customHeight="1" x14ac:dyDescent="0.2">
      <c r="A542" s="98" t="s">
        <v>222</v>
      </c>
      <c r="B542" s="99" t="s">
        <v>37</v>
      </c>
      <c r="C542" s="99">
        <v>960</v>
      </c>
      <c r="D542" s="100">
        <v>400</v>
      </c>
      <c r="E542" s="98">
        <f>388.1</f>
        <v>388.1</v>
      </c>
      <c r="F542" s="98" t="s">
        <v>8</v>
      </c>
      <c r="G542" s="101"/>
      <c r="H542" s="98"/>
      <c r="I542" s="102">
        <v>43453</v>
      </c>
      <c r="J542" s="98" t="s">
        <v>13</v>
      </c>
      <c r="K542" s="98"/>
      <c r="L542" s="98">
        <v>1</v>
      </c>
      <c r="M542" s="98">
        <f t="shared" si="38"/>
        <v>960</v>
      </c>
      <c r="N542" s="103">
        <f t="shared" si="39"/>
        <v>7.2916666666666519E-2</v>
      </c>
    </row>
    <row r="543" spans="1:14" s="104" customFormat="1" ht="15" hidden="1" customHeight="1" x14ac:dyDescent="0.2">
      <c r="A543" s="98" t="s">
        <v>222</v>
      </c>
      <c r="B543" s="99" t="s">
        <v>37</v>
      </c>
      <c r="C543" s="99">
        <v>1200</v>
      </c>
      <c r="D543" s="100">
        <v>500</v>
      </c>
      <c r="E543" s="98">
        <f>517.3</f>
        <v>517.29999999999995</v>
      </c>
      <c r="F543" s="98" t="s">
        <v>8</v>
      </c>
      <c r="G543" s="101"/>
      <c r="H543" s="98"/>
      <c r="I543" s="102">
        <v>43453</v>
      </c>
      <c r="J543" s="98" t="s">
        <v>13</v>
      </c>
      <c r="K543" s="98"/>
      <c r="L543" s="98">
        <v>1</v>
      </c>
      <c r="M543" s="98">
        <f t="shared" si="38"/>
        <v>1200</v>
      </c>
      <c r="N543" s="103">
        <f t="shared" si="39"/>
        <v>-8.4803921568627219E-2</v>
      </c>
    </row>
    <row r="544" spans="1:14" s="104" customFormat="1" ht="15" hidden="1" customHeight="1" x14ac:dyDescent="0.2">
      <c r="A544" s="98" t="s">
        <v>222</v>
      </c>
      <c r="B544" s="99" t="s">
        <v>36</v>
      </c>
      <c r="C544" s="99">
        <v>840</v>
      </c>
      <c r="D544" s="100">
        <v>400</v>
      </c>
      <c r="E544" s="98">
        <f>394.7</f>
        <v>394.7</v>
      </c>
      <c r="F544" s="98" t="s">
        <v>8</v>
      </c>
      <c r="G544" s="101" t="s">
        <v>146</v>
      </c>
      <c r="H544" s="98"/>
      <c r="I544" s="102">
        <v>43453</v>
      </c>
      <c r="J544" s="98" t="s">
        <v>13</v>
      </c>
      <c r="K544" s="98"/>
      <c r="L544" s="98">
        <v>1</v>
      </c>
      <c r="M544" s="98">
        <f t="shared" ref="M544:M550" si="40">L544*C544</f>
        <v>840</v>
      </c>
      <c r="N544" s="103">
        <f t="shared" ref="N544:N550" si="41">(D544-E544)/(M544*0.17)</f>
        <v>3.7114845938375426E-2</v>
      </c>
    </row>
    <row r="545" spans="1:14" s="52" customFormat="1" ht="15" hidden="1" customHeight="1" x14ac:dyDescent="0.2">
      <c r="A545" s="46" t="s">
        <v>223</v>
      </c>
      <c r="B545" s="47" t="s">
        <v>36</v>
      </c>
      <c r="C545" s="54">
        <v>200</v>
      </c>
      <c r="D545" s="133">
        <f>1500+1500+1500</f>
        <v>4500</v>
      </c>
      <c r="E545" s="46">
        <f>805+680.5+2997.2</f>
        <v>4482.7</v>
      </c>
      <c r="F545" s="46" t="s">
        <v>8</v>
      </c>
      <c r="G545" s="49" t="s">
        <v>146</v>
      </c>
      <c r="H545" s="46"/>
      <c r="I545" s="50">
        <v>43453</v>
      </c>
      <c r="J545" s="46" t="s">
        <v>224</v>
      </c>
      <c r="K545" s="46"/>
      <c r="L545" s="46">
        <v>5</v>
      </c>
      <c r="M545" s="46">
        <f t="shared" si="40"/>
        <v>1000</v>
      </c>
      <c r="N545" s="51">
        <f t="shared" si="41"/>
        <v>0.10176470588235401</v>
      </c>
    </row>
    <row r="546" spans="1:14" s="78" customFormat="1" ht="15" hidden="1" customHeight="1" x14ac:dyDescent="0.2">
      <c r="A546" s="16" t="s">
        <v>130</v>
      </c>
      <c r="B546" s="73" t="s">
        <v>39</v>
      </c>
      <c r="C546" s="54">
        <v>250</v>
      </c>
      <c r="D546" s="74">
        <v>500</v>
      </c>
      <c r="E546" s="16">
        <f>498.9</f>
        <v>498.9</v>
      </c>
      <c r="F546" s="16" t="s">
        <v>8</v>
      </c>
      <c r="G546" s="75" t="s">
        <v>146</v>
      </c>
      <c r="H546" s="16"/>
      <c r="I546" s="76">
        <v>43453</v>
      </c>
      <c r="J546" s="16" t="s">
        <v>43</v>
      </c>
      <c r="K546" s="16"/>
      <c r="L546" s="16">
        <v>4</v>
      </c>
      <c r="M546" s="16">
        <f t="shared" si="40"/>
        <v>1000</v>
      </c>
      <c r="N546" s="77">
        <f t="shared" si="41"/>
        <v>6.4705882352942513E-3</v>
      </c>
    </row>
    <row r="547" spans="1:14" s="60" customFormat="1" ht="15" hidden="1" customHeight="1" x14ac:dyDescent="0.2">
      <c r="A547" s="55" t="s">
        <v>225</v>
      </c>
      <c r="B547" s="54" t="s">
        <v>40</v>
      </c>
      <c r="C547" s="54">
        <v>240</v>
      </c>
      <c r="D547" s="56">
        <v>600</v>
      </c>
      <c r="E547" s="55">
        <f>640</f>
        <v>640</v>
      </c>
      <c r="F547" s="55" t="s">
        <v>8</v>
      </c>
      <c r="G547" s="57" t="s">
        <v>146</v>
      </c>
      <c r="H547" s="55"/>
      <c r="I547" s="58">
        <v>43454</v>
      </c>
      <c r="J547" s="55" t="s">
        <v>226</v>
      </c>
      <c r="K547" s="55"/>
      <c r="L547" s="55">
        <v>5</v>
      </c>
      <c r="M547" s="55">
        <f t="shared" si="40"/>
        <v>1200</v>
      </c>
      <c r="N547" s="59">
        <f t="shared" si="41"/>
        <v>-0.19607843137254899</v>
      </c>
    </row>
    <row r="548" spans="1:14" s="96" customFormat="1" ht="15" hidden="1" customHeight="1" x14ac:dyDescent="0.2">
      <c r="A548" s="90" t="s">
        <v>225</v>
      </c>
      <c r="B548" s="91" t="s">
        <v>40</v>
      </c>
      <c r="C548" s="91">
        <v>360</v>
      </c>
      <c r="D548" s="92">
        <v>400</v>
      </c>
      <c r="E548" s="90">
        <f>249.9+251.1</f>
        <v>501</v>
      </c>
      <c r="F548" s="90" t="s">
        <v>8</v>
      </c>
      <c r="G548" s="93" t="s">
        <v>146</v>
      </c>
      <c r="H548" s="90"/>
      <c r="I548" s="94">
        <v>43454</v>
      </c>
      <c r="J548" s="90" t="s">
        <v>226</v>
      </c>
      <c r="K548" s="90"/>
      <c r="L548" s="90">
        <v>3</v>
      </c>
      <c r="M548" s="90">
        <f t="shared" si="40"/>
        <v>1080</v>
      </c>
      <c r="N548" s="95">
        <f t="shared" si="41"/>
        <v>-0.55010893246187353</v>
      </c>
    </row>
    <row r="549" spans="1:14" s="60" customFormat="1" ht="15" hidden="1" customHeight="1" x14ac:dyDescent="0.2">
      <c r="A549" s="55" t="s">
        <v>225</v>
      </c>
      <c r="B549" s="54" t="s">
        <v>40</v>
      </c>
      <c r="C549" s="54">
        <v>210</v>
      </c>
      <c r="D549" s="56">
        <v>200</v>
      </c>
      <c r="E549" s="55">
        <f>230</f>
        <v>230</v>
      </c>
      <c r="F549" s="55" t="s">
        <v>8</v>
      </c>
      <c r="G549" s="57"/>
      <c r="H549" s="55"/>
      <c r="I549" s="58">
        <v>43454</v>
      </c>
      <c r="J549" s="55" t="s">
        <v>226</v>
      </c>
      <c r="K549" s="55"/>
      <c r="L549" s="55">
        <v>5</v>
      </c>
      <c r="M549" s="55">
        <f t="shared" si="40"/>
        <v>1050</v>
      </c>
      <c r="N549" s="59">
        <f t="shared" si="41"/>
        <v>-0.16806722689075632</v>
      </c>
    </row>
    <row r="550" spans="1:14" s="60" customFormat="1" ht="15" hidden="1" customHeight="1" x14ac:dyDescent="0.2">
      <c r="A550" s="55" t="s">
        <v>225</v>
      </c>
      <c r="B550" s="54" t="s">
        <v>40</v>
      </c>
      <c r="C550" s="54">
        <v>550</v>
      </c>
      <c r="D550" s="56">
        <v>200</v>
      </c>
      <c r="E550" s="55">
        <f>252.4</f>
        <v>252.4</v>
      </c>
      <c r="F550" s="55" t="s">
        <v>8</v>
      </c>
      <c r="G550" s="57" t="s">
        <v>146</v>
      </c>
      <c r="H550" s="55"/>
      <c r="I550" s="58">
        <v>43454</v>
      </c>
      <c r="J550" s="55" t="s">
        <v>226</v>
      </c>
      <c r="K550" s="55"/>
      <c r="L550" s="55">
        <v>2</v>
      </c>
      <c r="M550" s="55">
        <f t="shared" si="40"/>
        <v>1100</v>
      </c>
      <c r="N550" s="59">
        <f t="shared" si="41"/>
        <v>-0.28021390374331556</v>
      </c>
    </row>
    <row r="551" spans="1:14" s="78" customFormat="1" ht="15" hidden="1" customHeight="1" x14ac:dyDescent="0.2">
      <c r="A551" s="16" t="s">
        <v>227</v>
      </c>
      <c r="B551" s="73" t="s">
        <v>37</v>
      </c>
      <c r="C551" s="73">
        <v>390</v>
      </c>
      <c r="D551" s="74">
        <v>100</v>
      </c>
      <c r="E551" s="16">
        <f>110.4</f>
        <v>110.4</v>
      </c>
      <c r="F551" s="16" t="s">
        <v>8</v>
      </c>
      <c r="G551" s="75"/>
      <c r="H551" s="16" t="s">
        <v>228</v>
      </c>
      <c r="I551" s="76">
        <v>43454</v>
      </c>
      <c r="J551" s="16" t="s">
        <v>205</v>
      </c>
      <c r="K551" s="16"/>
      <c r="L551" s="16"/>
      <c r="M551" s="16"/>
      <c r="N551" s="77"/>
    </row>
    <row r="552" spans="1:14" s="88" customFormat="1" ht="15" hidden="1" customHeight="1" x14ac:dyDescent="0.2">
      <c r="A552" s="82" t="s">
        <v>229</v>
      </c>
      <c r="B552" s="83" t="s">
        <v>39</v>
      </c>
      <c r="C552" s="54">
        <v>440</v>
      </c>
      <c r="D552" s="84">
        <v>500</v>
      </c>
      <c r="E552" s="82">
        <f>590.2</f>
        <v>590.20000000000005</v>
      </c>
      <c r="F552" s="82" t="s">
        <v>8</v>
      </c>
      <c r="G552" s="85">
        <v>4</v>
      </c>
      <c r="H552" s="82"/>
      <c r="I552" s="86">
        <v>43454</v>
      </c>
      <c r="J552" s="82" t="s">
        <v>230</v>
      </c>
      <c r="K552" s="82"/>
      <c r="L552" s="82">
        <v>2</v>
      </c>
      <c r="M552" s="82">
        <f t="shared" ref="M552:M561" si="42">L552*C552</f>
        <v>880</v>
      </c>
      <c r="N552" s="87">
        <f t="shared" ref="N552:N561" si="43">(D552-E552)/(M552*0.17)</f>
        <v>-0.60294117647058842</v>
      </c>
    </row>
    <row r="553" spans="1:14" s="88" customFormat="1" ht="15" hidden="1" customHeight="1" x14ac:dyDescent="0.2">
      <c r="A553" s="82" t="s">
        <v>229</v>
      </c>
      <c r="B553" s="83" t="s">
        <v>39</v>
      </c>
      <c r="C553" s="54">
        <v>400</v>
      </c>
      <c r="D553" s="84">
        <v>200</v>
      </c>
      <c r="E553" s="82">
        <f>244.2</f>
        <v>244.2</v>
      </c>
      <c r="F553" s="82" t="s">
        <v>8</v>
      </c>
      <c r="G553" s="85">
        <v>4</v>
      </c>
      <c r="H553" s="82"/>
      <c r="I553" s="86">
        <v>43454</v>
      </c>
      <c r="J553" s="82" t="s">
        <v>230</v>
      </c>
      <c r="K553" s="82"/>
      <c r="L553" s="82">
        <v>3</v>
      </c>
      <c r="M553" s="82">
        <f t="shared" si="42"/>
        <v>1200</v>
      </c>
      <c r="N553" s="87">
        <f t="shared" si="43"/>
        <v>-0.21666666666666659</v>
      </c>
    </row>
    <row r="554" spans="1:14" s="88" customFormat="1" ht="15" hidden="1" customHeight="1" x14ac:dyDescent="0.2">
      <c r="A554" s="82" t="s">
        <v>136</v>
      </c>
      <c r="B554" s="83" t="s">
        <v>39</v>
      </c>
      <c r="C554" s="83">
        <v>900</v>
      </c>
      <c r="D554" s="84">
        <v>4000</v>
      </c>
      <c r="E554" s="82">
        <f>768.6+2411.3+801.8</f>
        <v>3981.7</v>
      </c>
      <c r="F554" s="82" t="s">
        <v>8</v>
      </c>
      <c r="G554" s="85">
        <v>3</v>
      </c>
      <c r="H554" s="82"/>
      <c r="I554" s="86">
        <v>43454</v>
      </c>
      <c r="J554" s="82" t="s">
        <v>137</v>
      </c>
      <c r="K554" s="82"/>
      <c r="L554" s="82">
        <v>1</v>
      </c>
      <c r="M554" s="82">
        <f t="shared" si="42"/>
        <v>900</v>
      </c>
      <c r="N554" s="87">
        <f t="shared" si="43"/>
        <v>0.11960784313725609</v>
      </c>
    </row>
    <row r="555" spans="1:14" s="88" customFormat="1" ht="15" hidden="1" customHeight="1" x14ac:dyDescent="0.2">
      <c r="A555" s="82" t="s">
        <v>136</v>
      </c>
      <c r="B555" s="83" t="s">
        <v>39</v>
      </c>
      <c r="C555" s="83">
        <v>1000</v>
      </c>
      <c r="D555" s="84">
        <v>3000</v>
      </c>
      <c r="E555" s="82">
        <f>1135+1532.5+447.9</f>
        <v>3115.4</v>
      </c>
      <c r="F555" s="82" t="s">
        <v>8</v>
      </c>
      <c r="G555" s="85">
        <v>3</v>
      </c>
      <c r="H555" s="82"/>
      <c r="I555" s="86">
        <v>43454</v>
      </c>
      <c r="J555" s="82" t="s">
        <v>137</v>
      </c>
      <c r="K555" s="82"/>
      <c r="L555" s="82">
        <v>1</v>
      </c>
      <c r="M555" s="82">
        <f t="shared" si="42"/>
        <v>1000</v>
      </c>
      <c r="N555" s="87">
        <f t="shared" si="43"/>
        <v>-0.67882352941176527</v>
      </c>
    </row>
    <row r="556" spans="1:14" ht="15" hidden="1" customHeight="1" x14ac:dyDescent="0.2">
      <c r="A556" s="1" t="s">
        <v>136</v>
      </c>
      <c r="B556" s="2" t="s">
        <v>38</v>
      </c>
      <c r="C556" s="2">
        <v>600</v>
      </c>
      <c r="D556" s="7">
        <v>1000</v>
      </c>
      <c r="E556" s="1">
        <f>1051.3</f>
        <v>1051.3</v>
      </c>
      <c r="F556" s="1" t="s">
        <v>8</v>
      </c>
      <c r="G556" s="41">
        <v>4</v>
      </c>
      <c r="I556" s="8">
        <v>43454</v>
      </c>
      <c r="J556" s="16" t="s">
        <v>137</v>
      </c>
      <c r="L556" s="10">
        <v>2</v>
      </c>
      <c r="M556" s="10">
        <f t="shared" si="42"/>
        <v>1200</v>
      </c>
      <c r="N556" s="29">
        <f t="shared" si="43"/>
        <v>-0.25147058823529383</v>
      </c>
    </row>
    <row r="557" spans="1:14" ht="15" hidden="1" customHeight="1" x14ac:dyDescent="0.2">
      <c r="A557" s="1" t="s">
        <v>136</v>
      </c>
      <c r="B557" s="2" t="s">
        <v>38</v>
      </c>
      <c r="C557" s="2">
        <v>790</v>
      </c>
      <c r="D557" s="7">
        <v>1500</v>
      </c>
      <c r="E557" s="1">
        <f>1553.1</f>
        <v>1553.1</v>
      </c>
      <c r="F557" s="1" t="s">
        <v>8</v>
      </c>
      <c r="G557" s="41">
        <v>4</v>
      </c>
      <c r="I557" s="8">
        <v>43454</v>
      </c>
      <c r="J557" s="16" t="s">
        <v>137</v>
      </c>
      <c r="L557" s="10">
        <v>1</v>
      </c>
      <c r="M557" s="10">
        <f t="shared" si="42"/>
        <v>790</v>
      </c>
      <c r="N557" s="29">
        <f t="shared" si="43"/>
        <v>-0.39538346984363293</v>
      </c>
    </row>
    <row r="558" spans="1:14" s="52" customFormat="1" ht="15" hidden="1" customHeight="1" x14ac:dyDescent="0.2">
      <c r="A558" s="46" t="s">
        <v>136</v>
      </c>
      <c r="B558" s="47" t="s">
        <v>38</v>
      </c>
      <c r="C558" s="47">
        <v>1080</v>
      </c>
      <c r="D558" s="48">
        <v>500</v>
      </c>
      <c r="E558" s="46">
        <f>530</f>
        <v>530</v>
      </c>
      <c r="F558" s="46" t="s">
        <v>8</v>
      </c>
      <c r="G558" s="49">
        <v>4</v>
      </c>
      <c r="H558" s="46"/>
      <c r="I558" s="50">
        <v>43454</v>
      </c>
      <c r="J558" s="46" t="s">
        <v>137</v>
      </c>
      <c r="K558" s="46"/>
      <c r="L558" s="46">
        <v>1</v>
      </c>
      <c r="M558" s="46">
        <f t="shared" si="42"/>
        <v>1080</v>
      </c>
      <c r="N558" s="51">
        <f t="shared" si="43"/>
        <v>-0.16339869281045749</v>
      </c>
    </row>
    <row r="559" spans="1:14" ht="15" hidden="1" customHeight="1" x14ac:dyDescent="0.2">
      <c r="A559" s="1" t="s">
        <v>136</v>
      </c>
      <c r="B559" s="2" t="s">
        <v>38</v>
      </c>
      <c r="C559" s="2">
        <v>1120</v>
      </c>
      <c r="D559" s="7">
        <v>2000</v>
      </c>
      <c r="E559" s="1">
        <f>552.6+1546.8</f>
        <v>2099.4</v>
      </c>
      <c r="F559" s="1" t="s">
        <v>8</v>
      </c>
      <c r="G559" s="41">
        <v>4</v>
      </c>
      <c r="I559" s="8">
        <v>43454</v>
      </c>
      <c r="J559" s="16" t="s">
        <v>137</v>
      </c>
      <c r="L559" s="10">
        <v>1</v>
      </c>
      <c r="M559" s="10">
        <f t="shared" si="42"/>
        <v>1120</v>
      </c>
      <c r="N559" s="29">
        <f t="shared" si="43"/>
        <v>-0.52205882352941224</v>
      </c>
    </row>
    <row r="560" spans="1:14" s="52" customFormat="1" ht="15" hidden="1" customHeight="1" x14ac:dyDescent="0.2">
      <c r="A560" s="46" t="s">
        <v>136</v>
      </c>
      <c r="B560" s="47" t="s">
        <v>38</v>
      </c>
      <c r="C560" s="47">
        <v>1160</v>
      </c>
      <c r="D560" s="48">
        <v>500</v>
      </c>
      <c r="E560" s="46">
        <f>571.5</f>
        <v>571.5</v>
      </c>
      <c r="F560" s="46" t="s">
        <v>8</v>
      </c>
      <c r="G560" s="49">
        <v>4</v>
      </c>
      <c r="H560" s="46"/>
      <c r="I560" s="50">
        <v>43454</v>
      </c>
      <c r="J560" s="46" t="s">
        <v>137</v>
      </c>
      <c r="K560" s="46"/>
      <c r="L560" s="46">
        <v>1</v>
      </c>
      <c r="M560" s="46">
        <f t="shared" si="42"/>
        <v>1160</v>
      </c>
      <c r="N560" s="51">
        <f t="shared" si="43"/>
        <v>-0.36257606490872207</v>
      </c>
    </row>
    <row r="561" spans="1:14" ht="15" hidden="1" customHeight="1" x14ac:dyDescent="0.2">
      <c r="A561" s="1" t="s">
        <v>136</v>
      </c>
      <c r="B561" s="2" t="s">
        <v>38</v>
      </c>
      <c r="C561" s="2">
        <v>1200</v>
      </c>
      <c r="D561" s="7">
        <v>1000</v>
      </c>
      <c r="E561" s="1">
        <f>516.5+472.3</f>
        <v>988.8</v>
      </c>
      <c r="F561" s="1" t="s">
        <v>8</v>
      </c>
      <c r="G561" s="41">
        <v>4</v>
      </c>
      <c r="I561" s="8">
        <v>43454</v>
      </c>
      <c r="J561" s="16" t="s">
        <v>137</v>
      </c>
      <c r="L561" s="10">
        <v>1</v>
      </c>
      <c r="M561" s="10">
        <f t="shared" si="42"/>
        <v>1200</v>
      </c>
      <c r="N561" s="29">
        <f t="shared" si="43"/>
        <v>5.490196078431394E-2</v>
      </c>
    </row>
    <row r="562" spans="1:14" ht="15" hidden="1" customHeight="1" x14ac:dyDescent="0.2">
      <c r="A562" s="1" t="s">
        <v>136</v>
      </c>
      <c r="B562" s="2" t="s">
        <v>36</v>
      </c>
      <c r="C562" s="2">
        <v>700</v>
      </c>
      <c r="D562" s="7">
        <v>1000</v>
      </c>
      <c r="E562" s="1">
        <f>1000.4</f>
        <v>1000.4</v>
      </c>
      <c r="F562" s="1" t="s">
        <v>8</v>
      </c>
      <c r="G562" s="41">
        <v>4</v>
      </c>
      <c r="I562" s="8">
        <v>43454</v>
      </c>
      <c r="J562" s="16" t="s">
        <v>137</v>
      </c>
      <c r="L562" s="10">
        <v>1</v>
      </c>
      <c r="M562" s="10">
        <f t="shared" ref="M562:M573" si="44">L562*C562</f>
        <v>700</v>
      </c>
      <c r="N562" s="29">
        <f t="shared" ref="N562:N573" si="45">(D562-E562)/(M562*0.17)</f>
        <v>-3.3613445378149346E-3</v>
      </c>
    </row>
    <row r="563" spans="1:14" ht="15" hidden="1" customHeight="1" x14ac:dyDescent="0.2">
      <c r="A563" s="1" t="s">
        <v>136</v>
      </c>
      <c r="B563" s="2" t="s">
        <v>36</v>
      </c>
      <c r="C563" s="2">
        <v>720</v>
      </c>
      <c r="D563" s="7">
        <v>1000</v>
      </c>
      <c r="E563" s="1">
        <f>456.7+668.6</f>
        <v>1125.3</v>
      </c>
      <c r="F563" s="1" t="s">
        <v>8</v>
      </c>
      <c r="G563" s="41">
        <v>4</v>
      </c>
      <c r="I563" s="8">
        <v>43454</v>
      </c>
      <c r="J563" s="16" t="s">
        <v>137</v>
      </c>
      <c r="L563" s="10">
        <v>1</v>
      </c>
      <c r="M563" s="10">
        <f t="shared" si="44"/>
        <v>720</v>
      </c>
      <c r="N563" s="29">
        <f t="shared" si="45"/>
        <v>-1.0236928104575158</v>
      </c>
    </row>
    <row r="564" spans="1:14" s="96" customFormat="1" ht="15" hidden="1" customHeight="1" x14ac:dyDescent="0.2">
      <c r="A564" s="90" t="s">
        <v>136</v>
      </c>
      <c r="B564" s="91" t="s">
        <v>36</v>
      </c>
      <c r="C564" s="91">
        <v>1000</v>
      </c>
      <c r="D564" s="92">
        <v>1000</v>
      </c>
      <c r="E564" s="90">
        <f>1025.3</f>
        <v>1025.3</v>
      </c>
      <c r="F564" s="90" t="s">
        <v>8</v>
      </c>
      <c r="G564" s="93" t="s">
        <v>146</v>
      </c>
      <c r="H564" s="90"/>
      <c r="I564" s="94">
        <v>43454</v>
      </c>
      <c r="J564" s="90" t="s">
        <v>137</v>
      </c>
      <c r="K564" s="90"/>
      <c r="L564" s="90">
        <v>1</v>
      </c>
      <c r="M564" s="90">
        <f t="shared" si="44"/>
        <v>1000</v>
      </c>
      <c r="N564" s="95">
        <f t="shared" si="45"/>
        <v>-0.14882352941176444</v>
      </c>
    </row>
    <row r="565" spans="1:14" ht="15" hidden="1" customHeight="1" x14ac:dyDescent="0.2">
      <c r="A565" s="1" t="s">
        <v>136</v>
      </c>
      <c r="B565" s="2" t="s">
        <v>36</v>
      </c>
      <c r="C565" s="2">
        <v>1100</v>
      </c>
      <c r="D565" s="7">
        <f>2000</f>
        <v>2000</v>
      </c>
      <c r="E565" s="1">
        <f>2123.5</f>
        <v>2123.5</v>
      </c>
      <c r="F565" s="1" t="s">
        <v>8</v>
      </c>
      <c r="G565" s="41" t="s">
        <v>146</v>
      </c>
      <c r="I565" s="8">
        <v>43454</v>
      </c>
      <c r="J565" s="16" t="s">
        <v>137</v>
      </c>
      <c r="L565" s="10">
        <v>1</v>
      </c>
      <c r="M565" s="10">
        <f t="shared" si="44"/>
        <v>1100</v>
      </c>
      <c r="N565" s="29">
        <f t="shared" si="45"/>
        <v>-0.66042780748663099</v>
      </c>
    </row>
    <row r="566" spans="1:14" s="88" customFormat="1" ht="15" hidden="1" customHeight="1" x14ac:dyDescent="0.2">
      <c r="A566" s="82" t="s">
        <v>233</v>
      </c>
      <c r="B566" s="83" t="s">
        <v>39</v>
      </c>
      <c r="C566" s="83">
        <v>620</v>
      </c>
      <c r="D566" s="84">
        <v>2000</v>
      </c>
      <c r="E566" s="82">
        <f>1659.2+426.5</f>
        <v>2085.6999999999998</v>
      </c>
      <c r="F566" s="82" t="s">
        <v>8</v>
      </c>
      <c r="G566" s="85">
        <v>4</v>
      </c>
      <c r="H566" s="82"/>
      <c r="I566" s="86">
        <v>43454</v>
      </c>
      <c r="J566" s="82" t="s">
        <v>234</v>
      </c>
      <c r="K566" s="82"/>
      <c r="L566" s="82">
        <v>1</v>
      </c>
      <c r="M566" s="82">
        <f t="shared" si="44"/>
        <v>620</v>
      </c>
      <c r="N566" s="87">
        <f t="shared" si="45"/>
        <v>-0.81309297912713296</v>
      </c>
    </row>
    <row r="567" spans="1:14" s="88" customFormat="1" ht="15" hidden="1" customHeight="1" x14ac:dyDescent="0.2">
      <c r="A567" s="82" t="s">
        <v>233</v>
      </c>
      <c r="B567" s="83" t="s">
        <v>39</v>
      </c>
      <c r="C567" s="83">
        <v>1010</v>
      </c>
      <c r="D567" s="84">
        <v>5000</v>
      </c>
      <c r="E567" s="82">
        <f>648.4+511.3+3949.3</f>
        <v>5109</v>
      </c>
      <c r="F567" s="82" t="s">
        <v>8</v>
      </c>
      <c r="G567" s="85">
        <v>4</v>
      </c>
      <c r="H567" s="82"/>
      <c r="I567" s="86">
        <v>43454</v>
      </c>
      <c r="J567" s="82" t="s">
        <v>234</v>
      </c>
      <c r="K567" s="82"/>
      <c r="L567" s="82">
        <v>1</v>
      </c>
      <c r="M567" s="82">
        <f t="shared" si="44"/>
        <v>1010</v>
      </c>
      <c r="N567" s="87">
        <f t="shared" si="45"/>
        <v>-0.63482818870122304</v>
      </c>
    </row>
    <row r="568" spans="1:14" s="88" customFormat="1" ht="15" hidden="1" customHeight="1" x14ac:dyDescent="0.2">
      <c r="A568" s="82" t="s">
        <v>233</v>
      </c>
      <c r="B568" s="83" t="s">
        <v>39</v>
      </c>
      <c r="C568" s="83">
        <v>900</v>
      </c>
      <c r="D568" s="84">
        <v>2500</v>
      </c>
      <c r="E568" s="82">
        <f>2835.4</f>
        <v>2835.4</v>
      </c>
      <c r="F568" s="82" t="s">
        <v>8</v>
      </c>
      <c r="G568" s="85">
        <v>4</v>
      </c>
      <c r="H568" s="82"/>
      <c r="I568" s="86">
        <v>43454</v>
      </c>
      <c r="J568" s="82" t="s">
        <v>234</v>
      </c>
      <c r="K568" s="82"/>
      <c r="L568" s="82">
        <v>1</v>
      </c>
      <c r="M568" s="82">
        <f t="shared" si="44"/>
        <v>900</v>
      </c>
      <c r="N568" s="87">
        <f t="shared" si="45"/>
        <v>-2.1921568627450987</v>
      </c>
    </row>
    <row r="569" spans="1:14" s="88" customFormat="1" ht="15" hidden="1" customHeight="1" x14ac:dyDescent="0.2">
      <c r="A569" s="82" t="s">
        <v>233</v>
      </c>
      <c r="B569" s="83" t="s">
        <v>39</v>
      </c>
      <c r="C569" s="83">
        <v>960</v>
      </c>
      <c r="D569" s="84">
        <v>500</v>
      </c>
      <c r="E569" s="82">
        <f>346.3+162.9</f>
        <v>509.20000000000005</v>
      </c>
      <c r="F569" s="82" t="s">
        <v>8</v>
      </c>
      <c r="G569" s="85">
        <v>4</v>
      </c>
      <c r="H569" s="82"/>
      <c r="I569" s="86">
        <v>43454</v>
      </c>
      <c r="J569" s="82" t="s">
        <v>234</v>
      </c>
      <c r="K569" s="82"/>
      <c r="L569" s="82">
        <v>1</v>
      </c>
      <c r="M569" s="82">
        <f t="shared" si="44"/>
        <v>960</v>
      </c>
      <c r="N569" s="87">
        <f t="shared" si="45"/>
        <v>-5.6372549019608115E-2</v>
      </c>
    </row>
    <row r="570" spans="1:14" s="78" customFormat="1" ht="15" hidden="1" customHeight="1" x14ac:dyDescent="0.2">
      <c r="A570" s="16" t="s">
        <v>233</v>
      </c>
      <c r="B570" s="73" t="s">
        <v>39</v>
      </c>
      <c r="C570" s="73">
        <v>1070</v>
      </c>
      <c r="D570" s="74">
        <v>2000</v>
      </c>
      <c r="E570" s="16">
        <f>1958.7</f>
        <v>1958.7</v>
      </c>
      <c r="F570" s="16" t="s">
        <v>8</v>
      </c>
      <c r="G570" s="75" t="s">
        <v>146</v>
      </c>
      <c r="H570" s="16"/>
      <c r="I570" s="76">
        <v>43454</v>
      </c>
      <c r="J570" s="16" t="s">
        <v>234</v>
      </c>
      <c r="K570" s="16"/>
      <c r="L570" s="16">
        <v>1</v>
      </c>
      <c r="M570" s="16">
        <f t="shared" si="44"/>
        <v>1070</v>
      </c>
      <c r="N570" s="77">
        <f t="shared" si="45"/>
        <v>0.22704782847718502</v>
      </c>
    </row>
    <row r="571" spans="1:14" s="52" customFormat="1" ht="15" hidden="1" customHeight="1" x14ac:dyDescent="0.2">
      <c r="A571" s="46" t="s">
        <v>173</v>
      </c>
      <c r="B571" s="47" t="s">
        <v>37</v>
      </c>
      <c r="C571" s="47">
        <v>900</v>
      </c>
      <c r="D571" s="48">
        <f>320+50</f>
        <v>370</v>
      </c>
      <c r="E571" s="46">
        <f>406.5</f>
        <v>406.5</v>
      </c>
      <c r="F571" s="46" t="s">
        <v>8</v>
      </c>
      <c r="G571" s="49">
        <v>3</v>
      </c>
      <c r="H571" s="46"/>
      <c r="I571" s="50" t="s">
        <v>272</v>
      </c>
      <c r="J571" s="46" t="s">
        <v>175</v>
      </c>
      <c r="K571" s="46"/>
      <c r="L571" s="46">
        <v>1</v>
      </c>
      <c r="M571" s="46">
        <f t="shared" si="44"/>
        <v>900</v>
      </c>
      <c r="N571" s="51">
        <f t="shared" si="45"/>
        <v>-0.23856209150326799</v>
      </c>
    </row>
    <row r="572" spans="1:14" s="60" customFormat="1" ht="15" hidden="1" customHeight="1" x14ac:dyDescent="0.2">
      <c r="A572" s="55" t="s">
        <v>243</v>
      </c>
      <c r="B572" s="54" t="s">
        <v>40</v>
      </c>
      <c r="C572" s="54">
        <v>600</v>
      </c>
      <c r="D572" s="56">
        <v>1500</v>
      </c>
      <c r="E572" s="55">
        <f>1476.4</f>
        <v>1476.4</v>
      </c>
      <c r="F572" s="55" t="s">
        <v>8</v>
      </c>
      <c r="G572" s="57" t="s">
        <v>146</v>
      </c>
      <c r="H572" s="55" t="s">
        <v>35</v>
      </c>
      <c r="I572" s="58">
        <v>43454</v>
      </c>
      <c r="J572" s="55" t="s">
        <v>236</v>
      </c>
      <c r="K572" s="55"/>
      <c r="L572" s="55">
        <v>2</v>
      </c>
      <c r="M572" s="55">
        <f t="shared" si="44"/>
        <v>1200</v>
      </c>
      <c r="N572" s="59">
        <f t="shared" si="45"/>
        <v>0.11568627450980346</v>
      </c>
    </row>
    <row r="573" spans="1:14" s="60" customFormat="1" ht="15" hidden="1" customHeight="1" x14ac:dyDescent="0.2">
      <c r="A573" s="55" t="s">
        <v>243</v>
      </c>
      <c r="B573" s="54" t="s">
        <v>40</v>
      </c>
      <c r="C573" s="54">
        <v>400</v>
      </c>
      <c r="D573" s="56">
        <v>800</v>
      </c>
      <c r="E573" s="55">
        <f>819.9</f>
        <v>819.9</v>
      </c>
      <c r="F573" s="55" t="s">
        <v>8</v>
      </c>
      <c r="G573" s="57">
        <v>1</v>
      </c>
      <c r="H573" s="55" t="s">
        <v>35</v>
      </c>
      <c r="I573" s="58">
        <v>43454</v>
      </c>
      <c r="J573" s="55" t="s">
        <v>236</v>
      </c>
      <c r="K573" s="55"/>
      <c r="L573" s="55">
        <v>3</v>
      </c>
      <c r="M573" s="55">
        <f t="shared" si="44"/>
        <v>1200</v>
      </c>
      <c r="N573" s="59">
        <f t="shared" si="45"/>
        <v>-9.7549019607843013E-2</v>
      </c>
    </row>
    <row r="574" spans="1:14" s="104" customFormat="1" ht="15" hidden="1" customHeight="1" x14ac:dyDescent="0.2">
      <c r="A574" s="98" t="s">
        <v>237</v>
      </c>
      <c r="B574" s="99" t="s">
        <v>37</v>
      </c>
      <c r="C574" s="99">
        <v>1040</v>
      </c>
      <c r="D574" s="100">
        <v>1000</v>
      </c>
      <c r="E574" s="98">
        <f>765.3+256.5</f>
        <v>1021.8</v>
      </c>
      <c r="F574" s="98" t="s">
        <v>8</v>
      </c>
      <c r="G574" s="101"/>
      <c r="H574" s="98"/>
      <c r="I574" s="102">
        <v>43454</v>
      </c>
      <c r="J574" s="98" t="s">
        <v>13</v>
      </c>
      <c r="K574" s="98"/>
      <c r="L574" s="98">
        <v>1</v>
      </c>
      <c r="M574" s="98">
        <f t="shared" ref="M574:M580" si="46">L574*C574</f>
        <v>1040</v>
      </c>
      <c r="N574" s="103">
        <f t="shared" ref="N574:N580" si="47">(D574-E574)/(M574*0.17)</f>
        <v>-0.12330316742081421</v>
      </c>
    </row>
    <row r="575" spans="1:14" s="104" customFormat="1" ht="15" hidden="1" customHeight="1" x14ac:dyDescent="0.2">
      <c r="A575" s="98" t="s">
        <v>237</v>
      </c>
      <c r="B575" s="99" t="s">
        <v>37</v>
      </c>
      <c r="C575" s="99">
        <v>1070</v>
      </c>
      <c r="D575" s="100">
        <v>1000</v>
      </c>
      <c r="E575" s="98">
        <f>783.6+262.8</f>
        <v>1046.4000000000001</v>
      </c>
      <c r="F575" s="98" t="s">
        <v>8</v>
      </c>
      <c r="G575" s="101"/>
      <c r="H575" s="98"/>
      <c r="I575" s="102">
        <v>43454</v>
      </c>
      <c r="J575" s="98" t="s">
        <v>13</v>
      </c>
      <c r="K575" s="98"/>
      <c r="L575" s="98">
        <v>1</v>
      </c>
      <c r="M575" s="98">
        <f t="shared" si="46"/>
        <v>1070</v>
      </c>
      <c r="N575" s="103">
        <f t="shared" si="47"/>
        <v>-0.25508521165475584</v>
      </c>
    </row>
    <row r="576" spans="1:14" s="88" customFormat="1" ht="15" hidden="1" customHeight="1" x14ac:dyDescent="0.2">
      <c r="A576" s="82" t="s">
        <v>237</v>
      </c>
      <c r="B576" s="83" t="s">
        <v>39</v>
      </c>
      <c r="C576" s="83">
        <v>1040</v>
      </c>
      <c r="D576" s="84">
        <v>1500</v>
      </c>
      <c r="E576" s="82">
        <f>1252.6</f>
        <v>1252.5999999999999</v>
      </c>
      <c r="F576" s="82" t="s">
        <v>8</v>
      </c>
      <c r="G576" s="85" t="s">
        <v>146</v>
      </c>
      <c r="H576" s="82"/>
      <c r="I576" s="86">
        <v>43454</v>
      </c>
      <c r="J576" s="82" t="s">
        <v>13</v>
      </c>
      <c r="K576" s="82"/>
      <c r="L576" s="82">
        <v>1</v>
      </c>
      <c r="M576" s="82">
        <f t="shared" si="46"/>
        <v>1040</v>
      </c>
      <c r="N576" s="87">
        <f t="shared" si="47"/>
        <v>1.3993212669683261</v>
      </c>
    </row>
    <row r="577" spans="1:14" s="96" customFormat="1" ht="15" hidden="1" customHeight="1" x14ac:dyDescent="0.2">
      <c r="A577" s="90" t="s">
        <v>238</v>
      </c>
      <c r="B577" s="91" t="s">
        <v>40</v>
      </c>
      <c r="C577" s="91">
        <v>320</v>
      </c>
      <c r="D577" s="92">
        <v>2000</v>
      </c>
      <c r="E577" s="90">
        <f>503.7+1138+390.9</f>
        <v>2032.6</v>
      </c>
      <c r="F577" s="90" t="s">
        <v>8</v>
      </c>
      <c r="G577" s="93"/>
      <c r="H577" s="90"/>
      <c r="I577" s="94">
        <v>43454</v>
      </c>
      <c r="J577" s="90" t="s">
        <v>239</v>
      </c>
      <c r="K577" s="90"/>
      <c r="L577" s="90">
        <v>4</v>
      </c>
      <c r="M577" s="90">
        <f t="shared" si="46"/>
        <v>1280</v>
      </c>
      <c r="N577" s="95">
        <f t="shared" si="47"/>
        <v>-0.14981617647058781</v>
      </c>
    </row>
    <row r="578" spans="1:14" s="96" customFormat="1" ht="15" hidden="1" customHeight="1" x14ac:dyDescent="0.2">
      <c r="A578" s="90" t="s">
        <v>238</v>
      </c>
      <c r="B578" s="91" t="s">
        <v>40</v>
      </c>
      <c r="C578" s="91">
        <v>390</v>
      </c>
      <c r="D578" s="92">
        <v>2000</v>
      </c>
      <c r="E578" s="90">
        <f>1668.4+352</f>
        <v>2020.4</v>
      </c>
      <c r="F578" s="90" t="s">
        <v>8</v>
      </c>
      <c r="G578" s="93" t="s">
        <v>146</v>
      </c>
      <c r="H578" s="90"/>
      <c r="I578" s="94">
        <v>43454</v>
      </c>
      <c r="J578" s="90" t="s">
        <v>239</v>
      </c>
      <c r="K578" s="90"/>
      <c r="L578" s="90">
        <v>4</v>
      </c>
      <c r="M578" s="90">
        <f t="shared" si="46"/>
        <v>1560</v>
      </c>
      <c r="N578" s="95">
        <f t="shared" si="47"/>
        <v>-7.6923076923077247E-2</v>
      </c>
    </row>
    <row r="579" spans="1:14" s="96" customFormat="1" ht="15" hidden="1" customHeight="1" x14ac:dyDescent="0.2">
      <c r="A579" s="90" t="s">
        <v>238</v>
      </c>
      <c r="B579" s="91" t="s">
        <v>40</v>
      </c>
      <c r="C579" s="91">
        <v>285</v>
      </c>
      <c r="D579" s="92">
        <v>500</v>
      </c>
      <c r="E579" s="90">
        <f>544.8</f>
        <v>544.79999999999995</v>
      </c>
      <c r="F579" s="90" t="s">
        <v>8</v>
      </c>
      <c r="G579" s="93" t="s">
        <v>146</v>
      </c>
      <c r="H579" s="90"/>
      <c r="I579" s="94">
        <v>43454</v>
      </c>
      <c r="J579" s="90" t="s">
        <v>239</v>
      </c>
      <c r="K579" s="90"/>
      <c r="L579" s="90">
        <v>4</v>
      </c>
      <c r="M579" s="90">
        <f t="shared" si="46"/>
        <v>1140</v>
      </c>
      <c r="N579" s="95">
        <f t="shared" si="47"/>
        <v>-0.23116615067079438</v>
      </c>
    </row>
    <row r="580" spans="1:14" s="104" customFormat="1" ht="15" hidden="1" customHeight="1" x14ac:dyDescent="0.2">
      <c r="A580" s="98" t="s">
        <v>238</v>
      </c>
      <c r="B580" s="99" t="s">
        <v>37</v>
      </c>
      <c r="C580" s="99">
        <v>260</v>
      </c>
      <c r="D580" s="100">
        <v>300</v>
      </c>
      <c r="E580" s="98">
        <f>327.6</f>
        <v>327.60000000000002</v>
      </c>
      <c r="F580" s="98" t="s">
        <v>8</v>
      </c>
      <c r="G580" s="101">
        <v>3</v>
      </c>
      <c r="H580" s="98"/>
      <c r="I580" s="102">
        <v>43454</v>
      </c>
      <c r="J580" s="98" t="s">
        <v>239</v>
      </c>
      <c r="K580" s="98"/>
      <c r="L580" s="98">
        <v>3</v>
      </c>
      <c r="M580" s="98">
        <f t="shared" si="46"/>
        <v>780</v>
      </c>
      <c r="N580" s="103">
        <f t="shared" si="47"/>
        <v>-0.20814479638009065</v>
      </c>
    </row>
    <row r="581" spans="1:14" s="88" customFormat="1" ht="15" hidden="1" customHeight="1" x14ac:dyDescent="0.2">
      <c r="A581" s="82" t="s">
        <v>140</v>
      </c>
      <c r="B581" s="83" t="s">
        <v>39</v>
      </c>
      <c r="C581" s="83">
        <v>780</v>
      </c>
      <c r="D581" s="84">
        <v>1500</v>
      </c>
      <c r="E581" s="82">
        <f>1481.6</f>
        <v>1481.6</v>
      </c>
      <c r="F581" s="82" t="s">
        <v>8</v>
      </c>
      <c r="G581" s="85" t="s">
        <v>146</v>
      </c>
      <c r="H581" s="82" t="s">
        <v>240</v>
      </c>
      <c r="I581" s="86">
        <v>43454</v>
      </c>
      <c r="J581" s="82" t="s">
        <v>141</v>
      </c>
      <c r="K581" s="82"/>
      <c r="L581" s="82">
        <v>1</v>
      </c>
      <c r="M581" s="82">
        <f t="shared" ref="M581:M589" si="48">L581*C581</f>
        <v>780</v>
      </c>
      <c r="N581" s="87">
        <f t="shared" ref="N581:N589" si="49">(D581-E581)/(M581*0.17)</f>
        <v>0.13876319758672767</v>
      </c>
    </row>
    <row r="582" spans="1:14" s="88" customFormat="1" ht="15" hidden="1" customHeight="1" x14ac:dyDescent="0.2">
      <c r="A582" s="82" t="s">
        <v>140</v>
      </c>
      <c r="B582" s="83" t="s">
        <v>39</v>
      </c>
      <c r="C582" s="83">
        <v>740</v>
      </c>
      <c r="D582" s="84">
        <v>680</v>
      </c>
      <c r="E582" s="82">
        <f>716.1</f>
        <v>716.1</v>
      </c>
      <c r="F582" s="82" t="s">
        <v>8</v>
      </c>
      <c r="G582" s="85" t="s">
        <v>146</v>
      </c>
      <c r="H582" s="82" t="s">
        <v>240</v>
      </c>
      <c r="I582" s="86">
        <v>43454</v>
      </c>
      <c r="J582" s="82" t="s">
        <v>141</v>
      </c>
      <c r="K582" s="82"/>
      <c r="L582" s="82">
        <v>1</v>
      </c>
      <c r="M582" s="82">
        <f t="shared" si="48"/>
        <v>740</v>
      </c>
      <c r="N582" s="87">
        <f t="shared" si="49"/>
        <v>-0.28696343402225771</v>
      </c>
    </row>
    <row r="583" spans="1:14" ht="15" hidden="1" customHeight="1" x14ac:dyDescent="0.2">
      <c r="A583" s="1" t="s">
        <v>140</v>
      </c>
      <c r="B583" s="2" t="s">
        <v>39</v>
      </c>
      <c r="C583" s="2">
        <v>645</v>
      </c>
      <c r="D583" s="7">
        <v>900</v>
      </c>
      <c r="F583" s="1" t="s">
        <v>201</v>
      </c>
      <c r="G583" s="41">
        <v>4</v>
      </c>
      <c r="H583" s="1" t="s">
        <v>240</v>
      </c>
      <c r="I583" s="8">
        <v>43454</v>
      </c>
      <c r="J583" s="16" t="s">
        <v>141</v>
      </c>
      <c r="L583" s="10">
        <v>1</v>
      </c>
      <c r="M583" s="10">
        <f t="shared" si="48"/>
        <v>645</v>
      </c>
      <c r="N583" s="29">
        <f t="shared" si="49"/>
        <v>8.207934336525307</v>
      </c>
    </row>
    <row r="584" spans="1:14" s="78" customFormat="1" ht="15" hidden="1" customHeight="1" x14ac:dyDescent="0.2">
      <c r="A584" s="16" t="s">
        <v>140</v>
      </c>
      <c r="B584" s="73" t="s">
        <v>39</v>
      </c>
      <c r="C584" s="73">
        <v>660</v>
      </c>
      <c r="D584" s="74">
        <v>500</v>
      </c>
      <c r="E584" s="16"/>
      <c r="F584" s="16" t="s">
        <v>201</v>
      </c>
      <c r="G584" s="75" t="s">
        <v>146</v>
      </c>
      <c r="H584" s="16" t="s">
        <v>240</v>
      </c>
      <c r="I584" s="76">
        <v>43454</v>
      </c>
      <c r="J584" s="16" t="s">
        <v>141</v>
      </c>
      <c r="K584" s="16"/>
      <c r="L584" s="16">
        <v>1</v>
      </c>
      <c r="M584" s="16">
        <f t="shared" si="48"/>
        <v>660</v>
      </c>
      <c r="N584" s="77">
        <f t="shared" si="49"/>
        <v>4.4563279857397502</v>
      </c>
    </row>
    <row r="585" spans="1:14" s="96" customFormat="1" ht="15" hidden="1" customHeight="1" x14ac:dyDescent="0.2">
      <c r="A585" s="90" t="s">
        <v>140</v>
      </c>
      <c r="B585" s="91" t="s">
        <v>36</v>
      </c>
      <c r="C585" s="91">
        <v>760</v>
      </c>
      <c r="D585" s="92">
        <v>1400</v>
      </c>
      <c r="E585" s="90"/>
      <c r="F585" s="90" t="s">
        <v>316</v>
      </c>
      <c r="G585" s="93"/>
      <c r="H585" s="90" t="s">
        <v>240</v>
      </c>
      <c r="I585" s="94">
        <v>43454</v>
      </c>
      <c r="J585" s="90" t="s">
        <v>141</v>
      </c>
      <c r="K585" s="90"/>
      <c r="L585" s="90">
        <v>1</v>
      </c>
      <c r="M585" s="90">
        <f t="shared" si="48"/>
        <v>760</v>
      </c>
      <c r="N585" s="95">
        <f t="shared" si="49"/>
        <v>10.835913312693497</v>
      </c>
    </row>
    <row r="586" spans="1:14" s="96" customFormat="1" ht="15" hidden="1" customHeight="1" x14ac:dyDescent="0.2">
      <c r="A586" s="90" t="s">
        <v>140</v>
      </c>
      <c r="B586" s="91" t="s">
        <v>36</v>
      </c>
      <c r="C586" s="91">
        <v>1000</v>
      </c>
      <c r="D586" s="92">
        <v>400</v>
      </c>
      <c r="E586" s="90"/>
      <c r="F586" s="90" t="s">
        <v>316</v>
      </c>
      <c r="G586" s="93"/>
      <c r="H586" s="90" t="s">
        <v>240</v>
      </c>
      <c r="I586" s="94">
        <v>43454</v>
      </c>
      <c r="J586" s="90" t="s">
        <v>141</v>
      </c>
      <c r="K586" s="90"/>
      <c r="L586" s="90"/>
      <c r="M586" s="90">
        <f t="shared" si="48"/>
        <v>0</v>
      </c>
      <c r="N586" s="95" t="e">
        <f t="shared" si="49"/>
        <v>#DIV/0!</v>
      </c>
    </row>
    <row r="587" spans="1:14" s="96" customFormat="1" ht="15" hidden="1" customHeight="1" x14ac:dyDescent="0.2">
      <c r="A587" s="90" t="s">
        <v>242</v>
      </c>
      <c r="B587" s="91" t="s">
        <v>36</v>
      </c>
      <c r="C587" s="91">
        <v>480</v>
      </c>
      <c r="D587" s="92">
        <v>1000</v>
      </c>
      <c r="E587" s="90">
        <f>974.6</f>
        <v>974.6</v>
      </c>
      <c r="F587" s="90" t="s">
        <v>8</v>
      </c>
      <c r="G587" s="93">
        <v>3</v>
      </c>
      <c r="H587" s="90"/>
      <c r="I587" s="94">
        <v>43455</v>
      </c>
      <c r="J587" s="90" t="s">
        <v>21</v>
      </c>
      <c r="K587" s="90"/>
      <c r="L587" s="90">
        <v>2</v>
      </c>
      <c r="M587" s="90">
        <f t="shared" si="48"/>
        <v>960</v>
      </c>
      <c r="N587" s="95">
        <f t="shared" si="49"/>
        <v>0.15563725490196062</v>
      </c>
    </row>
    <row r="588" spans="1:14" ht="15" hidden="1" customHeight="1" x14ac:dyDescent="0.2">
      <c r="A588" s="1" t="s">
        <v>244</v>
      </c>
      <c r="B588" s="2" t="s">
        <v>37</v>
      </c>
      <c r="C588" s="2">
        <v>460</v>
      </c>
      <c r="D588" s="7">
        <v>2</v>
      </c>
      <c r="E588" s="1">
        <f>2.8</f>
        <v>2.8</v>
      </c>
      <c r="F588" s="1" t="s">
        <v>8</v>
      </c>
      <c r="I588" s="8">
        <v>43455</v>
      </c>
      <c r="J588" s="16" t="s">
        <v>116</v>
      </c>
      <c r="L588" s="3">
        <v>1</v>
      </c>
      <c r="M588" s="18">
        <f t="shared" si="48"/>
        <v>460</v>
      </c>
      <c r="N588" s="32">
        <f t="shared" si="49"/>
        <v>-1.023017902813299E-2</v>
      </c>
    </row>
    <row r="589" spans="1:14" s="104" customFormat="1" ht="15" hidden="1" customHeight="1" x14ac:dyDescent="0.2">
      <c r="A589" s="98" t="s">
        <v>245</v>
      </c>
      <c r="B589" s="99" t="s">
        <v>37</v>
      </c>
      <c r="C589" s="99">
        <v>515</v>
      </c>
      <c r="D589" s="100">
        <v>200</v>
      </c>
      <c r="E589" s="98">
        <f>215</f>
        <v>215</v>
      </c>
      <c r="F589" s="98" t="s">
        <v>8</v>
      </c>
      <c r="G589" s="101">
        <v>3</v>
      </c>
      <c r="H589" s="98" t="s">
        <v>247</v>
      </c>
      <c r="I589" s="102">
        <v>43455</v>
      </c>
      <c r="J589" s="98" t="s">
        <v>246</v>
      </c>
      <c r="K589" s="98"/>
      <c r="L589" s="98">
        <v>2</v>
      </c>
      <c r="M589" s="98">
        <f t="shared" si="48"/>
        <v>1030</v>
      </c>
      <c r="N589" s="103">
        <f t="shared" si="49"/>
        <v>-8.5665334094802953E-2</v>
      </c>
    </row>
    <row r="590" spans="1:14" ht="15" hidden="1" customHeight="1" x14ac:dyDescent="0.2">
      <c r="A590" s="1" t="s">
        <v>248</v>
      </c>
      <c r="B590" s="2" t="s">
        <v>38</v>
      </c>
      <c r="C590" s="2">
        <v>440</v>
      </c>
      <c r="D590" s="7">
        <v>1500</v>
      </c>
      <c r="E590" s="1">
        <f>1397.8</f>
        <v>1397.8</v>
      </c>
      <c r="F590" s="1" t="s">
        <v>8</v>
      </c>
      <c r="H590" s="1">
        <v>300</v>
      </c>
      <c r="I590" s="8">
        <v>43455</v>
      </c>
      <c r="J590" s="16" t="s">
        <v>11</v>
      </c>
      <c r="M590" s="10">
        <f>L590*C590</f>
        <v>0</v>
      </c>
      <c r="N590" s="29" t="e">
        <f t="shared" ref="N590:N599" si="50">(D590-E590)/(M590*0.17)</f>
        <v>#DIV/0!</v>
      </c>
    </row>
    <row r="591" spans="1:14" ht="15" hidden="1" customHeight="1" x14ac:dyDescent="0.2">
      <c r="A591" s="1" t="s">
        <v>249</v>
      </c>
      <c r="B591" s="2" t="s">
        <v>38</v>
      </c>
      <c r="C591" s="2">
        <v>350</v>
      </c>
      <c r="D591" s="7">
        <v>750</v>
      </c>
      <c r="E591" s="1">
        <f>742.6</f>
        <v>742.6</v>
      </c>
      <c r="F591" s="1" t="s">
        <v>8</v>
      </c>
      <c r="H591" s="1">
        <v>300</v>
      </c>
      <c r="I591" s="8">
        <v>43455</v>
      </c>
      <c r="J591" s="16" t="s">
        <v>250</v>
      </c>
      <c r="N591" s="29" t="e">
        <f t="shared" si="50"/>
        <v>#DIV/0!</v>
      </c>
    </row>
    <row r="592" spans="1:14" s="60" customFormat="1" ht="15" hidden="1" customHeight="1" x14ac:dyDescent="0.2">
      <c r="A592" s="55" t="s">
        <v>253</v>
      </c>
      <c r="B592" s="54" t="s">
        <v>40</v>
      </c>
      <c r="C592" s="54">
        <v>920</v>
      </c>
      <c r="D592" s="56">
        <v>1100</v>
      </c>
      <c r="E592" s="55">
        <f>207+812.2</f>
        <v>1019.2</v>
      </c>
      <c r="F592" s="55" t="s">
        <v>8</v>
      </c>
      <c r="G592" s="57" t="s">
        <v>146</v>
      </c>
      <c r="H592" s="55"/>
      <c r="I592" s="58">
        <v>43455</v>
      </c>
      <c r="J592" s="55" t="s">
        <v>13</v>
      </c>
      <c r="K592" s="55"/>
      <c r="L592" s="55">
        <v>1</v>
      </c>
      <c r="M592" s="55">
        <f t="shared" ref="M592:M599" si="51">L592*C592</f>
        <v>920</v>
      </c>
      <c r="N592" s="59">
        <f t="shared" si="50"/>
        <v>0.51662404092071579</v>
      </c>
    </row>
    <row r="593" spans="1:14" s="60" customFormat="1" ht="15" hidden="1" customHeight="1" x14ac:dyDescent="0.2">
      <c r="A593" s="55" t="s">
        <v>253</v>
      </c>
      <c r="B593" s="54" t="s">
        <v>40</v>
      </c>
      <c r="C593" s="54">
        <v>730</v>
      </c>
      <c r="D593" s="56">
        <v>1400</v>
      </c>
      <c r="E593" s="55">
        <f>163.5+1307.1</f>
        <v>1470.6</v>
      </c>
      <c r="F593" s="55" t="s">
        <v>8</v>
      </c>
      <c r="G593" s="57" t="s">
        <v>146</v>
      </c>
      <c r="H593" s="55"/>
      <c r="I593" s="58">
        <v>43455</v>
      </c>
      <c r="J593" s="55" t="s">
        <v>13</v>
      </c>
      <c r="K593" s="55"/>
      <c r="L593" s="55">
        <v>1</v>
      </c>
      <c r="M593" s="55">
        <f t="shared" si="51"/>
        <v>730</v>
      </c>
      <c r="N593" s="59">
        <f t="shared" si="50"/>
        <v>-0.56889605157131273</v>
      </c>
    </row>
    <row r="594" spans="1:14" s="60" customFormat="1" ht="15" hidden="1" customHeight="1" x14ac:dyDescent="0.2">
      <c r="A594" s="55" t="s">
        <v>253</v>
      </c>
      <c r="B594" s="54" t="s">
        <v>40</v>
      </c>
      <c r="C594" s="54">
        <v>840</v>
      </c>
      <c r="D594" s="56">
        <v>600</v>
      </c>
      <c r="E594" s="55">
        <f>524.9</f>
        <v>524.9</v>
      </c>
      <c r="F594" s="55" t="s">
        <v>8</v>
      </c>
      <c r="G594" s="57" t="s">
        <v>146</v>
      </c>
      <c r="H594" s="55"/>
      <c r="I594" s="58">
        <v>43455</v>
      </c>
      <c r="J594" s="55" t="s">
        <v>13</v>
      </c>
      <c r="K594" s="55"/>
      <c r="L594" s="55">
        <v>1</v>
      </c>
      <c r="M594" s="55">
        <f t="shared" si="51"/>
        <v>840</v>
      </c>
      <c r="N594" s="59">
        <f t="shared" si="50"/>
        <v>0.52591036414565839</v>
      </c>
    </row>
    <row r="595" spans="1:14" s="60" customFormat="1" ht="15" hidden="1" customHeight="1" x14ac:dyDescent="0.2">
      <c r="A595" s="55" t="s">
        <v>253</v>
      </c>
      <c r="B595" s="54" t="s">
        <v>40</v>
      </c>
      <c r="C595" s="54">
        <v>760</v>
      </c>
      <c r="D595" s="56">
        <v>500</v>
      </c>
      <c r="E595" s="55">
        <f>338+339.6</f>
        <v>677.6</v>
      </c>
      <c r="F595" s="55" t="s">
        <v>8</v>
      </c>
      <c r="G595" s="57" t="s">
        <v>146</v>
      </c>
      <c r="H595" s="55"/>
      <c r="I595" s="58">
        <v>43455</v>
      </c>
      <c r="J595" s="55" t="s">
        <v>13</v>
      </c>
      <c r="K595" s="55"/>
      <c r="L595" s="55">
        <v>1</v>
      </c>
      <c r="M595" s="55">
        <f t="shared" si="51"/>
        <v>760</v>
      </c>
      <c r="N595" s="59">
        <f t="shared" si="50"/>
        <v>-1.3746130030959751</v>
      </c>
    </row>
    <row r="596" spans="1:14" s="60" customFormat="1" ht="15" hidden="1" customHeight="1" x14ac:dyDescent="0.2">
      <c r="A596" s="55" t="s">
        <v>253</v>
      </c>
      <c r="B596" s="54" t="s">
        <v>40</v>
      </c>
      <c r="C596" s="54">
        <v>940</v>
      </c>
      <c r="D596" s="56">
        <v>1000</v>
      </c>
      <c r="E596" s="55">
        <f>978.1</f>
        <v>978.1</v>
      </c>
      <c r="F596" s="55" t="s">
        <v>8</v>
      </c>
      <c r="G596" s="57" t="s">
        <v>146</v>
      </c>
      <c r="H596" s="55"/>
      <c r="I596" s="58">
        <v>43455</v>
      </c>
      <c r="J596" s="55" t="s">
        <v>13</v>
      </c>
      <c r="K596" s="55"/>
      <c r="L596" s="55">
        <v>1</v>
      </c>
      <c r="M596" s="55">
        <f t="shared" si="51"/>
        <v>940</v>
      </c>
      <c r="N596" s="59">
        <f t="shared" si="50"/>
        <v>0.13704630788485592</v>
      </c>
    </row>
    <row r="597" spans="1:14" s="60" customFormat="1" ht="15" hidden="1" customHeight="1" x14ac:dyDescent="0.2">
      <c r="A597" s="55" t="s">
        <v>253</v>
      </c>
      <c r="B597" s="54" t="s">
        <v>40</v>
      </c>
      <c r="C597" s="54">
        <v>800</v>
      </c>
      <c r="D597" s="56">
        <v>600</v>
      </c>
      <c r="E597" s="55">
        <f>360.4+353</f>
        <v>713.4</v>
      </c>
      <c r="F597" s="55" t="s">
        <v>8</v>
      </c>
      <c r="G597" s="57" t="s">
        <v>146</v>
      </c>
      <c r="H597" s="55"/>
      <c r="I597" s="58">
        <v>43455</v>
      </c>
      <c r="J597" s="55" t="s">
        <v>13</v>
      </c>
      <c r="K597" s="55"/>
      <c r="L597" s="55">
        <v>1</v>
      </c>
      <c r="M597" s="55">
        <f t="shared" si="51"/>
        <v>800</v>
      </c>
      <c r="N597" s="59">
        <f t="shared" si="50"/>
        <v>-0.83382352941176452</v>
      </c>
    </row>
    <row r="598" spans="1:14" s="60" customFormat="1" ht="15" hidden="1" customHeight="1" x14ac:dyDescent="0.2">
      <c r="A598" s="55" t="s">
        <v>253</v>
      </c>
      <c r="B598" s="54" t="s">
        <v>40</v>
      </c>
      <c r="C598" s="54">
        <v>1200</v>
      </c>
      <c r="D598" s="56">
        <v>600</v>
      </c>
      <c r="E598" s="55">
        <f>267.8+242.7</f>
        <v>510.5</v>
      </c>
      <c r="F598" s="55" t="s">
        <v>8</v>
      </c>
      <c r="G598" s="57" t="s">
        <v>146</v>
      </c>
      <c r="H598" s="55"/>
      <c r="I598" s="58">
        <v>43455</v>
      </c>
      <c r="J598" s="55" t="s">
        <v>13</v>
      </c>
      <c r="K598" s="55"/>
      <c r="L598" s="55">
        <v>1</v>
      </c>
      <c r="M598" s="55">
        <f t="shared" si="51"/>
        <v>1200</v>
      </c>
      <c r="N598" s="59">
        <f t="shared" si="50"/>
        <v>0.43872549019607837</v>
      </c>
    </row>
    <row r="599" spans="1:14" s="60" customFormat="1" ht="15" hidden="1" customHeight="1" x14ac:dyDescent="0.2">
      <c r="A599" s="55" t="s">
        <v>253</v>
      </c>
      <c r="B599" s="54" t="s">
        <v>40</v>
      </c>
      <c r="C599" s="54">
        <v>1160</v>
      </c>
      <c r="D599" s="56">
        <v>1000</v>
      </c>
      <c r="E599" s="55">
        <f>754.2+263</f>
        <v>1017.2</v>
      </c>
      <c r="F599" s="55" t="s">
        <v>8</v>
      </c>
      <c r="G599" s="57" t="s">
        <v>146</v>
      </c>
      <c r="H599" s="55"/>
      <c r="I599" s="58">
        <v>43455</v>
      </c>
      <c r="J599" s="55" t="s">
        <v>13</v>
      </c>
      <c r="K599" s="55"/>
      <c r="L599" s="55">
        <v>1</v>
      </c>
      <c r="M599" s="55">
        <f t="shared" si="51"/>
        <v>1160</v>
      </c>
      <c r="N599" s="59">
        <f t="shared" si="50"/>
        <v>-8.7221095334685819E-2</v>
      </c>
    </row>
    <row r="600" spans="1:14" s="104" customFormat="1" ht="15" hidden="1" customHeight="1" x14ac:dyDescent="0.2">
      <c r="A600" s="98" t="s">
        <v>253</v>
      </c>
      <c r="B600" s="99" t="s">
        <v>39</v>
      </c>
      <c r="C600" s="99">
        <v>640</v>
      </c>
      <c r="D600" s="100">
        <v>600</v>
      </c>
      <c r="E600" s="98">
        <f>650.4</f>
        <v>650.4</v>
      </c>
      <c r="F600" s="98" t="s">
        <v>8</v>
      </c>
      <c r="G600" s="101" t="s">
        <v>146</v>
      </c>
      <c r="H600" s="98"/>
      <c r="I600" s="102">
        <v>43455</v>
      </c>
      <c r="J600" s="98" t="s">
        <v>13</v>
      </c>
      <c r="K600" s="98"/>
      <c r="L600" s="98">
        <v>1</v>
      </c>
      <c r="M600" s="98">
        <f t="shared" ref="M600:M626" si="52">L600*C600</f>
        <v>640</v>
      </c>
      <c r="N600" s="103">
        <f t="shared" ref="N600:N605" si="53">(D600-E600)/(M600*0.17)</f>
        <v>-0.4632352941176468</v>
      </c>
    </row>
    <row r="601" spans="1:14" s="60" customFormat="1" ht="15" hidden="1" customHeight="1" x14ac:dyDescent="0.2">
      <c r="A601" s="55" t="s">
        <v>253</v>
      </c>
      <c r="B601" s="54" t="s">
        <v>40</v>
      </c>
      <c r="C601" s="54">
        <v>660</v>
      </c>
      <c r="D601" s="56">
        <v>1000</v>
      </c>
      <c r="E601" s="55">
        <f>443.5+605.8</f>
        <v>1049.3</v>
      </c>
      <c r="F601" s="55" t="s">
        <v>8</v>
      </c>
      <c r="G601" s="57" t="s">
        <v>146</v>
      </c>
      <c r="H601" s="55"/>
      <c r="I601" s="58">
        <v>43455</v>
      </c>
      <c r="J601" s="55" t="s">
        <v>13</v>
      </c>
      <c r="K601" s="55"/>
      <c r="L601" s="55">
        <v>1</v>
      </c>
      <c r="M601" s="55">
        <f t="shared" si="52"/>
        <v>660</v>
      </c>
      <c r="N601" s="59">
        <f t="shared" si="53"/>
        <v>-0.439393939393939</v>
      </c>
    </row>
    <row r="602" spans="1:14" s="60" customFormat="1" ht="15" hidden="1" customHeight="1" x14ac:dyDescent="0.2">
      <c r="A602" s="55" t="s">
        <v>253</v>
      </c>
      <c r="B602" s="54" t="s">
        <v>40</v>
      </c>
      <c r="C602" s="54">
        <v>700</v>
      </c>
      <c r="D602" s="56">
        <v>1000</v>
      </c>
      <c r="E602" s="55">
        <f>466.5+641</f>
        <v>1107.5</v>
      </c>
      <c r="F602" s="55" t="s">
        <v>8</v>
      </c>
      <c r="G602" s="57" t="s">
        <v>146</v>
      </c>
      <c r="H602" s="55"/>
      <c r="I602" s="58">
        <v>43455</v>
      </c>
      <c r="J602" s="55" t="s">
        <v>13</v>
      </c>
      <c r="K602" s="55"/>
      <c r="L602" s="55">
        <v>1</v>
      </c>
      <c r="M602" s="55">
        <f t="shared" si="52"/>
        <v>700</v>
      </c>
      <c r="N602" s="59">
        <f t="shared" si="53"/>
        <v>-0.90336134453781503</v>
      </c>
    </row>
    <row r="603" spans="1:14" s="104" customFormat="1" ht="15" hidden="1" customHeight="1" x14ac:dyDescent="0.2">
      <c r="A603" s="98" t="s">
        <v>253</v>
      </c>
      <c r="B603" s="99" t="s">
        <v>39</v>
      </c>
      <c r="C603" s="47">
        <v>800</v>
      </c>
      <c r="D603" s="100">
        <v>800</v>
      </c>
      <c r="E603" s="98">
        <f>840.8</f>
        <v>840.8</v>
      </c>
      <c r="F603" s="98" t="s">
        <v>8</v>
      </c>
      <c r="G603" s="101">
        <v>4</v>
      </c>
      <c r="H603" s="98"/>
      <c r="I603" s="102">
        <v>43455</v>
      </c>
      <c r="J603" s="98" t="s">
        <v>13</v>
      </c>
      <c r="K603" s="98"/>
      <c r="L603" s="98">
        <v>1</v>
      </c>
      <c r="M603" s="98">
        <f t="shared" si="52"/>
        <v>800</v>
      </c>
      <c r="N603" s="103">
        <f t="shared" si="53"/>
        <v>-0.29999999999999966</v>
      </c>
    </row>
    <row r="604" spans="1:14" s="104" customFormat="1" ht="15" hidden="1" customHeight="1" x14ac:dyDescent="0.2">
      <c r="A604" s="98" t="s">
        <v>253</v>
      </c>
      <c r="B604" s="99" t="s">
        <v>39</v>
      </c>
      <c r="C604" s="99">
        <v>1000</v>
      </c>
      <c r="D604" s="100">
        <v>300</v>
      </c>
      <c r="E604" s="98">
        <f>348.1</f>
        <v>348.1</v>
      </c>
      <c r="F604" s="98" t="s">
        <v>8</v>
      </c>
      <c r="G604" s="101" t="s">
        <v>146</v>
      </c>
      <c r="H604" s="98"/>
      <c r="I604" s="102">
        <v>43455</v>
      </c>
      <c r="J604" s="98" t="s">
        <v>13</v>
      </c>
      <c r="K604" s="98"/>
      <c r="L604" s="98">
        <v>1</v>
      </c>
      <c r="M604" s="98">
        <f t="shared" si="52"/>
        <v>1000</v>
      </c>
      <c r="N604" s="103">
        <f t="shared" si="53"/>
        <v>-0.28294117647058836</v>
      </c>
    </row>
    <row r="605" spans="1:14" s="104" customFormat="1" ht="15" hidden="1" customHeight="1" x14ac:dyDescent="0.2">
      <c r="A605" s="98" t="s">
        <v>253</v>
      </c>
      <c r="B605" s="99" t="s">
        <v>39</v>
      </c>
      <c r="C605" s="99">
        <v>1040</v>
      </c>
      <c r="D605" s="100">
        <v>300</v>
      </c>
      <c r="E605" s="98">
        <f>356.5</f>
        <v>356.5</v>
      </c>
      <c r="F605" s="98" t="s">
        <v>8</v>
      </c>
      <c r="G605" s="101" t="s">
        <v>146</v>
      </c>
      <c r="H605" s="98"/>
      <c r="I605" s="102">
        <v>43455</v>
      </c>
      <c r="J605" s="98" t="s">
        <v>13</v>
      </c>
      <c r="K605" s="98"/>
      <c r="L605" s="98">
        <v>1</v>
      </c>
      <c r="M605" s="98">
        <f t="shared" si="52"/>
        <v>1040</v>
      </c>
      <c r="N605" s="103">
        <f t="shared" si="53"/>
        <v>-0.31957013574660631</v>
      </c>
    </row>
    <row r="606" spans="1:14" s="104" customFormat="1" ht="15" hidden="1" customHeight="1" x14ac:dyDescent="0.2">
      <c r="A606" s="98" t="s">
        <v>253</v>
      </c>
      <c r="B606" s="99" t="s">
        <v>36</v>
      </c>
      <c r="C606" s="99">
        <v>920</v>
      </c>
      <c r="D606" s="100">
        <v>1600</v>
      </c>
      <c r="E606" s="98">
        <f>184.8+1448.6</f>
        <v>1633.3999999999999</v>
      </c>
      <c r="F606" s="98" t="s">
        <v>8</v>
      </c>
      <c r="G606" s="101" t="s">
        <v>146</v>
      </c>
      <c r="H606" s="98"/>
      <c r="I606" s="102">
        <v>43455</v>
      </c>
      <c r="J606" s="98" t="s">
        <v>13</v>
      </c>
      <c r="K606" s="98"/>
      <c r="L606" s="98">
        <v>1</v>
      </c>
      <c r="M606" s="98">
        <f t="shared" si="52"/>
        <v>920</v>
      </c>
      <c r="N606" s="103">
        <f t="shared" ref="N606:N616" si="54">(D606-E606)/(M606*0.17)</f>
        <v>-0.21355498721227534</v>
      </c>
    </row>
    <row r="607" spans="1:14" s="104" customFormat="1" ht="15" hidden="1" customHeight="1" x14ac:dyDescent="0.2">
      <c r="A607" s="98" t="s">
        <v>253</v>
      </c>
      <c r="B607" s="99" t="s">
        <v>36</v>
      </c>
      <c r="C607" s="99">
        <v>940</v>
      </c>
      <c r="D607" s="100">
        <v>300</v>
      </c>
      <c r="E607" s="98">
        <f>329.6</f>
        <v>329.6</v>
      </c>
      <c r="F607" s="98" t="s">
        <v>8</v>
      </c>
      <c r="G607" s="101" t="s">
        <v>146</v>
      </c>
      <c r="H607" s="98"/>
      <c r="I607" s="102">
        <v>43455</v>
      </c>
      <c r="J607" s="98" t="s">
        <v>13</v>
      </c>
      <c r="K607" s="98"/>
      <c r="L607" s="98">
        <v>1</v>
      </c>
      <c r="M607" s="98">
        <f t="shared" si="52"/>
        <v>940</v>
      </c>
      <c r="N607" s="103">
        <f t="shared" si="54"/>
        <v>-0.18523153942428047</v>
      </c>
    </row>
    <row r="608" spans="1:14" s="104" customFormat="1" ht="15" hidden="1" customHeight="1" x14ac:dyDescent="0.2">
      <c r="A608" s="98" t="s">
        <v>253</v>
      </c>
      <c r="B608" s="99" t="s">
        <v>36</v>
      </c>
      <c r="C608" s="99">
        <v>1000</v>
      </c>
      <c r="D608" s="100">
        <v>300</v>
      </c>
      <c r="E608" s="98">
        <f>347.2</f>
        <v>347.2</v>
      </c>
      <c r="F608" s="98" t="s">
        <v>8</v>
      </c>
      <c r="G608" s="101" t="s">
        <v>146</v>
      </c>
      <c r="H608" s="98"/>
      <c r="I608" s="102">
        <v>43455</v>
      </c>
      <c r="J608" s="98" t="s">
        <v>13</v>
      </c>
      <c r="K608" s="98"/>
      <c r="L608" s="98">
        <v>1</v>
      </c>
      <c r="M608" s="98">
        <f t="shared" si="52"/>
        <v>1000</v>
      </c>
      <c r="N608" s="103">
        <f t="shared" si="54"/>
        <v>-0.27764705882352936</v>
      </c>
    </row>
    <row r="609" spans="1:14" s="52" customFormat="1" ht="15" hidden="1" customHeight="1" x14ac:dyDescent="0.2">
      <c r="A609" s="46" t="s">
        <v>253</v>
      </c>
      <c r="B609" s="47" t="s">
        <v>36</v>
      </c>
      <c r="C609" s="47">
        <v>1080</v>
      </c>
      <c r="D609" s="48">
        <v>300</v>
      </c>
      <c r="E609" s="46">
        <f>263.7</f>
        <v>263.7</v>
      </c>
      <c r="F609" s="46" t="s">
        <v>8</v>
      </c>
      <c r="G609" s="49">
        <v>3</v>
      </c>
      <c r="H609" s="46"/>
      <c r="I609" s="50">
        <v>43455</v>
      </c>
      <c r="J609" s="46" t="s">
        <v>13</v>
      </c>
      <c r="K609" s="46"/>
      <c r="L609" s="46">
        <v>1</v>
      </c>
      <c r="M609" s="46">
        <f t="shared" si="52"/>
        <v>1080</v>
      </c>
      <c r="N609" s="51">
        <f t="shared" si="54"/>
        <v>0.19771241830065364</v>
      </c>
    </row>
    <row r="610" spans="1:14" s="60" customFormat="1" ht="15" hidden="1" customHeight="1" x14ac:dyDescent="0.2">
      <c r="A610" s="55" t="s">
        <v>233</v>
      </c>
      <c r="B610" s="54" t="s">
        <v>37</v>
      </c>
      <c r="C610" s="54">
        <v>1110</v>
      </c>
      <c r="D610" s="56">
        <v>3000</v>
      </c>
      <c r="E610" s="55">
        <f>3007.3</f>
        <v>3007.3</v>
      </c>
      <c r="F610" s="55" t="s">
        <v>8</v>
      </c>
      <c r="G610" s="57">
        <v>3</v>
      </c>
      <c r="H610" s="55"/>
      <c r="I610" s="58">
        <v>43455</v>
      </c>
      <c r="J610" s="55" t="s">
        <v>234</v>
      </c>
      <c r="K610" s="55"/>
      <c r="L610" s="55">
        <v>1</v>
      </c>
      <c r="M610" s="55">
        <f t="shared" si="52"/>
        <v>1110</v>
      </c>
      <c r="N610" s="59">
        <f t="shared" si="54"/>
        <v>-3.8685744568098472E-2</v>
      </c>
    </row>
    <row r="611" spans="1:14" s="104" customFormat="1" ht="15" hidden="1" customHeight="1" x14ac:dyDescent="0.2">
      <c r="A611" s="98" t="s">
        <v>255</v>
      </c>
      <c r="B611" s="99" t="s">
        <v>37</v>
      </c>
      <c r="C611" s="99">
        <v>1200</v>
      </c>
      <c r="D611" s="100">
        <v>5000</v>
      </c>
      <c r="E611" s="98">
        <f>1343.2+2927.1+715.1</f>
        <v>4985.4000000000005</v>
      </c>
      <c r="F611" s="98" t="s">
        <v>8</v>
      </c>
      <c r="G611" s="101"/>
      <c r="H611" s="98">
        <v>600</v>
      </c>
      <c r="I611" s="102">
        <v>43460</v>
      </c>
      <c r="J611" s="98" t="s">
        <v>256</v>
      </c>
      <c r="K611" s="98"/>
      <c r="L611" s="98">
        <v>1</v>
      </c>
      <c r="M611" s="98">
        <f t="shared" si="52"/>
        <v>1200</v>
      </c>
      <c r="N611" s="103">
        <f t="shared" si="54"/>
        <v>7.1568627450977709E-2</v>
      </c>
    </row>
    <row r="612" spans="1:14" s="104" customFormat="1" ht="15" hidden="1" customHeight="1" x14ac:dyDescent="0.2">
      <c r="A612" s="98" t="s">
        <v>255</v>
      </c>
      <c r="B612" s="99" t="s">
        <v>37</v>
      </c>
      <c r="C612" s="99">
        <v>300</v>
      </c>
      <c r="D612" s="100">
        <v>1000</v>
      </c>
      <c r="E612" s="98">
        <f>1134.4</f>
        <v>1134.4000000000001</v>
      </c>
      <c r="F612" s="98" t="s">
        <v>8</v>
      </c>
      <c r="G612" s="101"/>
      <c r="H612" s="98" t="s">
        <v>264</v>
      </c>
      <c r="I612" s="102">
        <v>43460</v>
      </c>
      <c r="J612" s="98" t="s">
        <v>256</v>
      </c>
      <c r="K612" s="98"/>
      <c r="L612" s="98">
        <v>4</v>
      </c>
      <c r="M612" s="98">
        <f t="shared" si="52"/>
        <v>1200</v>
      </c>
      <c r="N612" s="103">
        <f t="shared" si="54"/>
        <v>-0.65882352941176503</v>
      </c>
    </row>
    <row r="613" spans="1:14" s="104" customFormat="1" ht="15" hidden="1" customHeight="1" x14ac:dyDescent="0.2">
      <c r="A613" s="98" t="s">
        <v>255</v>
      </c>
      <c r="B613" s="99" t="s">
        <v>37</v>
      </c>
      <c r="C613" s="99">
        <v>530</v>
      </c>
      <c r="D613" s="100">
        <v>1000</v>
      </c>
      <c r="E613" s="98">
        <f>752.6+278</f>
        <v>1030.5999999999999</v>
      </c>
      <c r="F613" s="98" t="s">
        <v>8</v>
      </c>
      <c r="G613" s="101"/>
      <c r="H613" s="98" t="s">
        <v>264</v>
      </c>
      <c r="I613" s="102">
        <v>43460</v>
      </c>
      <c r="J613" s="98" t="s">
        <v>256</v>
      </c>
      <c r="K613" s="98"/>
      <c r="L613" s="98">
        <v>2</v>
      </c>
      <c r="M613" s="98">
        <f t="shared" si="52"/>
        <v>1060</v>
      </c>
      <c r="N613" s="103">
        <f t="shared" si="54"/>
        <v>-0.16981132075471647</v>
      </c>
    </row>
    <row r="614" spans="1:14" s="104" customFormat="1" ht="15" hidden="1" customHeight="1" x14ac:dyDescent="0.2">
      <c r="A614" s="98" t="s">
        <v>255</v>
      </c>
      <c r="B614" s="99" t="s">
        <v>37</v>
      </c>
      <c r="C614" s="99">
        <v>500</v>
      </c>
      <c r="D614" s="100">
        <v>4000</v>
      </c>
      <c r="E614" s="98">
        <f>1788.4+1289.8+953.8</f>
        <v>4032</v>
      </c>
      <c r="F614" s="98" t="s">
        <v>8</v>
      </c>
      <c r="G614" s="101"/>
      <c r="H614" s="98" t="s">
        <v>264</v>
      </c>
      <c r="I614" s="102">
        <v>43460</v>
      </c>
      <c r="J614" s="98" t="s">
        <v>256</v>
      </c>
      <c r="K614" s="98"/>
      <c r="L614" s="98">
        <v>2</v>
      </c>
      <c r="M614" s="98">
        <f t="shared" si="52"/>
        <v>1000</v>
      </c>
      <c r="N614" s="103">
        <f t="shared" si="54"/>
        <v>-0.18823529411764706</v>
      </c>
    </row>
    <row r="615" spans="1:14" s="104" customFormat="1" ht="15" hidden="1" customHeight="1" x14ac:dyDescent="0.2">
      <c r="A615" s="98" t="s">
        <v>255</v>
      </c>
      <c r="B615" s="99" t="s">
        <v>37</v>
      </c>
      <c r="C615" s="99">
        <v>400</v>
      </c>
      <c r="D615" s="100">
        <v>3000</v>
      </c>
      <c r="E615" s="98">
        <f>553.2+2464.8</f>
        <v>3018</v>
      </c>
      <c r="F615" s="98" t="s">
        <v>8</v>
      </c>
      <c r="G615" s="101"/>
      <c r="H615" s="98" t="s">
        <v>264</v>
      </c>
      <c r="I615" s="102">
        <v>43460</v>
      </c>
      <c r="J615" s="98" t="s">
        <v>256</v>
      </c>
      <c r="K615" s="98"/>
      <c r="L615" s="98">
        <v>3</v>
      </c>
      <c r="M615" s="98">
        <f t="shared" si="52"/>
        <v>1200</v>
      </c>
      <c r="N615" s="103">
        <f t="shared" si="54"/>
        <v>-8.8235294117647051E-2</v>
      </c>
    </row>
    <row r="616" spans="1:14" ht="15" hidden="1" customHeight="1" x14ac:dyDescent="0.2">
      <c r="A616" s="1" t="s">
        <v>255</v>
      </c>
      <c r="B616" s="2" t="s">
        <v>37</v>
      </c>
      <c r="C616" s="2">
        <v>450</v>
      </c>
      <c r="D616" s="7">
        <v>6000</v>
      </c>
      <c r="E616" s="1">
        <f>2264.8+2387.2+1356.5</f>
        <v>6008.5</v>
      </c>
      <c r="F616" s="1" t="s">
        <v>8</v>
      </c>
      <c r="H616" s="1" t="s">
        <v>264</v>
      </c>
      <c r="I616" s="8">
        <v>43460</v>
      </c>
      <c r="J616" s="16" t="s">
        <v>256</v>
      </c>
      <c r="L616" s="3">
        <v>2</v>
      </c>
      <c r="M616" s="18">
        <f t="shared" si="52"/>
        <v>900</v>
      </c>
      <c r="N616" s="32">
        <f t="shared" si="54"/>
        <v>-5.5555555555555552E-2</v>
      </c>
    </row>
    <row r="617" spans="1:14" ht="15" hidden="1" customHeight="1" x14ac:dyDescent="0.2">
      <c r="A617" s="1" t="s">
        <v>229</v>
      </c>
      <c r="B617" s="2" t="s">
        <v>39</v>
      </c>
      <c r="C617" s="2">
        <v>440</v>
      </c>
      <c r="D617" s="7">
        <v>500</v>
      </c>
      <c r="F617" s="1" t="s">
        <v>271</v>
      </c>
      <c r="I617" s="8">
        <v>43460</v>
      </c>
      <c r="J617" s="16" t="s">
        <v>230</v>
      </c>
      <c r="M617" s="10">
        <f t="shared" si="52"/>
        <v>0</v>
      </c>
    </row>
    <row r="618" spans="1:14" ht="15" hidden="1" customHeight="1" x14ac:dyDescent="0.2">
      <c r="A618" s="1" t="s">
        <v>229</v>
      </c>
      <c r="B618" s="2" t="s">
        <v>39</v>
      </c>
      <c r="C618" s="2">
        <v>400</v>
      </c>
      <c r="D618" s="7">
        <v>200</v>
      </c>
      <c r="F618" s="1" t="s">
        <v>271</v>
      </c>
      <c r="I618" s="8">
        <v>43460</v>
      </c>
      <c r="J618" s="16" t="s">
        <v>230</v>
      </c>
      <c r="M618" s="10">
        <f t="shared" si="52"/>
        <v>0</v>
      </c>
    </row>
    <row r="619" spans="1:14" s="104" customFormat="1" ht="15" hidden="1" customHeight="1" x14ac:dyDescent="0.2">
      <c r="A619" s="98" t="s">
        <v>229</v>
      </c>
      <c r="B619" s="99" t="s">
        <v>36</v>
      </c>
      <c r="C619" s="99">
        <v>420</v>
      </c>
      <c r="D619" s="100">
        <v>300</v>
      </c>
      <c r="E619" s="98">
        <f>293.8</f>
        <v>293.8</v>
      </c>
      <c r="F619" s="98" t="s">
        <v>8</v>
      </c>
      <c r="G619" s="101" t="s">
        <v>146</v>
      </c>
      <c r="H619" s="98" t="s">
        <v>257</v>
      </c>
      <c r="I619" s="102">
        <v>43460</v>
      </c>
      <c r="J619" s="98" t="s">
        <v>230</v>
      </c>
      <c r="K619" s="98"/>
      <c r="L619" s="98">
        <v>3</v>
      </c>
      <c r="M619" s="98">
        <f t="shared" si="52"/>
        <v>1260</v>
      </c>
      <c r="N619" s="103">
        <f>(D619-E619)/(M619*0.17)</f>
        <v>2.894491129785242E-2</v>
      </c>
    </row>
    <row r="620" spans="1:14" s="104" customFormat="1" ht="15" hidden="1" customHeight="1" x14ac:dyDescent="0.2">
      <c r="A620" s="98" t="s">
        <v>229</v>
      </c>
      <c r="B620" s="99" t="s">
        <v>39</v>
      </c>
      <c r="C620" s="91">
        <v>380</v>
      </c>
      <c r="D620" s="100">
        <v>100</v>
      </c>
      <c r="E620" s="98">
        <f>106.8</f>
        <v>106.8</v>
      </c>
      <c r="F620" s="98" t="s">
        <v>8</v>
      </c>
      <c r="G620" s="101" t="s">
        <v>146</v>
      </c>
      <c r="H620" s="98"/>
      <c r="I620" s="102">
        <v>43460</v>
      </c>
      <c r="J620" s="98" t="s">
        <v>230</v>
      </c>
      <c r="K620" s="98"/>
      <c r="L620" s="98">
        <v>2</v>
      </c>
      <c r="M620" s="98">
        <f t="shared" si="52"/>
        <v>760</v>
      </c>
      <c r="N620" s="103">
        <f>(D620-E620)/(M620*0.17)</f>
        <v>-5.263157894736839E-2</v>
      </c>
    </row>
    <row r="621" spans="1:14" s="52" customFormat="1" ht="15" hidden="1" customHeight="1" x14ac:dyDescent="0.2">
      <c r="A621" s="46" t="s">
        <v>184</v>
      </c>
      <c r="B621" s="47" t="s">
        <v>36</v>
      </c>
      <c r="C621" s="47">
        <v>840</v>
      </c>
      <c r="D621" s="48">
        <v>600</v>
      </c>
      <c r="E621" s="46">
        <f>584.4</f>
        <v>584.4</v>
      </c>
      <c r="F621" s="46" t="s">
        <v>8</v>
      </c>
      <c r="G621" s="49" t="s">
        <v>146</v>
      </c>
      <c r="H621" s="46"/>
      <c r="I621" s="50">
        <v>43460</v>
      </c>
      <c r="J621" s="46" t="s">
        <v>185</v>
      </c>
      <c r="K621" s="46"/>
      <c r="L621" s="46"/>
      <c r="M621" s="46">
        <f t="shared" si="52"/>
        <v>0</v>
      </c>
      <c r="N621" s="51"/>
    </row>
    <row r="622" spans="1:14" s="104" customFormat="1" ht="15" hidden="1" customHeight="1" x14ac:dyDescent="0.2">
      <c r="A622" s="98" t="s">
        <v>184</v>
      </c>
      <c r="B622" s="99" t="s">
        <v>36</v>
      </c>
      <c r="C622" s="99">
        <v>900</v>
      </c>
      <c r="D622" s="100">
        <v>600</v>
      </c>
      <c r="E622" s="98">
        <f>181.3+410.6</f>
        <v>591.90000000000009</v>
      </c>
      <c r="F622" s="98" t="s">
        <v>8</v>
      </c>
      <c r="G622" s="101" t="s">
        <v>146</v>
      </c>
      <c r="H622" s="98"/>
      <c r="I622" s="102">
        <v>43460</v>
      </c>
      <c r="J622" s="98" t="s">
        <v>185</v>
      </c>
      <c r="K622" s="98"/>
      <c r="L622" s="98">
        <v>1</v>
      </c>
      <c r="M622" s="98">
        <f t="shared" si="52"/>
        <v>900</v>
      </c>
      <c r="N622" s="103">
        <f t="shared" ref="N622:N629" si="55">(D622-E622)/(M622*0.17)</f>
        <v>5.2941176470587638E-2</v>
      </c>
    </row>
    <row r="623" spans="1:14" s="60" customFormat="1" ht="15" hidden="1" customHeight="1" x14ac:dyDescent="0.2">
      <c r="A623" s="55" t="s">
        <v>259</v>
      </c>
      <c r="B623" s="54" t="s">
        <v>36</v>
      </c>
      <c r="C623" s="54">
        <v>1028</v>
      </c>
      <c r="D623" s="56">
        <v>1700</v>
      </c>
      <c r="E623" s="55">
        <f>1705</f>
        <v>1705</v>
      </c>
      <c r="F623" s="55" t="s">
        <v>8</v>
      </c>
      <c r="G623" s="57" t="s">
        <v>146</v>
      </c>
      <c r="H623" s="55"/>
      <c r="I623" s="58">
        <v>43460</v>
      </c>
      <c r="J623" s="55" t="s">
        <v>16</v>
      </c>
      <c r="K623" s="55"/>
      <c r="L623" s="55">
        <v>1</v>
      </c>
      <c r="M623" s="55">
        <f t="shared" si="52"/>
        <v>1028</v>
      </c>
      <c r="N623" s="59">
        <f t="shared" si="55"/>
        <v>-2.8610666056305786E-2</v>
      </c>
    </row>
    <row r="624" spans="1:14" s="60" customFormat="1" ht="15" hidden="1" customHeight="1" x14ac:dyDescent="0.2">
      <c r="A624" s="55" t="s">
        <v>259</v>
      </c>
      <c r="B624" s="54" t="s">
        <v>36</v>
      </c>
      <c r="C624" s="54">
        <v>800</v>
      </c>
      <c r="D624" s="56">
        <v>350</v>
      </c>
      <c r="E624" s="55">
        <f>388.8</f>
        <v>388.8</v>
      </c>
      <c r="F624" s="55" t="s">
        <v>8</v>
      </c>
      <c r="G624" s="57" t="s">
        <v>146</v>
      </c>
      <c r="H624" s="55"/>
      <c r="I624" s="58">
        <v>43460</v>
      </c>
      <c r="J624" s="55" t="s">
        <v>16</v>
      </c>
      <c r="K624" s="55"/>
      <c r="L624" s="55">
        <v>1</v>
      </c>
      <c r="M624" s="55">
        <f t="shared" si="52"/>
        <v>800</v>
      </c>
      <c r="N624" s="59">
        <f t="shared" si="55"/>
        <v>-0.28529411764705892</v>
      </c>
    </row>
    <row r="625" spans="1:14" s="60" customFormat="1" ht="15" hidden="1" customHeight="1" x14ac:dyDescent="0.2">
      <c r="A625" s="55" t="s">
        <v>259</v>
      </c>
      <c r="B625" s="54" t="s">
        <v>36</v>
      </c>
      <c r="C625" s="54">
        <v>840</v>
      </c>
      <c r="D625" s="56">
        <v>350</v>
      </c>
      <c r="E625" s="55">
        <f>384.4</f>
        <v>384.4</v>
      </c>
      <c r="F625" s="55" t="s">
        <v>8</v>
      </c>
      <c r="G625" s="57">
        <v>4</v>
      </c>
      <c r="H625" s="55"/>
      <c r="I625" s="58">
        <v>43460</v>
      </c>
      <c r="J625" s="55" t="s">
        <v>16</v>
      </c>
      <c r="K625" s="55"/>
      <c r="L625" s="55">
        <v>1</v>
      </c>
      <c r="M625" s="55">
        <f t="shared" si="52"/>
        <v>840</v>
      </c>
      <c r="N625" s="59">
        <f t="shared" si="55"/>
        <v>-0.24089635854341718</v>
      </c>
    </row>
    <row r="626" spans="1:14" s="60" customFormat="1" ht="15" hidden="1" customHeight="1" x14ac:dyDescent="0.2">
      <c r="A626" s="55" t="s">
        <v>259</v>
      </c>
      <c r="B626" s="54" t="s">
        <v>40</v>
      </c>
      <c r="C626" s="54">
        <v>920</v>
      </c>
      <c r="D626" s="56">
        <v>400</v>
      </c>
      <c r="E626" s="55">
        <f>407.8</f>
        <v>407.8</v>
      </c>
      <c r="F626" s="55" t="s">
        <v>8</v>
      </c>
      <c r="G626" s="57" t="s">
        <v>146</v>
      </c>
      <c r="H626" s="55"/>
      <c r="I626" s="58">
        <v>43460</v>
      </c>
      <c r="J626" s="55" t="s">
        <v>16</v>
      </c>
      <c r="K626" s="55"/>
      <c r="L626" s="55">
        <v>1</v>
      </c>
      <c r="M626" s="55">
        <f t="shared" si="52"/>
        <v>920</v>
      </c>
      <c r="N626" s="59">
        <f t="shared" si="55"/>
        <v>-4.9872122762148412E-2</v>
      </c>
    </row>
    <row r="627" spans="1:14" s="104" customFormat="1" ht="15" hidden="1" customHeight="1" x14ac:dyDescent="0.2">
      <c r="A627" s="98" t="s">
        <v>259</v>
      </c>
      <c r="B627" s="99" t="s">
        <v>39</v>
      </c>
      <c r="C627" s="99">
        <v>880</v>
      </c>
      <c r="D627" s="100">
        <v>300</v>
      </c>
      <c r="E627" s="98">
        <f>307.5</f>
        <v>307.5</v>
      </c>
      <c r="F627" s="98" t="s">
        <v>8</v>
      </c>
      <c r="G627" s="101" t="s">
        <v>146</v>
      </c>
      <c r="H627" s="98"/>
      <c r="I627" s="102">
        <v>43460</v>
      </c>
      <c r="J627" s="98" t="s">
        <v>16</v>
      </c>
      <c r="K627" s="98"/>
      <c r="L627" s="98">
        <v>1</v>
      </c>
      <c r="M627" s="98">
        <f>L627*C627</f>
        <v>880</v>
      </c>
      <c r="N627" s="103">
        <f t="shared" si="55"/>
        <v>-5.0133689839572185E-2</v>
      </c>
    </row>
    <row r="628" spans="1:14" s="104" customFormat="1" ht="15" hidden="1" customHeight="1" x14ac:dyDescent="0.2">
      <c r="A628" s="98" t="s">
        <v>259</v>
      </c>
      <c r="B628" s="99" t="s">
        <v>36</v>
      </c>
      <c r="C628" s="99">
        <v>940</v>
      </c>
      <c r="D628" s="100">
        <v>400</v>
      </c>
      <c r="E628" s="98">
        <f>425.7</f>
        <v>425.7</v>
      </c>
      <c r="F628" s="98" t="s">
        <v>8</v>
      </c>
      <c r="G628" s="101" t="s">
        <v>146</v>
      </c>
      <c r="H628" s="98"/>
      <c r="I628" s="102">
        <v>43460</v>
      </c>
      <c r="J628" s="98" t="s">
        <v>16</v>
      </c>
      <c r="K628" s="98"/>
      <c r="L628" s="98">
        <v>1</v>
      </c>
      <c r="M628" s="98">
        <f>L628*C628</f>
        <v>940</v>
      </c>
      <c r="N628" s="103">
        <f t="shared" si="55"/>
        <v>-0.16082603254067576</v>
      </c>
    </row>
    <row r="629" spans="1:14" s="96" customFormat="1" ht="15" hidden="1" customHeight="1" x14ac:dyDescent="0.2">
      <c r="A629" s="90" t="s">
        <v>259</v>
      </c>
      <c r="B629" s="91" t="s">
        <v>40</v>
      </c>
      <c r="C629" s="91">
        <v>952</v>
      </c>
      <c r="D629" s="92">
        <v>1250</v>
      </c>
      <c r="E629" s="90">
        <f>1264</f>
        <v>1264</v>
      </c>
      <c r="F629" s="90" t="s">
        <v>8</v>
      </c>
      <c r="G629" s="93" t="s">
        <v>146</v>
      </c>
      <c r="H629" s="90"/>
      <c r="I629" s="94">
        <v>43460</v>
      </c>
      <c r="J629" s="90" t="s">
        <v>16</v>
      </c>
      <c r="K629" s="90"/>
      <c r="L629" s="90">
        <v>1</v>
      </c>
      <c r="M629" s="90">
        <f>L629*C629</f>
        <v>952</v>
      </c>
      <c r="N629" s="95">
        <f t="shared" si="55"/>
        <v>-8.6505190311418678E-2</v>
      </c>
    </row>
    <row r="630" spans="1:14" s="104" customFormat="1" ht="15" hidden="1" customHeight="1" x14ac:dyDescent="0.2">
      <c r="A630" s="98" t="s">
        <v>260</v>
      </c>
      <c r="B630" s="99" t="s">
        <v>39</v>
      </c>
      <c r="C630" s="91">
        <v>630</v>
      </c>
      <c r="D630" s="100">
        <v>1500</v>
      </c>
      <c r="E630" s="98">
        <f>1373.2</f>
        <v>1373.2</v>
      </c>
      <c r="F630" s="98" t="s">
        <v>8</v>
      </c>
      <c r="G630" s="101">
        <v>4</v>
      </c>
      <c r="H630" s="98"/>
      <c r="I630" s="102">
        <v>43460</v>
      </c>
      <c r="J630" s="98" t="s">
        <v>261</v>
      </c>
      <c r="K630" s="98"/>
      <c r="L630" s="98">
        <v>2</v>
      </c>
      <c r="M630" s="98">
        <f t="shared" ref="M630:M635" si="56">L630*C630</f>
        <v>1260</v>
      </c>
      <c r="N630" s="103">
        <f t="shared" ref="N630:N635" si="57">(D630-E630)/(M630*0.17)</f>
        <v>0.59197012138188587</v>
      </c>
    </row>
    <row r="631" spans="1:14" s="104" customFormat="1" ht="15" hidden="1" customHeight="1" x14ac:dyDescent="0.2">
      <c r="A631" s="98" t="s">
        <v>260</v>
      </c>
      <c r="B631" s="99" t="s">
        <v>39</v>
      </c>
      <c r="C631" s="99">
        <v>670</v>
      </c>
      <c r="D631" s="100">
        <v>5000</v>
      </c>
      <c r="E631" s="98">
        <f>1093.5+2641.5+979.5</f>
        <v>4714.5</v>
      </c>
      <c r="F631" s="98" t="s">
        <v>8</v>
      </c>
      <c r="G631" s="101" t="s">
        <v>146</v>
      </c>
      <c r="H631" s="98"/>
      <c r="I631" s="102">
        <v>43460</v>
      </c>
      <c r="J631" s="98" t="s">
        <v>261</v>
      </c>
      <c r="K631" s="98"/>
      <c r="L631" s="98">
        <v>1</v>
      </c>
      <c r="M631" s="98">
        <f t="shared" si="56"/>
        <v>670</v>
      </c>
      <c r="N631" s="103">
        <f t="shared" si="57"/>
        <v>2.5065847234416152</v>
      </c>
    </row>
    <row r="632" spans="1:14" s="104" customFormat="1" ht="15" hidden="1" customHeight="1" x14ac:dyDescent="0.2">
      <c r="A632" s="98" t="s">
        <v>260</v>
      </c>
      <c r="B632" s="99" t="s">
        <v>39</v>
      </c>
      <c r="C632" s="99">
        <v>690</v>
      </c>
      <c r="D632" s="100">
        <v>5000</v>
      </c>
      <c r="E632" s="98">
        <f>1001+1192.6+1502.7+1392.6</f>
        <v>5088.8999999999996</v>
      </c>
      <c r="F632" s="98" t="s">
        <v>8</v>
      </c>
      <c r="G632" s="101" t="s">
        <v>146</v>
      </c>
      <c r="H632" s="98"/>
      <c r="I632" s="102">
        <v>43460</v>
      </c>
      <c r="J632" s="98" t="s">
        <v>261</v>
      </c>
      <c r="K632" s="98"/>
      <c r="L632" s="98">
        <v>1</v>
      </c>
      <c r="M632" s="98">
        <f t="shared" si="56"/>
        <v>690</v>
      </c>
      <c r="N632" s="103">
        <f t="shared" si="57"/>
        <v>-0.75788576300084931</v>
      </c>
    </row>
    <row r="633" spans="1:14" s="104" customFormat="1" ht="15" hidden="1" customHeight="1" x14ac:dyDescent="0.2">
      <c r="A633" s="98" t="s">
        <v>260</v>
      </c>
      <c r="B633" s="99" t="s">
        <v>39</v>
      </c>
      <c r="C633" s="91">
        <v>400</v>
      </c>
      <c r="D633" s="100">
        <v>1000</v>
      </c>
      <c r="E633" s="98">
        <f>1027.4</f>
        <v>1027.4000000000001</v>
      </c>
      <c r="F633" s="98" t="s">
        <v>8</v>
      </c>
      <c r="G633" s="101" t="s">
        <v>146</v>
      </c>
      <c r="H633" s="98"/>
      <c r="I633" s="102">
        <v>43460</v>
      </c>
      <c r="J633" s="98" t="s">
        <v>261</v>
      </c>
      <c r="K633" s="98"/>
      <c r="L633" s="98">
        <v>3</v>
      </c>
      <c r="M633" s="98">
        <f t="shared" si="56"/>
        <v>1200</v>
      </c>
      <c r="N633" s="103">
        <f t="shared" si="57"/>
        <v>-0.13431372549019652</v>
      </c>
    </row>
    <row r="634" spans="1:14" s="104" customFormat="1" ht="15" hidden="1" customHeight="1" x14ac:dyDescent="0.2">
      <c r="A634" s="98" t="s">
        <v>260</v>
      </c>
      <c r="B634" s="99" t="s">
        <v>39</v>
      </c>
      <c r="C634" s="99">
        <v>510</v>
      </c>
      <c r="D634" s="100">
        <v>2000</v>
      </c>
      <c r="E634" s="98">
        <f>317.8+1603.1+247.3</f>
        <v>2168.1999999999998</v>
      </c>
      <c r="F634" s="98" t="s">
        <v>8</v>
      </c>
      <c r="G634" s="101" t="s">
        <v>146</v>
      </c>
      <c r="H634" s="98"/>
      <c r="I634" s="102">
        <v>43460</v>
      </c>
      <c r="J634" s="98" t="s">
        <v>261</v>
      </c>
      <c r="K634" s="98"/>
      <c r="L634" s="98">
        <v>1</v>
      </c>
      <c r="M634" s="98">
        <f t="shared" si="56"/>
        <v>510</v>
      </c>
      <c r="N634" s="103">
        <f t="shared" si="57"/>
        <v>-1.9400230680507475</v>
      </c>
    </row>
    <row r="635" spans="1:14" s="104" customFormat="1" ht="15" hidden="1" customHeight="1" x14ac:dyDescent="0.2">
      <c r="A635" s="98" t="s">
        <v>260</v>
      </c>
      <c r="B635" s="99" t="s">
        <v>39</v>
      </c>
      <c r="C635" s="99">
        <v>770</v>
      </c>
      <c r="D635" s="100">
        <v>1500</v>
      </c>
      <c r="E635" s="98">
        <f>1540.6</f>
        <v>1540.6</v>
      </c>
      <c r="F635" s="98" t="s">
        <v>8</v>
      </c>
      <c r="G635" s="101" t="s">
        <v>146</v>
      </c>
      <c r="H635" s="98"/>
      <c r="I635" s="102">
        <v>43460</v>
      </c>
      <c r="J635" s="98" t="s">
        <v>261</v>
      </c>
      <c r="K635" s="98"/>
      <c r="L635" s="98">
        <v>1</v>
      </c>
      <c r="M635" s="98">
        <f t="shared" si="56"/>
        <v>770</v>
      </c>
      <c r="N635" s="103">
        <f t="shared" si="57"/>
        <v>-0.31016042780748593</v>
      </c>
    </row>
    <row r="636" spans="1:14" s="104" customFormat="1" ht="15" hidden="1" customHeight="1" x14ac:dyDescent="0.2">
      <c r="A636" s="98" t="s">
        <v>260</v>
      </c>
      <c r="B636" s="99" t="s">
        <v>36</v>
      </c>
      <c r="C636" s="99">
        <v>800</v>
      </c>
      <c r="D636" s="100">
        <v>1000</v>
      </c>
      <c r="E636" s="98">
        <f>170.2+940.7</f>
        <v>1110.9000000000001</v>
      </c>
      <c r="F636" s="98" t="s">
        <v>8</v>
      </c>
      <c r="G636" s="101" t="s">
        <v>146</v>
      </c>
      <c r="H636" s="98"/>
      <c r="I636" s="102">
        <v>43460</v>
      </c>
      <c r="J636" s="98" t="s">
        <v>261</v>
      </c>
      <c r="K636" s="98"/>
      <c r="L636" s="98">
        <v>1</v>
      </c>
      <c r="M636" s="98">
        <f>L636*C636</f>
        <v>800</v>
      </c>
      <c r="N636" s="103">
        <f>(D636-E636)/(M636*0.17)</f>
        <v>-0.81544117647058889</v>
      </c>
    </row>
    <row r="637" spans="1:14" s="104" customFormat="1" ht="15" hidden="1" customHeight="1" x14ac:dyDescent="0.2">
      <c r="A637" s="98" t="s">
        <v>260</v>
      </c>
      <c r="B637" s="99" t="s">
        <v>36</v>
      </c>
      <c r="C637" s="99">
        <v>680</v>
      </c>
      <c r="D637" s="100">
        <v>1000</v>
      </c>
      <c r="E637" s="98">
        <f>475.4+145.7+479.2</f>
        <v>1100.3</v>
      </c>
      <c r="F637" s="98" t="s">
        <v>8</v>
      </c>
      <c r="G637" s="101" t="s">
        <v>146</v>
      </c>
      <c r="H637" s="98"/>
      <c r="I637" s="102">
        <v>43460</v>
      </c>
      <c r="J637" s="98" t="s">
        <v>261</v>
      </c>
      <c r="K637" s="98"/>
      <c r="L637" s="98">
        <v>1</v>
      </c>
      <c r="M637" s="98">
        <f>L637*C637</f>
        <v>680</v>
      </c>
      <c r="N637" s="103">
        <f>(D637-E637)/(M637*0.17)</f>
        <v>-0.86764705882352899</v>
      </c>
    </row>
    <row r="638" spans="1:14" s="96" customFormat="1" ht="15" hidden="1" customHeight="1" x14ac:dyDescent="0.2">
      <c r="A638" s="90" t="s">
        <v>262</v>
      </c>
      <c r="B638" s="91" t="s">
        <v>40</v>
      </c>
      <c r="C638" s="91">
        <v>640</v>
      </c>
      <c r="D638" s="92">
        <v>1000</v>
      </c>
      <c r="E638" s="90">
        <f>1132.2</f>
        <v>1132.2</v>
      </c>
      <c r="F638" s="90" t="s">
        <v>8</v>
      </c>
      <c r="G638" s="93"/>
      <c r="H638" s="90" t="s">
        <v>267</v>
      </c>
      <c r="I638" s="94">
        <v>43461</v>
      </c>
      <c r="J638" s="90" t="s">
        <v>133</v>
      </c>
      <c r="K638" s="90"/>
      <c r="L638" s="90">
        <v>2</v>
      </c>
      <c r="M638" s="90">
        <f>L638*C638</f>
        <v>1280</v>
      </c>
      <c r="N638" s="95">
        <f>(D638-E638)/(M638*0.17)</f>
        <v>-0.60753676470588247</v>
      </c>
    </row>
    <row r="639" spans="1:14" s="96" customFormat="1" ht="15" hidden="1" customHeight="1" x14ac:dyDescent="0.2">
      <c r="A639" s="90" t="s">
        <v>262</v>
      </c>
      <c r="B639" s="91" t="s">
        <v>40</v>
      </c>
      <c r="C639" s="91">
        <v>830</v>
      </c>
      <c r="D639" s="92">
        <v>1000</v>
      </c>
      <c r="E639" s="90">
        <f>934.2</f>
        <v>934.2</v>
      </c>
      <c r="F639" s="90" t="s">
        <v>8</v>
      </c>
      <c r="G639" s="93"/>
      <c r="H639" s="90" t="s">
        <v>267</v>
      </c>
      <c r="I639" s="94">
        <v>43461</v>
      </c>
      <c r="J639" s="90" t="s">
        <v>133</v>
      </c>
      <c r="K639" s="90"/>
      <c r="L639" s="90">
        <v>1</v>
      </c>
      <c r="M639" s="90">
        <f>L639*C639</f>
        <v>830</v>
      </c>
      <c r="N639" s="95">
        <f>(D639-E639)/(M639*0.17)</f>
        <v>0.46633593196314632</v>
      </c>
    </row>
    <row r="640" spans="1:14" ht="15" hidden="1" customHeight="1" x14ac:dyDescent="0.2">
      <c r="A640" s="1" t="s">
        <v>265</v>
      </c>
      <c r="B640" s="2" t="s">
        <v>40</v>
      </c>
      <c r="C640" s="2">
        <v>1010</v>
      </c>
      <c r="D640" s="7">
        <v>600</v>
      </c>
      <c r="F640" s="1" t="s">
        <v>278</v>
      </c>
      <c r="H640" s="1" t="s">
        <v>267</v>
      </c>
      <c r="I640" s="8">
        <v>43461</v>
      </c>
      <c r="J640" s="16" t="s">
        <v>266</v>
      </c>
    </row>
    <row r="641" spans="1:14" ht="15" hidden="1" customHeight="1" x14ac:dyDescent="0.2">
      <c r="A641" s="1" t="s">
        <v>265</v>
      </c>
      <c r="B641" s="2" t="s">
        <v>37</v>
      </c>
      <c r="C641" s="2">
        <v>995</v>
      </c>
      <c r="D641" s="7">
        <v>3200</v>
      </c>
      <c r="F641" s="1" t="s">
        <v>278</v>
      </c>
      <c r="H641" s="1" t="s">
        <v>267</v>
      </c>
      <c r="I641" s="8">
        <v>43461</v>
      </c>
      <c r="J641" s="16" t="s">
        <v>266</v>
      </c>
    </row>
    <row r="642" spans="1:14" ht="15" hidden="1" customHeight="1" x14ac:dyDescent="0.2">
      <c r="A642" s="1" t="s">
        <v>265</v>
      </c>
      <c r="B642" s="2" t="s">
        <v>37</v>
      </c>
      <c r="C642" s="2">
        <v>1190</v>
      </c>
      <c r="D642" s="7">
        <v>2500</v>
      </c>
      <c r="F642" s="1" t="s">
        <v>278</v>
      </c>
      <c r="H642" s="1" t="s">
        <v>267</v>
      </c>
      <c r="I642" s="8">
        <v>43461</v>
      </c>
      <c r="J642" s="16" t="s">
        <v>266</v>
      </c>
    </row>
    <row r="643" spans="1:14" ht="15" hidden="1" customHeight="1" x14ac:dyDescent="0.2">
      <c r="A643" s="3" t="s">
        <v>52</v>
      </c>
      <c r="B643" s="107" t="s">
        <v>36</v>
      </c>
      <c r="C643" s="107">
        <v>740</v>
      </c>
      <c r="D643" s="108">
        <v>1500</v>
      </c>
      <c r="E643" s="1">
        <f>1538.5</f>
        <v>1538.5</v>
      </c>
      <c r="F643" s="1" t="s">
        <v>8</v>
      </c>
      <c r="G643" s="41">
        <v>3</v>
      </c>
      <c r="I643" s="1">
        <v>11.12</v>
      </c>
      <c r="J643" s="3" t="s">
        <v>30</v>
      </c>
      <c r="L643" s="10">
        <v>1</v>
      </c>
      <c r="M643" s="10">
        <f t="shared" ref="M643:M650" si="58">L643*C643</f>
        <v>740</v>
      </c>
      <c r="N643" s="29">
        <f t="shared" ref="N643:N650" si="59">(D643-E643)/(M643*0.17)</f>
        <v>-0.30604133545310014</v>
      </c>
    </row>
    <row r="644" spans="1:14" ht="15" hidden="1" customHeight="1" x14ac:dyDescent="0.2">
      <c r="A644" s="1" t="s">
        <v>270</v>
      </c>
      <c r="B644" s="2" t="s">
        <v>38</v>
      </c>
      <c r="C644" s="2">
        <v>270</v>
      </c>
      <c r="E644" s="1">
        <f>508.6</f>
        <v>508.6</v>
      </c>
      <c r="F644" s="1" t="s">
        <v>8</v>
      </c>
      <c r="L644" s="3">
        <v>1</v>
      </c>
      <c r="M644" s="10">
        <f t="shared" si="58"/>
        <v>270</v>
      </c>
      <c r="N644" s="32">
        <f t="shared" si="59"/>
        <v>-11.080610021786491</v>
      </c>
    </row>
    <row r="645" spans="1:14" ht="15" hidden="1" customHeight="1" x14ac:dyDescent="0.2">
      <c r="A645" s="1" t="s">
        <v>270</v>
      </c>
      <c r="B645" s="2" t="s">
        <v>38</v>
      </c>
      <c r="C645" s="2">
        <v>280</v>
      </c>
      <c r="E645" s="1">
        <f>836.9</f>
        <v>836.9</v>
      </c>
      <c r="F645" s="1" t="s">
        <v>8</v>
      </c>
      <c r="L645" s="3">
        <v>1</v>
      </c>
      <c r="M645" s="10">
        <f t="shared" si="58"/>
        <v>280</v>
      </c>
      <c r="N645" s="32">
        <f t="shared" si="59"/>
        <v>-17.581932773109244</v>
      </c>
    </row>
    <row r="646" spans="1:14" s="96" customFormat="1" ht="15" hidden="1" customHeight="1" x14ac:dyDescent="0.2">
      <c r="A646" s="90" t="s">
        <v>52</v>
      </c>
      <c r="B646" s="91" t="s">
        <v>40</v>
      </c>
      <c r="C646" s="91">
        <v>900</v>
      </c>
      <c r="D646" s="92">
        <v>3000</v>
      </c>
      <c r="E646" s="90">
        <f>383.7+1497.4+1234.3</f>
        <v>3115.4</v>
      </c>
      <c r="F646" s="90" t="s">
        <v>8</v>
      </c>
      <c r="G646" s="93" t="s">
        <v>146</v>
      </c>
      <c r="H646" s="90"/>
      <c r="I646" s="94">
        <v>43445</v>
      </c>
      <c r="J646" s="90" t="s">
        <v>30</v>
      </c>
      <c r="K646" s="90"/>
      <c r="L646" s="90">
        <v>1</v>
      </c>
      <c r="M646" s="90">
        <f t="shared" si="58"/>
        <v>900</v>
      </c>
      <c r="N646" s="95">
        <f t="shared" si="59"/>
        <v>-0.75424836601307244</v>
      </c>
    </row>
    <row r="647" spans="1:14" s="60" customFormat="1" ht="15" hidden="1" customHeight="1" x14ac:dyDescent="0.2">
      <c r="A647" s="55" t="s">
        <v>52</v>
      </c>
      <c r="B647" s="54" t="s">
        <v>40</v>
      </c>
      <c r="C647" s="54">
        <v>940</v>
      </c>
      <c r="D647" s="56">
        <v>1000</v>
      </c>
      <c r="E647" s="55">
        <f>212.9+834.2</f>
        <v>1047.1000000000001</v>
      </c>
      <c r="F647" s="55" t="s">
        <v>8</v>
      </c>
      <c r="G647" s="57" t="s">
        <v>146</v>
      </c>
      <c r="H647" s="55"/>
      <c r="I647" s="58">
        <v>43445</v>
      </c>
      <c r="J647" s="55" t="s">
        <v>30</v>
      </c>
      <c r="K647" s="55"/>
      <c r="L647" s="55">
        <v>1</v>
      </c>
      <c r="M647" s="55">
        <f t="shared" si="58"/>
        <v>940</v>
      </c>
      <c r="N647" s="59">
        <f t="shared" si="59"/>
        <v>-0.29474342928660907</v>
      </c>
    </row>
    <row r="648" spans="1:14" s="104" customFormat="1" ht="15" hidden="1" customHeight="1" x14ac:dyDescent="0.2">
      <c r="A648" s="98" t="s">
        <v>317</v>
      </c>
      <c r="B648" s="99" t="s">
        <v>37</v>
      </c>
      <c r="C648" s="99">
        <v>450</v>
      </c>
      <c r="D648" s="100">
        <v>100</v>
      </c>
      <c r="E648" s="98">
        <f>100.1</f>
        <v>100.1</v>
      </c>
      <c r="F648" s="98" t="s">
        <v>8</v>
      </c>
      <c r="G648" s="101">
        <v>3</v>
      </c>
      <c r="H648" s="98"/>
      <c r="I648" s="102">
        <v>43445</v>
      </c>
      <c r="J648" s="98" t="s">
        <v>30</v>
      </c>
      <c r="K648" s="98"/>
      <c r="L648" s="98">
        <v>3</v>
      </c>
      <c r="M648" s="98">
        <f t="shared" si="58"/>
        <v>1350</v>
      </c>
      <c r="N648" s="103">
        <f t="shared" si="59"/>
        <v>-4.3572984749452854E-4</v>
      </c>
    </row>
    <row r="649" spans="1:14" s="60" customFormat="1" ht="15" hidden="1" customHeight="1" x14ac:dyDescent="0.2">
      <c r="A649" s="55" t="s">
        <v>52</v>
      </c>
      <c r="B649" s="54" t="s">
        <v>37</v>
      </c>
      <c r="C649" s="54">
        <v>910</v>
      </c>
      <c r="D649" s="56">
        <v>1500</v>
      </c>
      <c r="E649" s="55">
        <f>993.2+560</f>
        <v>1553.2</v>
      </c>
      <c r="F649" s="55" t="s">
        <v>8</v>
      </c>
      <c r="G649" s="57">
        <v>3</v>
      </c>
      <c r="H649" s="55"/>
      <c r="I649" s="58">
        <v>43445</v>
      </c>
      <c r="J649" s="55" t="s">
        <v>30</v>
      </c>
      <c r="K649" s="55"/>
      <c r="L649" s="55">
        <v>1</v>
      </c>
      <c r="M649" s="55">
        <f t="shared" si="58"/>
        <v>910</v>
      </c>
      <c r="N649" s="59">
        <f t="shared" si="59"/>
        <v>-0.3438914027149324</v>
      </c>
    </row>
    <row r="650" spans="1:14" s="96" customFormat="1" ht="15" hidden="1" customHeight="1" x14ac:dyDescent="0.2">
      <c r="A650" s="90" t="s">
        <v>273</v>
      </c>
      <c r="B650" s="91" t="s">
        <v>36</v>
      </c>
      <c r="C650" s="91">
        <v>340</v>
      </c>
      <c r="D650" s="92">
        <v>300</v>
      </c>
      <c r="E650" s="90">
        <f>301.6</f>
        <v>301.60000000000002</v>
      </c>
      <c r="F650" s="90" t="s">
        <v>8</v>
      </c>
      <c r="G650" s="93" t="s">
        <v>146</v>
      </c>
      <c r="H650" s="90" t="s">
        <v>274</v>
      </c>
      <c r="I650" s="94">
        <v>43462</v>
      </c>
      <c r="J650" s="90" t="s">
        <v>275</v>
      </c>
      <c r="K650" s="90"/>
      <c r="L650" s="90"/>
      <c r="M650" s="90">
        <f t="shared" si="58"/>
        <v>0</v>
      </c>
      <c r="N650" s="95" t="e">
        <f t="shared" si="59"/>
        <v>#DIV/0!</v>
      </c>
    </row>
    <row r="651" spans="1:14" s="132" customFormat="1" ht="15" hidden="1" customHeight="1" x14ac:dyDescent="0.2">
      <c r="A651" s="126" t="s">
        <v>276</v>
      </c>
      <c r="B651" s="127" t="s">
        <v>39</v>
      </c>
      <c r="C651" s="127">
        <v>900</v>
      </c>
      <c r="D651" s="128">
        <v>4000</v>
      </c>
      <c r="E651" s="126"/>
      <c r="F651" s="126" t="s">
        <v>415</v>
      </c>
      <c r="G651" s="129">
        <v>1</v>
      </c>
      <c r="H651" s="126"/>
      <c r="I651" s="130">
        <v>43462</v>
      </c>
      <c r="J651" s="126" t="s">
        <v>57</v>
      </c>
      <c r="K651" s="126"/>
      <c r="L651" s="126">
        <v>1</v>
      </c>
      <c r="M651" s="126">
        <f t="shared" ref="M651:M677" si="60">L651*C651</f>
        <v>900</v>
      </c>
      <c r="N651" s="131">
        <f t="shared" ref="N651:N677" si="61">(D651-E651)/(M651*0.17)</f>
        <v>26.143790849673202</v>
      </c>
    </row>
    <row r="652" spans="1:14" s="132" customFormat="1" ht="15" hidden="1" customHeight="1" x14ac:dyDescent="0.2">
      <c r="A652" s="126" t="s">
        <v>276</v>
      </c>
      <c r="B652" s="127" t="s">
        <v>39</v>
      </c>
      <c r="C652" s="127">
        <v>1020</v>
      </c>
      <c r="D652" s="128">
        <v>2000</v>
      </c>
      <c r="E652" s="126"/>
      <c r="F652" s="126" t="s">
        <v>415</v>
      </c>
      <c r="G652" s="129">
        <v>1</v>
      </c>
      <c r="H652" s="126"/>
      <c r="I652" s="130">
        <v>43462</v>
      </c>
      <c r="J652" s="126" t="s">
        <v>57</v>
      </c>
      <c r="K652" s="126"/>
      <c r="L652" s="126">
        <v>1</v>
      </c>
      <c r="M652" s="126">
        <f t="shared" si="60"/>
        <v>1020</v>
      </c>
      <c r="N652" s="131">
        <f t="shared" si="61"/>
        <v>11.534025374855824</v>
      </c>
    </row>
    <row r="653" spans="1:14" s="104" customFormat="1" ht="15" hidden="1" customHeight="1" x14ac:dyDescent="0.2">
      <c r="A653" s="98" t="s">
        <v>276</v>
      </c>
      <c r="B653" s="99" t="s">
        <v>39</v>
      </c>
      <c r="C653" s="99">
        <v>1050</v>
      </c>
      <c r="D653" s="100">
        <v>2000</v>
      </c>
      <c r="E653" s="98">
        <f>202+1068.7+770</f>
        <v>2040.7</v>
      </c>
      <c r="F653" s="98" t="s">
        <v>8</v>
      </c>
      <c r="G653" s="101" t="s">
        <v>146</v>
      </c>
      <c r="H653" s="98"/>
      <c r="I653" s="102">
        <v>43462</v>
      </c>
      <c r="J653" s="98" t="s">
        <v>57</v>
      </c>
      <c r="K653" s="98"/>
      <c r="L653" s="98">
        <v>1</v>
      </c>
      <c r="M653" s="98">
        <f t="shared" si="60"/>
        <v>1050</v>
      </c>
      <c r="N653" s="103">
        <f t="shared" si="61"/>
        <v>-0.22801120448179296</v>
      </c>
    </row>
    <row r="654" spans="1:14" s="132" customFormat="1" ht="15" hidden="1" customHeight="1" x14ac:dyDescent="0.2">
      <c r="A654" s="126" t="s">
        <v>276</v>
      </c>
      <c r="B654" s="127" t="s">
        <v>39</v>
      </c>
      <c r="C654" s="127">
        <v>1080</v>
      </c>
      <c r="D654" s="128">
        <v>3000</v>
      </c>
      <c r="E654" s="126"/>
      <c r="F654" s="126" t="s">
        <v>415</v>
      </c>
      <c r="G654" s="129">
        <v>1</v>
      </c>
      <c r="H654" s="126"/>
      <c r="I654" s="130">
        <v>43462</v>
      </c>
      <c r="J654" s="126" t="s">
        <v>57</v>
      </c>
      <c r="K654" s="126"/>
      <c r="L654" s="126">
        <v>1</v>
      </c>
      <c r="M654" s="126">
        <f t="shared" si="60"/>
        <v>1080</v>
      </c>
      <c r="N654" s="131">
        <f t="shared" si="61"/>
        <v>16.33986928104575</v>
      </c>
    </row>
    <row r="655" spans="1:14" s="104" customFormat="1" ht="15" hidden="1" customHeight="1" x14ac:dyDescent="0.2">
      <c r="A655" s="98" t="s">
        <v>276</v>
      </c>
      <c r="B655" s="99" t="s">
        <v>39</v>
      </c>
      <c r="C655" s="99">
        <v>1100</v>
      </c>
      <c r="D655" s="100">
        <v>2000</v>
      </c>
      <c r="E655" s="98">
        <f>1071.3+1070.6</f>
        <v>2141.8999999999996</v>
      </c>
      <c r="F655" s="98" t="s">
        <v>8</v>
      </c>
      <c r="G655" s="101" t="s">
        <v>146</v>
      </c>
      <c r="H655" s="98"/>
      <c r="I655" s="102">
        <v>43462</v>
      </c>
      <c r="J655" s="98" t="s">
        <v>57</v>
      </c>
      <c r="K655" s="98"/>
      <c r="L655" s="98">
        <v>1</v>
      </c>
      <c r="M655" s="98">
        <f t="shared" si="60"/>
        <v>1100</v>
      </c>
      <c r="N655" s="103">
        <f t="shared" si="61"/>
        <v>-0.75882352941176279</v>
      </c>
    </row>
    <row r="656" spans="1:14" s="104" customFormat="1" ht="15" hidden="1" customHeight="1" x14ac:dyDescent="0.2">
      <c r="A656" s="98" t="s">
        <v>276</v>
      </c>
      <c r="B656" s="99" t="s">
        <v>39</v>
      </c>
      <c r="C656" s="99">
        <v>1140</v>
      </c>
      <c r="D656" s="100">
        <v>4000</v>
      </c>
      <c r="E656" s="98">
        <f>2977.3+775.1+257.9</f>
        <v>4010.3</v>
      </c>
      <c r="F656" s="98" t="s">
        <v>8</v>
      </c>
      <c r="G656" s="101" t="s">
        <v>146</v>
      </c>
      <c r="H656" s="98"/>
      <c r="I656" s="102">
        <v>43462</v>
      </c>
      <c r="J656" s="98" t="s">
        <v>57</v>
      </c>
      <c r="K656" s="98"/>
      <c r="L656" s="98">
        <v>1</v>
      </c>
      <c r="M656" s="98">
        <f t="shared" si="60"/>
        <v>1140</v>
      </c>
      <c r="N656" s="103">
        <f t="shared" si="61"/>
        <v>-5.3147574819402382E-2</v>
      </c>
    </row>
    <row r="657" spans="1:14" s="132" customFormat="1" ht="15" hidden="1" customHeight="1" x14ac:dyDescent="0.2">
      <c r="A657" s="126" t="s">
        <v>276</v>
      </c>
      <c r="B657" s="127" t="s">
        <v>39</v>
      </c>
      <c r="C657" s="127">
        <v>1185</v>
      </c>
      <c r="D657" s="128">
        <v>1000</v>
      </c>
      <c r="E657" s="126"/>
      <c r="F657" s="126" t="s">
        <v>415</v>
      </c>
      <c r="G657" s="129">
        <v>1</v>
      </c>
      <c r="H657" s="126"/>
      <c r="I657" s="130">
        <v>43462</v>
      </c>
      <c r="J657" s="126" t="s">
        <v>57</v>
      </c>
      <c r="K657" s="126"/>
      <c r="L657" s="126">
        <v>1</v>
      </c>
      <c r="M657" s="126">
        <f t="shared" si="60"/>
        <v>1185</v>
      </c>
      <c r="N657" s="131">
        <f t="shared" si="61"/>
        <v>4.9640109208240251</v>
      </c>
    </row>
    <row r="658" spans="1:14" s="104" customFormat="1" ht="15" hidden="1" customHeight="1" x14ac:dyDescent="0.2">
      <c r="A658" s="98" t="s">
        <v>276</v>
      </c>
      <c r="B658" s="99" t="s">
        <v>39</v>
      </c>
      <c r="C658" s="99">
        <v>1200</v>
      </c>
      <c r="D658" s="100">
        <v>4000</v>
      </c>
      <c r="E658" s="98">
        <f>217+835.2+2603.7+270.7</f>
        <v>3926.5999999999995</v>
      </c>
      <c r="F658" s="98" t="s">
        <v>8</v>
      </c>
      <c r="G658" s="101" t="s">
        <v>146</v>
      </c>
      <c r="H658" s="98"/>
      <c r="I658" s="102">
        <v>43462</v>
      </c>
      <c r="J658" s="98" t="s">
        <v>57</v>
      </c>
      <c r="K658" s="98"/>
      <c r="L658" s="98">
        <v>1</v>
      </c>
      <c r="M658" s="98">
        <f t="shared" si="60"/>
        <v>1200</v>
      </c>
      <c r="N658" s="103">
        <f t="shared" si="61"/>
        <v>0.35980392156863006</v>
      </c>
    </row>
    <row r="659" spans="1:14" s="132" customFormat="1" ht="15" hidden="1" customHeight="1" x14ac:dyDescent="0.2">
      <c r="A659" s="126" t="s">
        <v>276</v>
      </c>
      <c r="B659" s="127" t="s">
        <v>39</v>
      </c>
      <c r="C659" s="127">
        <v>1230</v>
      </c>
      <c r="D659" s="128">
        <v>2000</v>
      </c>
      <c r="E659" s="126"/>
      <c r="F659" s="126" t="s">
        <v>415</v>
      </c>
      <c r="G659" s="129">
        <v>1</v>
      </c>
      <c r="H659" s="126"/>
      <c r="I659" s="130">
        <v>43462</v>
      </c>
      <c r="J659" s="126" t="s">
        <v>57</v>
      </c>
      <c r="K659" s="126"/>
      <c r="L659" s="126">
        <v>1</v>
      </c>
      <c r="M659" s="126">
        <f t="shared" si="60"/>
        <v>1230</v>
      </c>
      <c r="N659" s="131">
        <f t="shared" si="61"/>
        <v>9.5648015303682445</v>
      </c>
    </row>
    <row r="660" spans="1:14" s="104" customFormat="1" ht="15" hidden="1" customHeight="1" x14ac:dyDescent="0.2">
      <c r="A660" s="98" t="s">
        <v>276</v>
      </c>
      <c r="B660" s="99" t="s">
        <v>39</v>
      </c>
      <c r="C660" s="99">
        <v>1260</v>
      </c>
      <c r="D660" s="100">
        <v>4000</v>
      </c>
      <c r="E660" s="98">
        <f>684.5+817.7+2167.5+284.6</f>
        <v>3954.2999999999997</v>
      </c>
      <c r="F660" s="98" t="s">
        <v>8</v>
      </c>
      <c r="G660" s="101" t="s">
        <v>146</v>
      </c>
      <c r="H660" s="98"/>
      <c r="I660" s="102">
        <v>43462</v>
      </c>
      <c r="J660" s="98" t="s">
        <v>57</v>
      </c>
      <c r="K660" s="98"/>
      <c r="L660" s="98">
        <v>1</v>
      </c>
      <c r="M660" s="98">
        <f t="shared" si="60"/>
        <v>1260</v>
      </c>
      <c r="N660" s="103">
        <f t="shared" si="61"/>
        <v>0.2133520074696558</v>
      </c>
    </row>
    <row r="661" spans="1:14" s="132" customFormat="1" ht="15" hidden="1" customHeight="1" x14ac:dyDescent="0.2">
      <c r="A661" s="126" t="s">
        <v>276</v>
      </c>
      <c r="B661" s="127" t="s">
        <v>39</v>
      </c>
      <c r="C661" s="127">
        <v>1290</v>
      </c>
      <c r="D661" s="128">
        <v>6000</v>
      </c>
      <c r="E661" s="126"/>
      <c r="F661" s="126" t="s">
        <v>415</v>
      </c>
      <c r="G661" s="129">
        <v>1</v>
      </c>
      <c r="H661" s="126"/>
      <c r="I661" s="130">
        <v>43462</v>
      </c>
      <c r="J661" s="126" t="s">
        <v>57</v>
      </c>
      <c r="K661" s="126"/>
      <c r="L661" s="126">
        <v>1</v>
      </c>
      <c r="M661" s="126">
        <f t="shared" si="60"/>
        <v>1290</v>
      </c>
      <c r="N661" s="131">
        <f t="shared" si="61"/>
        <v>27.359781121751023</v>
      </c>
    </row>
    <row r="662" spans="1:14" s="104" customFormat="1" ht="15" hidden="1" customHeight="1" x14ac:dyDescent="0.2">
      <c r="A662" s="98" t="s">
        <v>276</v>
      </c>
      <c r="B662" s="99" t="s">
        <v>39</v>
      </c>
      <c r="C662" s="99">
        <v>1320</v>
      </c>
      <c r="D662" s="100">
        <v>3000</v>
      </c>
      <c r="E662" s="98">
        <f>2956.8</f>
        <v>2956.8</v>
      </c>
      <c r="F662" s="98" t="s">
        <v>8</v>
      </c>
      <c r="G662" s="101" t="s">
        <v>146</v>
      </c>
      <c r="H662" s="98"/>
      <c r="I662" s="102">
        <v>43462</v>
      </c>
      <c r="J662" s="98" t="s">
        <v>57</v>
      </c>
      <c r="K662" s="98"/>
      <c r="L662" s="98">
        <v>1</v>
      </c>
      <c r="M662" s="98">
        <f t="shared" si="60"/>
        <v>1320</v>
      </c>
      <c r="N662" s="103">
        <f t="shared" si="61"/>
        <v>0.19251336898395641</v>
      </c>
    </row>
    <row r="663" spans="1:14" s="104" customFormat="1" ht="15" hidden="1" customHeight="1" x14ac:dyDescent="0.2">
      <c r="A663" s="98" t="s">
        <v>277</v>
      </c>
      <c r="B663" s="99" t="s">
        <v>37</v>
      </c>
      <c r="C663" s="99">
        <v>1000</v>
      </c>
      <c r="D663" s="100">
        <v>2000</v>
      </c>
      <c r="E663" s="98">
        <f>492.3+1620.1</f>
        <v>2112.4</v>
      </c>
      <c r="F663" s="98" t="s">
        <v>8</v>
      </c>
      <c r="G663" s="101"/>
      <c r="H663" s="98"/>
      <c r="I663" s="102">
        <v>43462</v>
      </c>
      <c r="J663" s="98" t="s">
        <v>57</v>
      </c>
      <c r="K663" s="98"/>
      <c r="L663" s="98">
        <v>1</v>
      </c>
      <c r="M663" s="98">
        <f t="shared" si="60"/>
        <v>1000</v>
      </c>
      <c r="N663" s="103">
        <f t="shared" si="61"/>
        <v>-0.66117647058823581</v>
      </c>
    </row>
    <row r="664" spans="1:14" s="60" customFormat="1" ht="15" hidden="1" customHeight="1" x14ac:dyDescent="0.2">
      <c r="A664" s="55" t="s">
        <v>277</v>
      </c>
      <c r="B664" s="54" t="s">
        <v>37</v>
      </c>
      <c r="C664" s="54">
        <v>900</v>
      </c>
      <c r="D664" s="56">
        <v>4000</v>
      </c>
      <c r="E664" s="55">
        <f>3458.7+547.6</f>
        <v>4006.2999999999997</v>
      </c>
      <c r="F664" s="55" t="s">
        <v>8</v>
      </c>
      <c r="G664" s="57" t="s">
        <v>146</v>
      </c>
      <c r="H664" s="55"/>
      <c r="I664" s="58">
        <v>43462</v>
      </c>
      <c r="J664" s="55" t="s">
        <v>57</v>
      </c>
      <c r="K664" s="55"/>
      <c r="L664" s="55">
        <v>1</v>
      </c>
      <c r="M664" s="55">
        <f t="shared" si="60"/>
        <v>900</v>
      </c>
      <c r="N664" s="59">
        <f t="shared" si="61"/>
        <v>-4.117647058823351E-2</v>
      </c>
    </row>
    <row r="665" spans="1:14" s="104" customFormat="1" ht="15" hidden="1" customHeight="1" x14ac:dyDescent="0.2">
      <c r="A665" s="98" t="s">
        <v>277</v>
      </c>
      <c r="B665" s="99" t="s">
        <v>37</v>
      </c>
      <c r="C665" s="99">
        <v>1020</v>
      </c>
      <c r="D665" s="100">
        <v>2000</v>
      </c>
      <c r="E665" s="106">
        <f>439+658.9+931.1</f>
        <v>2029</v>
      </c>
      <c r="F665" s="98" t="s">
        <v>8</v>
      </c>
      <c r="G665" s="101" t="s">
        <v>146</v>
      </c>
      <c r="H665" s="98"/>
      <c r="I665" s="102">
        <v>43462</v>
      </c>
      <c r="J665" s="98" t="s">
        <v>57</v>
      </c>
      <c r="K665" s="98"/>
      <c r="L665" s="98">
        <v>1</v>
      </c>
      <c r="M665" s="98">
        <f t="shared" si="60"/>
        <v>1020</v>
      </c>
      <c r="N665" s="103">
        <f t="shared" si="61"/>
        <v>-0.16724336793540945</v>
      </c>
    </row>
    <row r="666" spans="1:14" s="104" customFormat="1" ht="15" hidden="1" customHeight="1" x14ac:dyDescent="0.2">
      <c r="A666" s="98" t="s">
        <v>277</v>
      </c>
      <c r="B666" s="99" t="s">
        <v>37</v>
      </c>
      <c r="C666" s="99">
        <v>1050</v>
      </c>
      <c r="D666" s="100">
        <v>3000</v>
      </c>
      <c r="E666" s="106">
        <f>1429.5+627.1+945.6</f>
        <v>3002.2</v>
      </c>
      <c r="F666" s="98" t="s">
        <v>8</v>
      </c>
      <c r="G666" s="101" t="s">
        <v>146</v>
      </c>
      <c r="H666" s="98"/>
      <c r="I666" s="102">
        <v>43462</v>
      </c>
      <c r="J666" s="98" t="s">
        <v>57</v>
      </c>
      <c r="K666" s="98"/>
      <c r="L666" s="98">
        <v>1</v>
      </c>
      <c r="M666" s="98">
        <f t="shared" si="60"/>
        <v>1050</v>
      </c>
      <c r="N666" s="103">
        <f t="shared" si="61"/>
        <v>-1.2324929971987777E-2</v>
      </c>
    </row>
    <row r="667" spans="1:14" s="104" customFormat="1" ht="15" hidden="1" customHeight="1" x14ac:dyDescent="0.2">
      <c r="A667" s="98" t="s">
        <v>277</v>
      </c>
      <c r="B667" s="99" t="s">
        <v>37</v>
      </c>
      <c r="C667" s="99">
        <v>1080</v>
      </c>
      <c r="D667" s="100">
        <v>3000</v>
      </c>
      <c r="E667" s="106">
        <f>466.8+1863+694</f>
        <v>3023.8</v>
      </c>
      <c r="F667" s="98" t="s">
        <v>8</v>
      </c>
      <c r="G667" s="101"/>
      <c r="H667" s="98"/>
      <c r="I667" s="102">
        <v>43462</v>
      </c>
      <c r="J667" s="98" t="s">
        <v>57</v>
      </c>
      <c r="K667" s="98"/>
      <c r="L667" s="98">
        <v>1</v>
      </c>
      <c r="M667" s="98">
        <f t="shared" si="60"/>
        <v>1080</v>
      </c>
      <c r="N667" s="103">
        <f t="shared" si="61"/>
        <v>-0.12962962962963059</v>
      </c>
    </row>
    <row r="668" spans="1:14" s="104" customFormat="1" ht="15" hidden="1" customHeight="1" x14ac:dyDescent="0.2">
      <c r="A668" s="98" t="s">
        <v>277</v>
      </c>
      <c r="B668" s="99" t="s">
        <v>37</v>
      </c>
      <c r="C668" s="99">
        <v>1200</v>
      </c>
      <c r="D668" s="100">
        <v>4000</v>
      </c>
      <c r="E668" s="98">
        <f>4152.1</f>
        <v>4152.1000000000004</v>
      </c>
      <c r="F668" s="98" t="s">
        <v>8</v>
      </c>
      <c r="G668" s="101"/>
      <c r="H668" s="98"/>
      <c r="I668" s="102">
        <v>43462</v>
      </c>
      <c r="J668" s="98" t="s">
        <v>57</v>
      </c>
      <c r="K668" s="98"/>
      <c r="L668" s="98">
        <v>1</v>
      </c>
      <c r="M668" s="98">
        <f t="shared" si="60"/>
        <v>1200</v>
      </c>
      <c r="N668" s="103">
        <f t="shared" si="61"/>
        <v>-0.74558823529411933</v>
      </c>
    </row>
    <row r="669" spans="1:14" ht="15" hidden="1" customHeight="1" x14ac:dyDescent="0.2">
      <c r="A669" s="1" t="s">
        <v>277</v>
      </c>
      <c r="B669" s="2" t="s">
        <v>37</v>
      </c>
      <c r="C669" s="2">
        <v>1260</v>
      </c>
      <c r="D669" s="7">
        <v>4000</v>
      </c>
      <c r="E669" s="1">
        <f>1590+2815.7+73.4</f>
        <v>4479.0999999999995</v>
      </c>
      <c r="F669" s="1" t="s">
        <v>8</v>
      </c>
      <c r="I669" s="8">
        <v>43462</v>
      </c>
      <c r="J669" s="16" t="s">
        <v>57</v>
      </c>
      <c r="L669" s="10">
        <v>1</v>
      </c>
      <c r="M669" s="18">
        <f t="shared" si="60"/>
        <v>1260</v>
      </c>
      <c r="N669" s="32">
        <f t="shared" si="61"/>
        <v>-2.2366946778711458</v>
      </c>
    </row>
    <row r="670" spans="1:14" ht="15" hidden="1" customHeight="1" x14ac:dyDescent="0.2">
      <c r="A670" s="1" t="s">
        <v>277</v>
      </c>
      <c r="B670" s="2" t="s">
        <v>37</v>
      </c>
      <c r="C670" s="2">
        <v>1290</v>
      </c>
      <c r="D670" s="7">
        <v>2000</v>
      </c>
      <c r="E670" s="1">
        <f>1187.9+887.8</f>
        <v>2075.6999999999998</v>
      </c>
      <c r="F670" s="1" t="s">
        <v>8</v>
      </c>
      <c r="I670" s="8">
        <v>43462</v>
      </c>
      <c r="J670" s="16" t="s">
        <v>57</v>
      </c>
      <c r="L670" s="10">
        <v>1</v>
      </c>
      <c r="M670" s="18">
        <f t="shared" si="60"/>
        <v>1290</v>
      </c>
      <c r="N670" s="32">
        <f t="shared" si="61"/>
        <v>-0.34518923848609129</v>
      </c>
    </row>
    <row r="671" spans="1:14" s="104" customFormat="1" ht="15" hidden="1" customHeight="1" x14ac:dyDescent="0.2">
      <c r="A671" s="98" t="s">
        <v>277</v>
      </c>
      <c r="B671" s="99" t="s">
        <v>37</v>
      </c>
      <c r="C671" s="99">
        <v>1300</v>
      </c>
      <c r="D671" s="100">
        <v>2000</v>
      </c>
      <c r="E671" s="98">
        <f>1731.3+293.1</f>
        <v>2024.4</v>
      </c>
      <c r="F671" s="98" t="s">
        <v>8</v>
      </c>
      <c r="G671" s="101"/>
      <c r="H671" s="98"/>
      <c r="I671" s="102">
        <v>43462</v>
      </c>
      <c r="J671" s="98" t="s">
        <v>57</v>
      </c>
      <c r="K671" s="98"/>
      <c r="L671" s="98">
        <v>1</v>
      </c>
      <c r="M671" s="98">
        <f t="shared" si="60"/>
        <v>1300</v>
      </c>
      <c r="N671" s="103">
        <f t="shared" si="61"/>
        <v>-0.11040723981900492</v>
      </c>
    </row>
    <row r="672" spans="1:14" s="104" customFormat="1" ht="15" hidden="1" customHeight="1" x14ac:dyDescent="0.2">
      <c r="A672" s="98" t="s">
        <v>277</v>
      </c>
      <c r="B672" s="99" t="s">
        <v>37</v>
      </c>
      <c r="C672" s="99">
        <v>1160</v>
      </c>
      <c r="D672" s="100">
        <v>2000</v>
      </c>
      <c r="E672" s="98">
        <f>1260+751.5</f>
        <v>2011.5</v>
      </c>
      <c r="F672" s="98" t="s">
        <v>8</v>
      </c>
      <c r="G672" s="101" t="s">
        <v>146</v>
      </c>
      <c r="H672" s="98"/>
      <c r="I672" s="102">
        <v>43462</v>
      </c>
      <c r="J672" s="98" t="s">
        <v>57</v>
      </c>
      <c r="K672" s="98"/>
      <c r="L672" s="98">
        <v>1</v>
      </c>
      <c r="M672" s="98">
        <f t="shared" si="60"/>
        <v>1160</v>
      </c>
      <c r="N672" s="103">
        <f t="shared" si="61"/>
        <v>-5.8316430020283971E-2</v>
      </c>
    </row>
    <row r="673" spans="1:14" s="104" customFormat="1" ht="15" hidden="1" customHeight="1" x14ac:dyDescent="0.2">
      <c r="A673" s="98" t="s">
        <v>277</v>
      </c>
      <c r="B673" s="99" t="s">
        <v>37</v>
      </c>
      <c r="C673" s="99">
        <v>1185</v>
      </c>
      <c r="D673" s="100">
        <v>2000</v>
      </c>
      <c r="E673" s="98">
        <f>474.3+1594.9</f>
        <v>2069.2000000000003</v>
      </c>
      <c r="F673" s="98" t="s">
        <v>8</v>
      </c>
      <c r="G673" s="101"/>
      <c r="H673" s="98"/>
      <c r="I673" s="102">
        <v>43462</v>
      </c>
      <c r="J673" s="98" t="s">
        <v>57</v>
      </c>
      <c r="K673" s="98"/>
      <c r="L673" s="98">
        <v>1</v>
      </c>
      <c r="M673" s="98">
        <f t="shared" si="60"/>
        <v>1185</v>
      </c>
      <c r="N673" s="103">
        <f t="shared" si="61"/>
        <v>-0.34350955572102393</v>
      </c>
    </row>
    <row r="674" spans="1:14" s="104" customFormat="1" ht="15" hidden="1" customHeight="1" x14ac:dyDescent="0.2">
      <c r="A674" s="98" t="s">
        <v>277</v>
      </c>
      <c r="B674" s="99" t="s">
        <v>37</v>
      </c>
      <c r="C674" s="99">
        <v>1320</v>
      </c>
      <c r="D674" s="100">
        <v>2000</v>
      </c>
      <c r="E674" s="98">
        <f>2065.8</f>
        <v>2065.8000000000002</v>
      </c>
      <c r="F674" s="98" t="s">
        <v>8</v>
      </c>
      <c r="G674" s="101"/>
      <c r="H674" s="98"/>
      <c r="I674" s="102">
        <v>43462</v>
      </c>
      <c r="J674" s="98" t="s">
        <v>57</v>
      </c>
      <c r="K674" s="98"/>
      <c r="L674" s="98">
        <v>1</v>
      </c>
      <c r="M674" s="98">
        <f t="shared" si="60"/>
        <v>1320</v>
      </c>
      <c r="N674" s="103">
        <f t="shared" si="61"/>
        <v>-0.2932263814616764</v>
      </c>
    </row>
    <row r="675" spans="1:14" s="104" customFormat="1" ht="15" hidden="1" customHeight="1" x14ac:dyDescent="0.2">
      <c r="A675" s="98" t="s">
        <v>277</v>
      </c>
      <c r="B675" s="99" t="s">
        <v>37</v>
      </c>
      <c r="C675" s="99">
        <v>1120</v>
      </c>
      <c r="D675" s="100">
        <v>2000</v>
      </c>
      <c r="E675" s="98">
        <f>478+1529.2</f>
        <v>2007.2</v>
      </c>
      <c r="F675" s="98" t="s">
        <v>8</v>
      </c>
      <c r="G675" s="101"/>
      <c r="H675" s="98"/>
      <c r="I675" s="102">
        <v>43462</v>
      </c>
      <c r="J675" s="98" t="s">
        <v>57</v>
      </c>
      <c r="K675" s="98"/>
      <c r="L675" s="98">
        <v>1</v>
      </c>
      <c r="M675" s="98">
        <f t="shared" si="60"/>
        <v>1120</v>
      </c>
      <c r="N675" s="103">
        <f t="shared" si="61"/>
        <v>-3.7815126050420408E-2</v>
      </c>
    </row>
    <row r="676" spans="1:14" s="104" customFormat="1" ht="15" hidden="1" customHeight="1" x14ac:dyDescent="0.2">
      <c r="A676" s="98" t="s">
        <v>277</v>
      </c>
      <c r="B676" s="99" t="s">
        <v>37</v>
      </c>
      <c r="C676" s="99">
        <v>1280</v>
      </c>
      <c r="D676" s="100">
        <v>2000</v>
      </c>
      <c r="E676" s="98">
        <f>2003.4</f>
        <v>2003.4</v>
      </c>
      <c r="F676" s="98" t="s">
        <v>8</v>
      </c>
      <c r="G676" s="101"/>
      <c r="H676" s="98"/>
      <c r="I676" s="102">
        <v>43462</v>
      </c>
      <c r="J676" s="98" t="s">
        <v>57</v>
      </c>
      <c r="K676" s="98"/>
      <c r="L676" s="98">
        <v>1</v>
      </c>
      <c r="M676" s="98">
        <f t="shared" si="60"/>
        <v>1280</v>
      </c>
      <c r="N676" s="103">
        <f t="shared" si="61"/>
        <v>-1.5625000000000416E-2</v>
      </c>
    </row>
    <row r="677" spans="1:14" s="104" customFormat="1" ht="15" hidden="1" customHeight="1" x14ac:dyDescent="0.2">
      <c r="A677" s="98" t="s">
        <v>277</v>
      </c>
      <c r="B677" s="99" t="s">
        <v>37</v>
      </c>
      <c r="C677" s="99">
        <v>1140</v>
      </c>
      <c r="D677" s="100">
        <v>1000</v>
      </c>
      <c r="E677" s="98">
        <f>1029.3</f>
        <v>1029.3</v>
      </c>
      <c r="F677" s="98" t="s">
        <v>8</v>
      </c>
      <c r="G677" s="101" t="s">
        <v>146</v>
      </c>
      <c r="H677" s="98"/>
      <c r="I677" s="102">
        <v>43462</v>
      </c>
      <c r="J677" s="98" t="s">
        <v>57</v>
      </c>
      <c r="K677" s="98"/>
      <c r="L677" s="98">
        <v>1</v>
      </c>
      <c r="M677" s="98">
        <f t="shared" si="60"/>
        <v>1140</v>
      </c>
      <c r="N677" s="103">
        <f t="shared" si="61"/>
        <v>-0.15118679050567571</v>
      </c>
    </row>
    <row r="678" spans="1:14" s="104" customFormat="1" ht="15" hidden="1" customHeight="1" x14ac:dyDescent="0.2">
      <c r="A678" s="98" t="s">
        <v>136</v>
      </c>
      <c r="B678" s="99" t="s">
        <v>39</v>
      </c>
      <c r="C678" s="99">
        <v>1000</v>
      </c>
      <c r="D678" s="100">
        <v>2000</v>
      </c>
      <c r="E678" s="98">
        <f>688.3+1375.3</f>
        <v>2063.6</v>
      </c>
      <c r="F678" s="98" t="s">
        <v>8</v>
      </c>
      <c r="G678" s="101" t="s">
        <v>146</v>
      </c>
      <c r="H678" s="98"/>
      <c r="I678" s="98" t="s">
        <v>280</v>
      </c>
      <c r="J678" s="98" t="s">
        <v>279</v>
      </c>
      <c r="K678" s="98"/>
      <c r="L678" s="98">
        <v>1</v>
      </c>
      <c r="M678" s="98">
        <f t="shared" ref="M678:M687" si="62">L678*C678</f>
        <v>1000</v>
      </c>
      <c r="N678" s="103">
        <f t="shared" ref="N678:N687" si="63">(D678-E678)/(M678*0.17)</f>
        <v>-0.374117647058823</v>
      </c>
    </row>
    <row r="679" spans="1:14" s="104" customFormat="1" ht="15" hidden="1" customHeight="1" x14ac:dyDescent="0.2">
      <c r="A679" s="98" t="s">
        <v>284</v>
      </c>
      <c r="B679" s="99" t="s">
        <v>38</v>
      </c>
      <c r="C679" s="99">
        <v>1050</v>
      </c>
      <c r="D679" s="100">
        <v>5000</v>
      </c>
      <c r="E679" s="98">
        <f>732.3+1024.9+416.5+2046.6+178+781.8</f>
        <v>5180.0999999999995</v>
      </c>
      <c r="F679" s="98" t="s">
        <v>8</v>
      </c>
      <c r="G679" s="101">
        <v>3</v>
      </c>
      <c r="H679" s="98"/>
      <c r="I679" s="102">
        <v>43462</v>
      </c>
      <c r="J679" s="98" t="s">
        <v>57</v>
      </c>
      <c r="K679" s="98"/>
      <c r="L679" s="98">
        <v>1</v>
      </c>
      <c r="M679" s="98">
        <f t="shared" si="62"/>
        <v>1050</v>
      </c>
      <c r="N679" s="103">
        <f t="shared" si="63"/>
        <v>-1.0089635854341705</v>
      </c>
    </row>
    <row r="680" spans="1:14" s="104" customFormat="1" ht="15" hidden="1" customHeight="1" x14ac:dyDescent="0.2">
      <c r="A680" s="98" t="s">
        <v>284</v>
      </c>
      <c r="B680" s="99" t="s">
        <v>38</v>
      </c>
      <c r="C680" s="99">
        <v>1080</v>
      </c>
      <c r="D680" s="100">
        <v>3000</v>
      </c>
      <c r="E680" s="98">
        <f>1764.9+1313.7</f>
        <v>3078.6000000000004</v>
      </c>
      <c r="F680" s="98" t="s">
        <v>8</v>
      </c>
      <c r="G680" s="101" t="s">
        <v>146</v>
      </c>
      <c r="H680" s="98"/>
      <c r="I680" s="102">
        <v>43462</v>
      </c>
      <c r="J680" s="98" t="s">
        <v>57</v>
      </c>
      <c r="K680" s="98"/>
      <c r="L680" s="98">
        <v>1</v>
      </c>
      <c r="M680" s="98">
        <f t="shared" si="62"/>
        <v>1080</v>
      </c>
      <c r="N680" s="103">
        <f t="shared" si="63"/>
        <v>-0.42810457516340061</v>
      </c>
    </row>
    <row r="681" spans="1:14" s="104" customFormat="1" ht="15" hidden="1" customHeight="1" x14ac:dyDescent="0.2">
      <c r="A681" s="98" t="s">
        <v>284</v>
      </c>
      <c r="B681" s="99" t="s">
        <v>38</v>
      </c>
      <c r="C681" s="99">
        <v>1220</v>
      </c>
      <c r="D681" s="100">
        <v>1000</v>
      </c>
      <c r="E681" s="98">
        <f>1005.2</f>
        <v>1005.2</v>
      </c>
      <c r="F681" s="98" t="s">
        <v>8</v>
      </c>
      <c r="G681" s="101">
        <v>3</v>
      </c>
      <c r="H681" s="98"/>
      <c r="I681" s="102">
        <v>43462</v>
      </c>
      <c r="J681" s="98" t="s">
        <v>57</v>
      </c>
      <c r="K681" s="98"/>
      <c r="L681" s="98">
        <v>1</v>
      </c>
      <c r="M681" s="98">
        <f t="shared" si="62"/>
        <v>1220</v>
      </c>
      <c r="N681" s="103">
        <f t="shared" si="63"/>
        <v>-2.5072324011572059E-2</v>
      </c>
    </row>
    <row r="682" spans="1:14" s="104" customFormat="1" ht="15" hidden="1" customHeight="1" x14ac:dyDescent="0.2">
      <c r="A682" s="98" t="s">
        <v>284</v>
      </c>
      <c r="B682" s="99" t="s">
        <v>38</v>
      </c>
      <c r="C682" s="99">
        <v>1200</v>
      </c>
      <c r="D682" s="100">
        <v>2500</v>
      </c>
      <c r="E682" s="98">
        <f>2152.9+416.1</f>
        <v>2569</v>
      </c>
      <c r="F682" s="98" t="s">
        <v>8</v>
      </c>
      <c r="G682" s="101" t="s">
        <v>146</v>
      </c>
      <c r="H682" s="98"/>
      <c r="I682" s="102">
        <v>43462</v>
      </c>
      <c r="J682" s="98" t="s">
        <v>57</v>
      </c>
      <c r="K682" s="98"/>
      <c r="L682" s="98">
        <v>1</v>
      </c>
      <c r="M682" s="98">
        <f t="shared" si="62"/>
        <v>1200</v>
      </c>
      <c r="N682" s="103">
        <f t="shared" si="63"/>
        <v>-0.33823529411764702</v>
      </c>
    </row>
    <row r="683" spans="1:14" s="104" customFormat="1" ht="15" hidden="1" customHeight="1" x14ac:dyDescent="0.2">
      <c r="A683" s="98" t="s">
        <v>284</v>
      </c>
      <c r="B683" s="99" t="s">
        <v>38</v>
      </c>
      <c r="C683" s="99">
        <v>1175</v>
      </c>
      <c r="D683" s="100">
        <v>1000</v>
      </c>
      <c r="E683" s="98">
        <f>1004.6</f>
        <v>1004.6</v>
      </c>
      <c r="F683" s="98" t="s">
        <v>8</v>
      </c>
      <c r="G683" s="101">
        <v>3</v>
      </c>
      <c r="H683" s="98"/>
      <c r="I683" s="102">
        <v>43462</v>
      </c>
      <c r="J683" s="98" t="s">
        <v>57</v>
      </c>
      <c r="K683" s="98"/>
      <c r="L683" s="98">
        <v>1</v>
      </c>
      <c r="M683" s="98">
        <f t="shared" si="62"/>
        <v>1175</v>
      </c>
      <c r="N683" s="103">
        <f t="shared" si="63"/>
        <v>-2.3028785982478209E-2</v>
      </c>
    </row>
    <row r="684" spans="1:14" s="104" customFormat="1" ht="15" hidden="1" customHeight="1" x14ac:dyDescent="0.2">
      <c r="A684" s="98" t="s">
        <v>284</v>
      </c>
      <c r="B684" s="99" t="s">
        <v>38</v>
      </c>
      <c r="C684" s="99">
        <v>900</v>
      </c>
      <c r="D684" s="100">
        <v>1500</v>
      </c>
      <c r="E684" s="98">
        <f>482.3+1034.2</f>
        <v>1516.5</v>
      </c>
      <c r="F684" s="98" t="s">
        <v>8</v>
      </c>
      <c r="G684" s="101">
        <v>3</v>
      </c>
      <c r="H684" s="98"/>
      <c r="I684" s="102">
        <v>43462</v>
      </c>
      <c r="J684" s="98" t="s">
        <v>57</v>
      </c>
      <c r="K684" s="98"/>
      <c r="L684" s="98">
        <v>1</v>
      </c>
      <c r="M684" s="98">
        <f t="shared" si="62"/>
        <v>900</v>
      </c>
      <c r="N684" s="103">
        <f t="shared" si="63"/>
        <v>-0.10784313725490197</v>
      </c>
    </row>
    <row r="685" spans="1:14" s="104" customFormat="1" ht="15" hidden="1" customHeight="1" x14ac:dyDescent="0.2">
      <c r="A685" s="98" t="s">
        <v>284</v>
      </c>
      <c r="B685" s="99" t="s">
        <v>38</v>
      </c>
      <c r="C685" s="99">
        <v>1020</v>
      </c>
      <c r="D685" s="100">
        <v>1000</v>
      </c>
      <c r="E685" s="98">
        <f>1004.4</f>
        <v>1004.4</v>
      </c>
      <c r="F685" s="98" t="s">
        <v>8</v>
      </c>
      <c r="G685" s="101">
        <v>3</v>
      </c>
      <c r="H685" s="98"/>
      <c r="I685" s="102">
        <v>43462</v>
      </c>
      <c r="J685" s="98" t="s">
        <v>57</v>
      </c>
      <c r="K685" s="98"/>
      <c r="L685" s="98">
        <v>1</v>
      </c>
      <c r="M685" s="98">
        <f t="shared" si="62"/>
        <v>1020</v>
      </c>
      <c r="N685" s="103">
        <f t="shared" si="63"/>
        <v>-2.5374855824682681E-2</v>
      </c>
    </row>
    <row r="686" spans="1:14" s="104" customFormat="1" ht="15" hidden="1" customHeight="1" x14ac:dyDescent="0.2">
      <c r="A686" s="98" t="s">
        <v>284</v>
      </c>
      <c r="B686" s="99" t="s">
        <v>38</v>
      </c>
      <c r="C686" s="99">
        <v>1180</v>
      </c>
      <c r="D686" s="100">
        <v>2000</v>
      </c>
      <c r="E686" s="98">
        <f>2004</f>
        <v>2004</v>
      </c>
      <c r="F686" s="98" t="s">
        <v>8</v>
      </c>
      <c r="G686" s="101">
        <v>3</v>
      </c>
      <c r="H686" s="98"/>
      <c r="I686" s="102">
        <v>43462</v>
      </c>
      <c r="J686" s="98" t="s">
        <v>57</v>
      </c>
      <c r="K686" s="98"/>
      <c r="L686" s="98">
        <v>1</v>
      </c>
      <c r="M686" s="98">
        <f t="shared" si="62"/>
        <v>1180</v>
      </c>
      <c r="N686" s="103">
        <f t="shared" si="63"/>
        <v>-1.9940179461615151E-2</v>
      </c>
    </row>
    <row r="687" spans="1:14" s="104" customFormat="1" ht="15" hidden="1" customHeight="1" x14ac:dyDescent="0.2">
      <c r="A687" s="98" t="s">
        <v>284</v>
      </c>
      <c r="B687" s="99" t="s">
        <v>38</v>
      </c>
      <c r="C687" s="99">
        <v>1320</v>
      </c>
      <c r="D687" s="100">
        <v>1500</v>
      </c>
      <c r="E687" s="98">
        <f>1599.4</f>
        <v>1599.4</v>
      </c>
      <c r="F687" s="98" t="s">
        <v>8</v>
      </c>
      <c r="G687" s="101" t="s">
        <v>146</v>
      </c>
      <c r="H687" s="98"/>
      <c r="I687" s="102">
        <v>43462</v>
      </c>
      <c r="J687" s="98" t="s">
        <v>57</v>
      </c>
      <c r="K687" s="98"/>
      <c r="L687" s="98">
        <v>1</v>
      </c>
      <c r="M687" s="98">
        <f t="shared" si="62"/>
        <v>1320</v>
      </c>
      <c r="N687" s="103">
        <f t="shared" si="63"/>
        <v>-0.44295900178253161</v>
      </c>
    </row>
    <row r="688" spans="1:14" s="104" customFormat="1" ht="15" hidden="1" customHeight="1" x14ac:dyDescent="0.2">
      <c r="A688" s="98" t="s">
        <v>285</v>
      </c>
      <c r="B688" s="99" t="s">
        <v>39</v>
      </c>
      <c r="C688" s="91">
        <v>148</v>
      </c>
      <c r="D688" s="100">
        <v>400</v>
      </c>
      <c r="E688" s="98">
        <f>406</f>
        <v>406</v>
      </c>
      <c r="F688" s="98" t="s">
        <v>8</v>
      </c>
      <c r="G688" s="101" t="s">
        <v>146</v>
      </c>
      <c r="H688" s="98"/>
      <c r="I688" s="98"/>
      <c r="J688" s="98"/>
      <c r="K688" s="98"/>
      <c r="L688" s="98">
        <v>5</v>
      </c>
      <c r="M688" s="98">
        <f>L688*C688</f>
        <v>740</v>
      </c>
      <c r="N688" s="103">
        <f t="shared" ref="N688:N706" si="64">(D688-E688)/(M688*0.17)</f>
        <v>-4.7694753577106515E-2</v>
      </c>
    </row>
    <row r="689" spans="1:14" s="96" customFormat="1" ht="15" hidden="1" customHeight="1" x14ac:dyDescent="0.2">
      <c r="A689" s="90" t="s">
        <v>286</v>
      </c>
      <c r="B689" s="91" t="s">
        <v>40</v>
      </c>
      <c r="C689" s="91">
        <v>1000</v>
      </c>
      <c r="D689" s="92">
        <v>500</v>
      </c>
      <c r="E689" s="90">
        <f>449.5</f>
        <v>449.5</v>
      </c>
      <c r="F689" s="90" t="s">
        <v>8</v>
      </c>
      <c r="G689" s="93" t="s">
        <v>146</v>
      </c>
      <c r="H689" s="90"/>
      <c r="I689" s="94">
        <v>43462</v>
      </c>
      <c r="J689" s="90" t="s">
        <v>13</v>
      </c>
      <c r="K689" s="90"/>
      <c r="L689" s="90">
        <v>1</v>
      </c>
      <c r="M689" s="90">
        <f>L689*C689</f>
        <v>1000</v>
      </c>
      <c r="N689" s="95">
        <f t="shared" si="64"/>
        <v>0.29705882352941176</v>
      </c>
    </row>
    <row r="690" spans="1:14" s="96" customFormat="1" ht="15" hidden="1" customHeight="1" x14ac:dyDescent="0.2">
      <c r="A690" s="90" t="s">
        <v>286</v>
      </c>
      <c r="B690" s="91" t="s">
        <v>40</v>
      </c>
      <c r="C690" s="91">
        <v>1200</v>
      </c>
      <c r="D690" s="92">
        <v>2000</v>
      </c>
      <c r="E690" s="90">
        <f>557.2+1636.6</f>
        <v>2193.8000000000002</v>
      </c>
      <c r="F690" s="90" t="s">
        <v>8</v>
      </c>
      <c r="G690" s="93" t="s">
        <v>146</v>
      </c>
      <c r="H690" s="90"/>
      <c r="I690" s="94">
        <v>43462</v>
      </c>
      <c r="J690" s="90" t="s">
        <v>13</v>
      </c>
      <c r="K690" s="90"/>
      <c r="L690" s="90">
        <v>1</v>
      </c>
      <c r="M690" s="90">
        <f>L690*C690</f>
        <v>1200</v>
      </c>
      <c r="N690" s="95">
        <f t="shared" si="64"/>
        <v>-0.95000000000000073</v>
      </c>
    </row>
    <row r="691" spans="1:14" s="96" customFormat="1" ht="15" hidden="1" customHeight="1" x14ac:dyDescent="0.2">
      <c r="A691" s="90" t="s">
        <v>286</v>
      </c>
      <c r="B691" s="91" t="s">
        <v>39</v>
      </c>
      <c r="C691" s="91">
        <v>640</v>
      </c>
      <c r="D691" s="92">
        <v>500</v>
      </c>
      <c r="E691" s="90">
        <f>512.8</f>
        <v>512.79999999999995</v>
      </c>
      <c r="F691" s="90" t="s">
        <v>8</v>
      </c>
      <c r="G691" s="93" t="s">
        <v>146</v>
      </c>
      <c r="H691" s="90"/>
      <c r="I691" s="94">
        <v>43462</v>
      </c>
      <c r="J691" s="90" t="s">
        <v>13</v>
      </c>
      <c r="K691" s="90"/>
      <c r="L691" s="90">
        <v>2</v>
      </c>
      <c r="M691" s="90">
        <f t="shared" ref="M691:M699" si="65">L691*C691</f>
        <v>1280</v>
      </c>
      <c r="N691" s="95">
        <f t="shared" si="64"/>
        <v>-5.882352941176449E-2</v>
      </c>
    </row>
    <row r="692" spans="1:14" s="96" customFormat="1" ht="15" hidden="1" customHeight="1" x14ac:dyDescent="0.2">
      <c r="A692" s="90" t="s">
        <v>286</v>
      </c>
      <c r="B692" s="91" t="s">
        <v>39</v>
      </c>
      <c r="C692" s="91">
        <v>700</v>
      </c>
      <c r="D692" s="92">
        <v>2000</v>
      </c>
      <c r="E692" s="90">
        <f>2098.7</f>
        <v>2098.6999999999998</v>
      </c>
      <c r="F692" s="90" t="s">
        <v>8</v>
      </c>
      <c r="G692" s="93">
        <v>1</v>
      </c>
      <c r="H692" s="90"/>
      <c r="I692" s="94">
        <v>43462</v>
      </c>
      <c r="J692" s="90" t="s">
        <v>13</v>
      </c>
      <c r="K692" s="90"/>
      <c r="L692" s="90">
        <v>1</v>
      </c>
      <c r="M692" s="90">
        <f t="shared" si="65"/>
        <v>700</v>
      </c>
      <c r="N692" s="95">
        <f t="shared" si="64"/>
        <v>-0.82941176470588074</v>
      </c>
    </row>
    <row r="693" spans="1:14" s="96" customFormat="1" ht="15" hidden="1" customHeight="1" x14ac:dyDescent="0.2">
      <c r="A693" s="90" t="s">
        <v>286</v>
      </c>
      <c r="B693" s="91" t="s">
        <v>39</v>
      </c>
      <c r="C693" s="91">
        <v>800</v>
      </c>
      <c r="D693" s="92">
        <v>2000</v>
      </c>
      <c r="E693" s="90">
        <f>1138.8+960</f>
        <v>2098.8000000000002</v>
      </c>
      <c r="F693" s="90" t="s">
        <v>8</v>
      </c>
      <c r="G693" s="93" t="s">
        <v>146</v>
      </c>
      <c r="H693" s="90"/>
      <c r="I693" s="94">
        <v>43462</v>
      </c>
      <c r="J693" s="90" t="s">
        <v>13</v>
      </c>
      <c r="K693" s="90"/>
      <c r="L693" s="90">
        <v>1</v>
      </c>
      <c r="M693" s="90">
        <f t="shared" si="65"/>
        <v>800</v>
      </c>
      <c r="N693" s="95">
        <f t="shared" si="64"/>
        <v>-0.72647058823529542</v>
      </c>
    </row>
    <row r="694" spans="1:14" s="96" customFormat="1" ht="15" hidden="1" customHeight="1" x14ac:dyDescent="0.2">
      <c r="A694" s="90" t="s">
        <v>286</v>
      </c>
      <c r="B694" s="91" t="s">
        <v>39</v>
      </c>
      <c r="C694" s="91">
        <v>900</v>
      </c>
      <c r="D694" s="92">
        <v>2000</v>
      </c>
      <c r="E694" s="90">
        <f>414+1649.4</f>
        <v>2063.4</v>
      </c>
      <c r="F694" s="90" t="s">
        <v>8</v>
      </c>
      <c r="G694" s="93" t="s">
        <v>146</v>
      </c>
      <c r="H694" s="90"/>
      <c r="I694" s="94">
        <v>43462</v>
      </c>
      <c r="J694" s="90" t="s">
        <v>13</v>
      </c>
      <c r="K694" s="90"/>
      <c r="L694" s="90">
        <v>1</v>
      </c>
      <c r="M694" s="90">
        <f t="shared" si="65"/>
        <v>900</v>
      </c>
      <c r="N694" s="95">
        <f t="shared" si="64"/>
        <v>-0.41437908496732084</v>
      </c>
    </row>
    <row r="695" spans="1:14" s="60" customFormat="1" ht="15" hidden="1" customHeight="1" x14ac:dyDescent="0.2">
      <c r="A695" s="55" t="s">
        <v>286</v>
      </c>
      <c r="B695" s="54" t="s">
        <v>39</v>
      </c>
      <c r="C695" s="54">
        <v>1000</v>
      </c>
      <c r="D695" s="56">
        <v>2000</v>
      </c>
      <c r="E695" s="55">
        <f>1548.1+564.3</f>
        <v>2112.3999999999996</v>
      </c>
      <c r="F695" s="55" t="s">
        <v>8</v>
      </c>
      <c r="G695" s="57"/>
      <c r="H695" s="55"/>
      <c r="I695" s="58">
        <v>43462</v>
      </c>
      <c r="J695" s="55" t="s">
        <v>13</v>
      </c>
      <c r="K695" s="55"/>
      <c r="L695" s="55">
        <v>1</v>
      </c>
      <c r="M695" s="55">
        <f t="shared" si="65"/>
        <v>1000</v>
      </c>
      <c r="N695" s="59">
        <f t="shared" si="64"/>
        <v>-0.66117647058823314</v>
      </c>
    </row>
    <row r="696" spans="1:14" s="96" customFormat="1" ht="15" hidden="1" customHeight="1" x14ac:dyDescent="0.2">
      <c r="A696" s="90" t="s">
        <v>286</v>
      </c>
      <c r="B696" s="91" t="s">
        <v>39</v>
      </c>
      <c r="C696" s="91">
        <v>1040</v>
      </c>
      <c r="D696" s="92">
        <v>1000</v>
      </c>
      <c r="E696" s="90">
        <f>216.4+855.7</f>
        <v>1072.1000000000001</v>
      </c>
      <c r="F696" s="90" t="s">
        <v>8</v>
      </c>
      <c r="G696" s="93" t="s">
        <v>146</v>
      </c>
      <c r="H696" s="90"/>
      <c r="I696" s="94">
        <v>43462</v>
      </c>
      <c r="J696" s="90" t="s">
        <v>13</v>
      </c>
      <c r="K696" s="90"/>
      <c r="L696" s="90">
        <v>1</v>
      </c>
      <c r="M696" s="90">
        <f t="shared" si="65"/>
        <v>1040</v>
      </c>
      <c r="N696" s="95">
        <f t="shared" si="64"/>
        <v>-0.40780542986425417</v>
      </c>
    </row>
    <row r="697" spans="1:14" s="96" customFormat="1" ht="15" hidden="1" customHeight="1" x14ac:dyDescent="0.2">
      <c r="A697" s="90" t="s">
        <v>286</v>
      </c>
      <c r="B697" s="91" t="s">
        <v>39</v>
      </c>
      <c r="C697" s="91">
        <v>860</v>
      </c>
      <c r="D697" s="92">
        <v>1000</v>
      </c>
      <c r="E697" s="90">
        <f>197.1+789.1</f>
        <v>986.2</v>
      </c>
      <c r="F697" s="90" t="s">
        <v>8</v>
      </c>
      <c r="G697" s="93" t="s">
        <v>146</v>
      </c>
      <c r="H697" s="90"/>
      <c r="I697" s="94">
        <v>43462</v>
      </c>
      <c r="J697" s="90" t="s">
        <v>13</v>
      </c>
      <c r="K697" s="90"/>
      <c r="L697" s="90">
        <v>1</v>
      </c>
      <c r="M697" s="90">
        <f t="shared" si="65"/>
        <v>860</v>
      </c>
      <c r="N697" s="95">
        <f t="shared" si="64"/>
        <v>9.4391244870040719E-2</v>
      </c>
    </row>
    <row r="698" spans="1:14" s="96" customFormat="1" ht="15" hidden="1" customHeight="1" x14ac:dyDescent="0.2">
      <c r="A698" s="90" t="s">
        <v>286</v>
      </c>
      <c r="B698" s="91" t="s">
        <v>39</v>
      </c>
      <c r="C698" s="91">
        <v>1200</v>
      </c>
      <c r="D698" s="92">
        <v>2000</v>
      </c>
      <c r="E698" s="90">
        <f>1977.2</f>
        <v>1977.2</v>
      </c>
      <c r="F698" s="90" t="s">
        <v>8</v>
      </c>
      <c r="G698" s="93"/>
      <c r="H698" s="90"/>
      <c r="I698" s="94">
        <v>43462</v>
      </c>
      <c r="J698" s="90" t="s">
        <v>13</v>
      </c>
      <c r="K698" s="90"/>
      <c r="L698" s="90">
        <v>1</v>
      </c>
      <c r="M698" s="90">
        <f t="shared" si="65"/>
        <v>1200</v>
      </c>
      <c r="N698" s="95">
        <f t="shared" si="64"/>
        <v>0.1117647058823527</v>
      </c>
    </row>
    <row r="699" spans="1:14" s="96" customFormat="1" ht="15" hidden="1" customHeight="1" x14ac:dyDescent="0.2">
      <c r="A699" s="90" t="s">
        <v>286</v>
      </c>
      <c r="B699" s="91" t="s">
        <v>39</v>
      </c>
      <c r="C699" s="91">
        <v>880</v>
      </c>
      <c r="D699" s="92">
        <v>500</v>
      </c>
      <c r="E699" s="90">
        <f>527.3</f>
        <v>527.29999999999995</v>
      </c>
      <c r="F699" s="90" t="s">
        <v>8</v>
      </c>
      <c r="G699" s="93" t="s">
        <v>146</v>
      </c>
      <c r="H699" s="90"/>
      <c r="I699" s="94">
        <v>43462</v>
      </c>
      <c r="J699" s="90" t="s">
        <v>13</v>
      </c>
      <c r="K699" s="90"/>
      <c r="L699" s="90">
        <v>1</v>
      </c>
      <c r="M699" s="90">
        <f t="shared" si="65"/>
        <v>880</v>
      </c>
      <c r="N699" s="95">
        <f t="shared" si="64"/>
        <v>-0.18248663101604246</v>
      </c>
    </row>
    <row r="700" spans="1:14" s="104" customFormat="1" ht="15" hidden="1" customHeight="1" x14ac:dyDescent="0.2">
      <c r="A700" s="98" t="s">
        <v>286</v>
      </c>
      <c r="B700" s="99" t="s">
        <v>37</v>
      </c>
      <c r="C700" s="99">
        <v>1000</v>
      </c>
      <c r="D700" s="100">
        <v>1000</v>
      </c>
      <c r="E700" s="98">
        <f>947.2</f>
        <v>947.2</v>
      </c>
      <c r="F700" s="98" t="s">
        <v>8</v>
      </c>
      <c r="G700" s="101"/>
      <c r="H700" s="98"/>
      <c r="I700" s="102">
        <v>43462</v>
      </c>
      <c r="J700" s="98" t="s">
        <v>13</v>
      </c>
      <c r="K700" s="98"/>
      <c r="L700" s="98">
        <v>1</v>
      </c>
      <c r="M700" s="98">
        <f t="shared" ref="M700:M706" si="66">L700*C700</f>
        <v>1000</v>
      </c>
      <c r="N700" s="103">
        <f t="shared" si="64"/>
        <v>0.31058823529411739</v>
      </c>
    </row>
    <row r="701" spans="1:14" s="104" customFormat="1" ht="15" hidden="1" customHeight="1" x14ac:dyDescent="0.2">
      <c r="A701" s="98" t="s">
        <v>286</v>
      </c>
      <c r="B701" s="99" t="s">
        <v>37</v>
      </c>
      <c r="C701" s="99">
        <v>1200</v>
      </c>
      <c r="D701" s="100">
        <v>2000</v>
      </c>
      <c r="E701" s="98">
        <f>1299.4+774.6</f>
        <v>2074</v>
      </c>
      <c r="F701" s="98" t="s">
        <v>8</v>
      </c>
      <c r="G701" s="101"/>
      <c r="H701" s="98"/>
      <c r="I701" s="102">
        <v>43462</v>
      </c>
      <c r="J701" s="98" t="s">
        <v>13</v>
      </c>
      <c r="K701" s="98"/>
      <c r="L701" s="98">
        <v>1</v>
      </c>
      <c r="M701" s="98">
        <f t="shared" si="66"/>
        <v>1200</v>
      </c>
      <c r="N701" s="103">
        <f t="shared" si="64"/>
        <v>-0.36274509803921562</v>
      </c>
    </row>
    <row r="702" spans="1:14" s="104" customFormat="1" ht="15" hidden="1" customHeight="1" x14ac:dyDescent="0.2">
      <c r="A702" s="98" t="s">
        <v>286</v>
      </c>
      <c r="B702" s="99" t="s">
        <v>37</v>
      </c>
      <c r="C702" s="99">
        <v>1160</v>
      </c>
      <c r="D702" s="100">
        <v>1000</v>
      </c>
      <c r="E702" s="98">
        <f>1052.7</f>
        <v>1052.7</v>
      </c>
      <c r="F702" s="98" t="s">
        <v>8</v>
      </c>
      <c r="G702" s="101" t="s">
        <v>146</v>
      </c>
      <c r="H702" s="98"/>
      <c r="I702" s="102">
        <v>43462</v>
      </c>
      <c r="J702" s="98" t="s">
        <v>13</v>
      </c>
      <c r="K702" s="98"/>
      <c r="L702" s="98">
        <v>1</v>
      </c>
      <c r="M702" s="98">
        <f t="shared" si="66"/>
        <v>1160</v>
      </c>
      <c r="N702" s="103">
        <f t="shared" si="64"/>
        <v>-0.26724137931034503</v>
      </c>
    </row>
    <row r="703" spans="1:14" s="104" customFormat="1" ht="15" hidden="1" customHeight="1" x14ac:dyDescent="0.2">
      <c r="A703" s="98" t="s">
        <v>286</v>
      </c>
      <c r="B703" s="99" t="s">
        <v>38</v>
      </c>
      <c r="C703" s="99">
        <v>760</v>
      </c>
      <c r="D703" s="100">
        <v>1000</v>
      </c>
      <c r="E703" s="98">
        <f>971.5</f>
        <v>971.5</v>
      </c>
      <c r="F703" s="98" t="s">
        <v>8</v>
      </c>
      <c r="G703" s="101"/>
      <c r="H703" s="98"/>
      <c r="I703" s="102">
        <v>43462</v>
      </c>
      <c r="J703" s="98" t="s">
        <v>13</v>
      </c>
      <c r="K703" s="98"/>
      <c r="L703" s="98">
        <v>1</v>
      </c>
      <c r="M703" s="98">
        <f t="shared" si="66"/>
        <v>760</v>
      </c>
      <c r="N703" s="103">
        <f t="shared" si="64"/>
        <v>0.22058823529411761</v>
      </c>
    </row>
    <row r="704" spans="1:14" s="60" customFormat="1" ht="15" hidden="1" customHeight="1" x14ac:dyDescent="0.2">
      <c r="A704" s="55" t="s">
        <v>286</v>
      </c>
      <c r="B704" s="54" t="s">
        <v>36</v>
      </c>
      <c r="C704" s="54">
        <v>760</v>
      </c>
      <c r="D704" s="56">
        <v>2000</v>
      </c>
      <c r="E704" s="55">
        <f>2045.3</f>
        <v>2045.3</v>
      </c>
      <c r="F704" s="55" t="s">
        <v>8</v>
      </c>
      <c r="G704" s="57" t="s">
        <v>146</v>
      </c>
      <c r="H704" s="55"/>
      <c r="I704" s="58">
        <v>43462</v>
      </c>
      <c r="J704" s="55" t="s">
        <v>13</v>
      </c>
      <c r="K704" s="55"/>
      <c r="L704" s="55">
        <v>1</v>
      </c>
      <c r="M704" s="55">
        <f t="shared" si="66"/>
        <v>760</v>
      </c>
      <c r="N704" s="59">
        <f t="shared" si="64"/>
        <v>-0.35061919504643924</v>
      </c>
    </row>
    <row r="705" spans="1:14" s="60" customFormat="1" ht="15" hidden="1" customHeight="1" x14ac:dyDescent="0.2">
      <c r="A705" s="55" t="s">
        <v>286</v>
      </c>
      <c r="B705" s="54" t="s">
        <v>36</v>
      </c>
      <c r="C705" s="54">
        <v>900</v>
      </c>
      <c r="D705" s="56">
        <v>1500</v>
      </c>
      <c r="E705" s="55">
        <f>1558</f>
        <v>1558</v>
      </c>
      <c r="F705" s="55" t="s">
        <v>8</v>
      </c>
      <c r="G705" s="57" t="s">
        <v>146</v>
      </c>
      <c r="H705" s="55"/>
      <c r="I705" s="58">
        <v>43462</v>
      </c>
      <c r="J705" s="55" t="s">
        <v>13</v>
      </c>
      <c r="K705" s="55"/>
      <c r="L705" s="55">
        <v>1</v>
      </c>
      <c r="M705" s="55">
        <f t="shared" si="66"/>
        <v>900</v>
      </c>
      <c r="N705" s="59">
        <f t="shared" si="64"/>
        <v>-0.37908496732026142</v>
      </c>
    </row>
    <row r="706" spans="1:14" s="60" customFormat="1" ht="15" hidden="1" customHeight="1" x14ac:dyDescent="0.2">
      <c r="A706" s="55" t="s">
        <v>286</v>
      </c>
      <c r="B706" s="54" t="s">
        <v>36</v>
      </c>
      <c r="C706" s="54">
        <v>720</v>
      </c>
      <c r="D706" s="56">
        <v>1000</v>
      </c>
      <c r="E706" s="55">
        <f>490.6+509.1</f>
        <v>999.7</v>
      </c>
      <c r="F706" s="55" t="s">
        <v>8</v>
      </c>
      <c r="G706" s="57" t="s">
        <v>146</v>
      </c>
      <c r="H706" s="55"/>
      <c r="I706" s="58">
        <v>43462</v>
      </c>
      <c r="J706" s="55" t="s">
        <v>13</v>
      </c>
      <c r="K706" s="55"/>
      <c r="L706" s="55">
        <v>1</v>
      </c>
      <c r="M706" s="55">
        <f t="shared" si="66"/>
        <v>720</v>
      </c>
      <c r="N706" s="59">
        <f t="shared" si="64"/>
        <v>2.450980392156491E-3</v>
      </c>
    </row>
    <row r="707" spans="1:14" s="60" customFormat="1" ht="15" hidden="1" customHeight="1" x14ac:dyDescent="0.2">
      <c r="A707" s="55" t="s">
        <v>106</v>
      </c>
      <c r="B707" s="54" t="s">
        <v>37</v>
      </c>
      <c r="C707" s="54">
        <v>1200</v>
      </c>
      <c r="D707" s="56">
        <v>2000</v>
      </c>
      <c r="E707" s="55">
        <f>2058.4</f>
        <v>2058.4</v>
      </c>
      <c r="F707" s="55" t="s">
        <v>8</v>
      </c>
      <c r="G707" s="57"/>
      <c r="H707" s="55"/>
      <c r="I707" s="58">
        <v>43462</v>
      </c>
      <c r="J707" s="55" t="s">
        <v>4</v>
      </c>
      <c r="K707" s="55"/>
      <c r="L707" s="55">
        <v>1</v>
      </c>
      <c r="M707" s="55">
        <f t="shared" ref="M707:M726" si="67">L707*C707</f>
        <v>1200</v>
      </c>
      <c r="N707" s="59">
        <f t="shared" ref="N707:N726" si="68">(D707-E707)/(M707*0.17)</f>
        <v>-0.28627450980392199</v>
      </c>
    </row>
    <row r="708" spans="1:14" s="104" customFormat="1" ht="15" hidden="1" customHeight="1" x14ac:dyDescent="0.2">
      <c r="A708" s="98" t="s">
        <v>287</v>
      </c>
      <c r="B708" s="99" t="s">
        <v>37</v>
      </c>
      <c r="C708" s="99">
        <v>230</v>
      </c>
      <c r="D708" s="100">
        <v>100</v>
      </c>
      <c r="E708" s="98">
        <f>107.2</f>
        <v>107.2</v>
      </c>
      <c r="F708" s="98" t="s">
        <v>8</v>
      </c>
      <c r="G708" s="101"/>
      <c r="H708" s="98"/>
      <c r="I708" s="102">
        <v>43463</v>
      </c>
      <c r="J708" s="98" t="s">
        <v>288</v>
      </c>
      <c r="K708" s="98"/>
      <c r="L708" s="98">
        <v>4</v>
      </c>
      <c r="M708" s="98">
        <f t="shared" si="67"/>
        <v>920</v>
      </c>
      <c r="N708" s="103">
        <f t="shared" si="68"/>
        <v>-4.6035805626598481E-2</v>
      </c>
    </row>
    <row r="709" spans="1:14" s="104" customFormat="1" ht="15" hidden="1" customHeight="1" x14ac:dyDescent="0.2">
      <c r="A709" s="98" t="s">
        <v>289</v>
      </c>
      <c r="B709" s="99" t="s">
        <v>37</v>
      </c>
      <c r="C709" s="99">
        <v>350</v>
      </c>
      <c r="D709" s="100">
        <v>300</v>
      </c>
      <c r="E709" s="98">
        <f>294.4</f>
        <v>294.39999999999998</v>
      </c>
      <c r="F709" s="98" t="s">
        <v>8</v>
      </c>
      <c r="G709" s="101" t="s">
        <v>146</v>
      </c>
      <c r="H709" s="98"/>
      <c r="I709" s="102">
        <v>43463</v>
      </c>
      <c r="J709" s="98" t="s">
        <v>290</v>
      </c>
      <c r="K709" s="98"/>
      <c r="L709" s="98">
        <v>3</v>
      </c>
      <c r="M709" s="98">
        <f t="shared" si="67"/>
        <v>1050</v>
      </c>
      <c r="N709" s="103">
        <f t="shared" si="68"/>
        <v>3.1372549019607968E-2</v>
      </c>
    </row>
    <row r="710" spans="1:14" s="96" customFormat="1" ht="15" hidden="1" customHeight="1" x14ac:dyDescent="0.2">
      <c r="A710" s="90" t="s">
        <v>291</v>
      </c>
      <c r="B710" s="91" t="s">
        <v>40</v>
      </c>
      <c r="C710" s="91">
        <v>120</v>
      </c>
      <c r="D710" s="92">
        <v>500</v>
      </c>
      <c r="E710" s="90">
        <f>553.9</f>
        <v>553.9</v>
      </c>
      <c r="F710" s="90" t="s">
        <v>8</v>
      </c>
      <c r="G710" s="93" t="s">
        <v>146</v>
      </c>
      <c r="H710" s="90"/>
      <c r="I710" s="94">
        <v>43463</v>
      </c>
      <c r="J710" s="90" t="s">
        <v>292</v>
      </c>
      <c r="K710" s="90"/>
      <c r="L710" s="90">
        <v>7</v>
      </c>
      <c r="M710" s="90">
        <f t="shared" si="67"/>
        <v>840</v>
      </c>
      <c r="N710" s="95">
        <f t="shared" si="68"/>
        <v>-0.37745098039215669</v>
      </c>
    </row>
    <row r="711" spans="1:14" s="60" customFormat="1" ht="15" hidden="1" customHeight="1" x14ac:dyDescent="0.2">
      <c r="A711" s="55" t="s">
        <v>293</v>
      </c>
      <c r="B711" s="54" t="s">
        <v>36</v>
      </c>
      <c r="C711" s="54">
        <v>700</v>
      </c>
      <c r="D711" s="56">
        <v>700</v>
      </c>
      <c r="E711" s="55">
        <f>358.6+356.5</f>
        <v>715.1</v>
      </c>
      <c r="F711" s="55" t="s">
        <v>8</v>
      </c>
      <c r="G711" s="57" t="s">
        <v>146</v>
      </c>
      <c r="H711" s="111" t="s">
        <v>323</v>
      </c>
      <c r="I711" s="58">
        <v>43463</v>
      </c>
      <c r="J711" s="55" t="s">
        <v>294</v>
      </c>
      <c r="K711" s="55"/>
      <c r="L711" s="55">
        <v>1</v>
      </c>
      <c r="M711" s="55">
        <f t="shared" si="67"/>
        <v>700</v>
      </c>
      <c r="N711" s="59">
        <f t="shared" si="68"/>
        <v>-0.1268907563025212</v>
      </c>
    </row>
    <row r="712" spans="1:14" s="60" customFormat="1" ht="15" hidden="1" customHeight="1" x14ac:dyDescent="0.2">
      <c r="A712" s="55" t="s">
        <v>293</v>
      </c>
      <c r="B712" s="54" t="s">
        <v>36</v>
      </c>
      <c r="C712" s="54">
        <v>600</v>
      </c>
      <c r="D712" s="56">
        <v>600</v>
      </c>
      <c r="E712" s="55">
        <f>307.7+305.9</f>
        <v>613.59999999999991</v>
      </c>
      <c r="F712" s="55" t="s">
        <v>8</v>
      </c>
      <c r="G712" s="57" t="s">
        <v>146</v>
      </c>
      <c r="H712" s="111" t="s">
        <v>323</v>
      </c>
      <c r="I712" s="58">
        <v>43463</v>
      </c>
      <c r="J712" s="55" t="s">
        <v>294</v>
      </c>
      <c r="K712" s="55"/>
      <c r="L712" s="55">
        <v>1</v>
      </c>
      <c r="M712" s="55">
        <f t="shared" si="67"/>
        <v>600</v>
      </c>
      <c r="N712" s="59">
        <f t="shared" si="68"/>
        <v>-0.13333333333333242</v>
      </c>
    </row>
    <row r="713" spans="1:14" s="104" customFormat="1" ht="15" hidden="1" customHeight="1" x14ac:dyDescent="0.2">
      <c r="A713" s="98" t="s">
        <v>293</v>
      </c>
      <c r="B713" s="99" t="s">
        <v>38</v>
      </c>
      <c r="C713" s="99">
        <v>600</v>
      </c>
      <c r="D713" s="100">
        <v>700</v>
      </c>
      <c r="E713" s="98">
        <f>723.2</f>
        <v>723.2</v>
      </c>
      <c r="F713" s="98" t="s">
        <v>8</v>
      </c>
      <c r="G713" s="101" t="s">
        <v>146</v>
      </c>
      <c r="H713" s="110" t="s">
        <v>323</v>
      </c>
      <c r="I713" s="102">
        <v>43463</v>
      </c>
      <c r="J713" s="98" t="s">
        <v>294</v>
      </c>
      <c r="K713" s="98"/>
      <c r="L713" s="98">
        <v>1</v>
      </c>
      <c r="M713" s="98">
        <f t="shared" si="67"/>
        <v>600</v>
      </c>
      <c r="N713" s="103">
        <f t="shared" si="68"/>
        <v>-0.22745098039215728</v>
      </c>
    </row>
    <row r="714" spans="1:14" s="60" customFormat="1" ht="15" hidden="1" customHeight="1" x14ac:dyDescent="0.2">
      <c r="A714" s="55" t="s">
        <v>299</v>
      </c>
      <c r="B714" s="54" t="s">
        <v>37</v>
      </c>
      <c r="C714" s="54">
        <v>860</v>
      </c>
      <c r="D714" s="56">
        <v>950</v>
      </c>
      <c r="E714" s="55">
        <f>375.4+564.7</f>
        <v>940.1</v>
      </c>
      <c r="F714" s="55" t="s">
        <v>8</v>
      </c>
      <c r="G714" s="57" t="s">
        <v>146</v>
      </c>
      <c r="H714" s="55"/>
      <c r="I714" s="55">
        <v>2.0099999999999998</v>
      </c>
      <c r="J714" s="55" t="s">
        <v>298</v>
      </c>
      <c r="K714" s="55"/>
      <c r="L714" s="55">
        <v>1</v>
      </c>
      <c r="M714" s="55">
        <f t="shared" si="67"/>
        <v>860</v>
      </c>
      <c r="N714" s="59">
        <f t="shared" si="68"/>
        <v>6.7715458276333629E-2</v>
      </c>
    </row>
    <row r="715" spans="1:14" s="60" customFormat="1" ht="15" hidden="1" customHeight="1" x14ac:dyDescent="0.2">
      <c r="A715" s="55" t="s">
        <v>299</v>
      </c>
      <c r="B715" s="54" t="s">
        <v>37</v>
      </c>
      <c r="C715" s="54">
        <v>995</v>
      </c>
      <c r="D715" s="56">
        <v>3200</v>
      </c>
      <c r="E715" s="55">
        <f>1357.1+1930.8</f>
        <v>3287.8999999999996</v>
      </c>
      <c r="F715" s="55" t="s">
        <v>8</v>
      </c>
      <c r="G715" s="57">
        <v>3</v>
      </c>
      <c r="H715" s="55"/>
      <c r="I715" s="55">
        <v>2.0099999999999998</v>
      </c>
      <c r="J715" s="55" t="s">
        <v>298</v>
      </c>
      <c r="K715" s="55"/>
      <c r="L715" s="55">
        <v>1</v>
      </c>
      <c r="M715" s="55">
        <f t="shared" si="67"/>
        <v>995</v>
      </c>
      <c r="N715" s="59">
        <f t="shared" si="68"/>
        <v>-0.51965710907478357</v>
      </c>
    </row>
    <row r="716" spans="1:14" s="60" customFormat="1" ht="15" hidden="1" customHeight="1" x14ac:dyDescent="0.2">
      <c r="A716" s="55" t="s">
        <v>299</v>
      </c>
      <c r="B716" s="54" t="s">
        <v>37</v>
      </c>
      <c r="C716" s="54">
        <v>1010</v>
      </c>
      <c r="D716" s="56">
        <v>2000</v>
      </c>
      <c r="E716" s="55">
        <f>1953</f>
        <v>1953</v>
      </c>
      <c r="F716" s="55" t="s">
        <v>8</v>
      </c>
      <c r="G716" s="57">
        <v>3</v>
      </c>
      <c r="H716" s="55"/>
      <c r="I716" s="55">
        <v>2.0099999999999998</v>
      </c>
      <c r="J716" s="55" t="s">
        <v>298</v>
      </c>
      <c r="K716" s="55"/>
      <c r="L716" s="55">
        <v>1</v>
      </c>
      <c r="M716" s="55">
        <f t="shared" si="67"/>
        <v>1010</v>
      </c>
      <c r="N716" s="59">
        <f t="shared" si="68"/>
        <v>0.27373325567850898</v>
      </c>
    </row>
    <row r="717" spans="1:14" s="60" customFormat="1" ht="15" hidden="1" customHeight="1" x14ac:dyDescent="0.2">
      <c r="A717" s="55" t="s">
        <v>299</v>
      </c>
      <c r="B717" s="54" t="s">
        <v>37</v>
      </c>
      <c r="C717" s="54">
        <v>1190</v>
      </c>
      <c r="D717" s="56">
        <v>2500</v>
      </c>
      <c r="E717" s="55">
        <f>1024.1+1539.3</f>
        <v>2563.3999999999996</v>
      </c>
      <c r="F717" s="55" t="s">
        <v>8</v>
      </c>
      <c r="G717" s="57" t="s">
        <v>146</v>
      </c>
      <c r="H717" s="55"/>
      <c r="I717" s="55">
        <v>2.0099999999999998</v>
      </c>
      <c r="J717" s="55" t="s">
        <v>298</v>
      </c>
      <c r="K717" s="55"/>
      <c r="L717" s="55">
        <v>1</v>
      </c>
      <c r="M717" s="55">
        <f t="shared" si="67"/>
        <v>1190</v>
      </c>
      <c r="N717" s="59">
        <f t="shared" si="68"/>
        <v>-0.31339594661393788</v>
      </c>
    </row>
    <row r="718" spans="1:14" s="60" customFormat="1" ht="15" hidden="1" customHeight="1" x14ac:dyDescent="0.2">
      <c r="A718" s="55" t="s">
        <v>299</v>
      </c>
      <c r="B718" s="54" t="s">
        <v>37</v>
      </c>
      <c r="C718" s="54">
        <v>1250</v>
      </c>
      <c r="D718" s="56">
        <v>700</v>
      </c>
      <c r="E718" s="55">
        <f>761</f>
        <v>761</v>
      </c>
      <c r="F718" s="55" t="s">
        <v>8</v>
      </c>
      <c r="G718" s="57" t="s">
        <v>146</v>
      </c>
      <c r="H718" s="55"/>
      <c r="I718" s="55">
        <v>2.0099999999999998</v>
      </c>
      <c r="J718" s="55" t="s">
        <v>298</v>
      </c>
      <c r="K718" s="55"/>
      <c r="L718" s="55">
        <v>1</v>
      </c>
      <c r="M718" s="55">
        <f t="shared" si="67"/>
        <v>1250</v>
      </c>
      <c r="N718" s="59">
        <f t="shared" si="68"/>
        <v>-0.2870588235294117</v>
      </c>
    </row>
    <row r="719" spans="1:14" s="60" customFormat="1" ht="15" hidden="1" customHeight="1" x14ac:dyDescent="0.2">
      <c r="A719" s="55" t="s">
        <v>299</v>
      </c>
      <c r="B719" s="54" t="s">
        <v>40</v>
      </c>
      <c r="C719" s="54">
        <v>1010</v>
      </c>
      <c r="D719" s="56">
        <v>3350</v>
      </c>
      <c r="E719" s="55">
        <f>832.1+1758.8+935.4</f>
        <v>3526.3</v>
      </c>
      <c r="F719" s="55" t="s">
        <v>8</v>
      </c>
      <c r="G719" s="57" t="s">
        <v>146</v>
      </c>
      <c r="H719" s="55"/>
      <c r="I719" s="58">
        <v>43467</v>
      </c>
      <c r="J719" s="55" t="s">
        <v>266</v>
      </c>
      <c r="K719" s="55"/>
      <c r="L719" s="55">
        <v>1</v>
      </c>
      <c r="M719" s="55">
        <f t="shared" si="67"/>
        <v>1010</v>
      </c>
      <c r="N719" s="59">
        <f t="shared" si="68"/>
        <v>-1.0267909143855571</v>
      </c>
    </row>
    <row r="720" spans="1:14" s="60" customFormat="1" ht="15" hidden="1" customHeight="1" x14ac:dyDescent="0.2">
      <c r="A720" s="55" t="s">
        <v>299</v>
      </c>
      <c r="B720" s="54" t="s">
        <v>40</v>
      </c>
      <c r="C720" s="54">
        <v>1070</v>
      </c>
      <c r="D720" s="56">
        <v>2000</v>
      </c>
      <c r="E720" s="55">
        <f>880.2+1126.5</f>
        <v>2006.7</v>
      </c>
      <c r="F720" s="55" t="s">
        <v>8</v>
      </c>
      <c r="G720" s="57" t="s">
        <v>146</v>
      </c>
      <c r="H720" s="55"/>
      <c r="I720" s="58">
        <v>43467</v>
      </c>
      <c r="J720" s="55" t="s">
        <v>266</v>
      </c>
      <c r="K720" s="55"/>
      <c r="L720" s="55">
        <v>1</v>
      </c>
      <c r="M720" s="55">
        <f t="shared" si="67"/>
        <v>1070</v>
      </c>
      <c r="N720" s="59">
        <f t="shared" si="68"/>
        <v>-3.6833424958768804E-2</v>
      </c>
    </row>
    <row r="721" spans="1:14" s="60" customFormat="1" ht="15" hidden="1" customHeight="1" x14ac:dyDescent="0.2">
      <c r="A721" s="55" t="s">
        <v>299</v>
      </c>
      <c r="B721" s="54" t="s">
        <v>40</v>
      </c>
      <c r="C721" s="54">
        <v>1100</v>
      </c>
      <c r="D721" s="56">
        <v>400</v>
      </c>
      <c r="E721" s="55">
        <f>464.2</f>
        <v>464.2</v>
      </c>
      <c r="F721" s="55" t="s">
        <v>8</v>
      </c>
      <c r="G721" s="57" t="s">
        <v>146</v>
      </c>
      <c r="H721" s="55"/>
      <c r="I721" s="58">
        <v>43467</v>
      </c>
      <c r="J721" s="55" t="s">
        <v>266</v>
      </c>
      <c r="K721" s="55"/>
      <c r="L721" s="55">
        <v>1</v>
      </c>
      <c r="M721" s="55">
        <f t="shared" si="67"/>
        <v>1100</v>
      </c>
      <c r="N721" s="59">
        <f t="shared" si="68"/>
        <v>-0.34331550802139033</v>
      </c>
    </row>
    <row r="722" spans="1:14" s="60" customFormat="1" ht="15" hidden="1" customHeight="1" x14ac:dyDescent="0.2">
      <c r="A722" s="55" t="s">
        <v>299</v>
      </c>
      <c r="B722" s="54" t="s">
        <v>40</v>
      </c>
      <c r="C722" s="54">
        <v>1160</v>
      </c>
      <c r="D722" s="56">
        <v>2100</v>
      </c>
      <c r="E722" s="55">
        <f>951.3+1214.9</f>
        <v>2166.1999999999998</v>
      </c>
      <c r="F722" s="55" t="s">
        <v>8</v>
      </c>
      <c r="G722" s="57" t="s">
        <v>146</v>
      </c>
      <c r="H722" s="55"/>
      <c r="I722" s="58">
        <v>43467</v>
      </c>
      <c r="J722" s="55" t="s">
        <v>266</v>
      </c>
      <c r="K722" s="55"/>
      <c r="L722" s="55">
        <v>1</v>
      </c>
      <c r="M722" s="55">
        <f t="shared" si="67"/>
        <v>1160</v>
      </c>
      <c r="N722" s="59">
        <f t="shared" si="68"/>
        <v>-0.33569979716024245</v>
      </c>
    </row>
    <row r="723" spans="1:14" s="104" customFormat="1" ht="15" hidden="1" customHeight="1" x14ac:dyDescent="0.2">
      <c r="A723" s="98" t="s">
        <v>184</v>
      </c>
      <c r="B723" s="99" t="s">
        <v>38</v>
      </c>
      <c r="C723" s="99">
        <v>900</v>
      </c>
      <c r="D723" s="100">
        <v>1200</v>
      </c>
      <c r="E723" s="98">
        <f>1201.9</f>
        <v>1201.9000000000001</v>
      </c>
      <c r="F723" s="98" t="s">
        <v>8</v>
      </c>
      <c r="G723" s="101"/>
      <c r="H723" s="98"/>
      <c r="I723" s="102">
        <v>43467</v>
      </c>
      <c r="J723" s="98" t="s">
        <v>185</v>
      </c>
      <c r="K723" s="98"/>
      <c r="L723" s="98">
        <v>1</v>
      </c>
      <c r="M723" s="98">
        <f t="shared" si="67"/>
        <v>900</v>
      </c>
      <c r="N723" s="103">
        <f t="shared" si="68"/>
        <v>-1.2418300653595366E-2</v>
      </c>
    </row>
    <row r="724" spans="1:14" s="104" customFormat="1" ht="15" hidden="1" customHeight="1" x14ac:dyDescent="0.2">
      <c r="A724" s="98" t="s">
        <v>184</v>
      </c>
      <c r="B724" s="99" t="s">
        <v>37</v>
      </c>
      <c r="C724" s="99">
        <v>810</v>
      </c>
      <c r="D724" s="100">
        <v>1050</v>
      </c>
      <c r="E724" s="98">
        <f>1055.8</f>
        <v>1055.8</v>
      </c>
      <c r="F724" s="98" t="s">
        <v>8</v>
      </c>
      <c r="G724" s="101">
        <v>3</v>
      </c>
      <c r="H724" s="98"/>
      <c r="I724" s="102">
        <v>43467</v>
      </c>
      <c r="J724" s="98" t="s">
        <v>185</v>
      </c>
      <c r="K724" s="98"/>
      <c r="L724" s="98">
        <v>1</v>
      </c>
      <c r="M724" s="98">
        <f t="shared" si="67"/>
        <v>810</v>
      </c>
      <c r="N724" s="103">
        <f t="shared" si="68"/>
        <v>-4.2120551924473157E-2</v>
      </c>
    </row>
    <row r="725" spans="1:14" s="104" customFormat="1" ht="15" hidden="1" customHeight="1" x14ac:dyDescent="0.2">
      <c r="A725" s="98" t="s">
        <v>302</v>
      </c>
      <c r="B725" s="99" t="s">
        <v>37</v>
      </c>
      <c r="C725" s="99">
        <v>830</v>
      </c>
      <c r="D725" s="100">
        <v>6500</v>
      </c>
      <c r="E725" s="98">
        <f>1866+2594.5+1595.3+513.6</f>
        <v>6569.4000000000005</v>
      </c>
      <c r="F725" s="98" t="s">
        <v>8</v>
      </c>
      <c r="G725" s="101">
        <v>3</v>
      </c>
      <c r="H725" s="98"/>
      <c r="I725" s="102">
        <v>43467</v>
      </c>
      <c r="J725" s="98" t="s">
        <v>31</v>
      </c>
      <c r="K725" s="98"/>
      <c r="L725" s="98">
        <v>1</v>
      </c>
      <c r="M725" s="98">
        <f t="shared" si="67"/>
        <v>830</v>
      </c>
      <c r="N725" s="103">
        <f t="shared" si="68"/>
        <v>-0.49184975194897612</v>
      </c>
    </row>
    <row r="726" spans="1:14" s="104" customFormat="1" ht="15" hidden="1" customHeight="1" x14ac:dyDescent="0.2">
      <c r="A726" s="98" t="s">
        <v>302</v>
      </c>
      <c r="B726" s="99" t="s">
        <v>38</v>
      </c>
      <c r="C726" s="99">
        <v>220</v>
      </c>
      <c r="D726" s="100">
        <v>700</v>
      </c>
      <c r="E726" s="98">
        <f>688.4</f>
        <v>688.4</v>
      </c>
      <c r="F726" s="98" t="s">
        <v>8</v>
      </c>
      <c r="G726" s="101" t="s">
        <v>146</v>
      </c>
      <c r="H726" s="98" t="s">
        <v>303</v>
      </c>
      <c r="I726" s="102">
        <v>43467</v>
      </c>
      <c r="J726" s="98" t="s">
        <v>31</v>
      </c>
      <c r="K726" s="98"/>
      <c r="L726" s="98">
        <v>6</v>
      </c>
      <c r="M726" s="98">
        <f t="shared" si="67"/>
        <v>1320</v>
      </c>
      <c r="N726" s="103">
        <f t="shared" si="68"/>
        <v>5.1693404634581205E-2</v>
      </c>
    </row>
    <row r="727" spans="1:14" s="104" customFormat="1" ht="15" hidden="1" customHeight="1" x14ac:dyDescent="0.2">
      <c r="A727" s="98" t="s">
        <v>302</v>
      </c>
      <c r="B727" s="99" t="s">
        <v>37</v>
      </c>
      <c r="C727" s="99">
        <v>790</v>
      </c>
      <c r="D727" s="100">
        <v>6000</v>
      </c>
      <c r="E727" s="98">
        <f>2013.2+962.8+2558.9+729.7</f>
        <v>6264.5999999999995</v>
      </c>
      <c r="F727" s="98" t="s">
        <v>8</v>
      </c>
      <c r="G727" s="101">
        <v>3</v>
      </c>
      <c r="H727" s="98"/>
      <c r="I727" s="102">
        <v>43467</v>
      </c>
      <c r="J727" s="98" t="s">
        <v>31</v>
      </c>
      <c r="K727" s="98"/>
      <c r="L727" s="98">
        <v>1</v>
      </c>
      <c r="M727" s="98">
        <f t="shared" ref="M727:M732" si="69">L727*C727</f>
        <v>790</v>
      </c>
      <c r="N727" s="103">
        <f t="shared" ref="N727:N732" si="70">(D727-E727)/(M727*0.17)</f>
        <v>-1.9702159344750516</v>
      </c>
    </row>
    <row r="728" spans="1:14" s="96" customFormat="1" ht="15" hidden="1" customHeight="1" x14ac:dyDescent="0.2">
      <c r="A728" s="90" t="s">
        <v>304</v>
      </c>
      <c r="B728" s="91" t="s">
        <v>39</v>
      </c>
      <c r="C728" s="91">
        <v>230</v>
      </c>
      <c r="D728" s="92">
        <v>300</v>
      </c>
      <c r="E728" s="90">
        <f>321.5</f>
        <v>321.5</v>
      </c>
      <c r="F728" s="90" t="s">
        <v>8</v>
      </c>
      <c r="G728" s="93"/>
      <c r="H728" s="90" t="s">
        <v>131</v>
      </c>
      <c r="I728" s="94">
        <v>43467</v>
      </c>
      <c r="J728" s="90" t="s">
        <v>43</v>
      </c>
      <c r="K728" s="90"/>
      <c r="L728" s="90"/>
      <c r="M728" s="90">
        <f t="shared" si="69"/>
        <v>0</v>
      </c>
      <c r="N728" s="95" t="e">
        <f t="shared" si="70"/>
        <v>#DIV/0!</v>
      </c>
    </row>
    <row r="729" spans="1:14" s="96" customFormat="1" ht="15" hidden="1" customHeight="1" x14ac:dyDescent="0.2">
      <c r="A729" s="90" t="s">
        <v>304</v>
      </c>
      <c r="B729" s="91" t="s">
        <v>39</v>
      </c>
      <c r="C729" s="91">
        <v>240</v>
      </c>
      <c r="D729" s="92">
        <v>500</v>
      </c>
      <c r="E729" s="90">
        <f>568.6</f>
        <v>568.6</v>
      </c>
      <c r="F729" s="90" t="s">
        <v>8</v>
      </c>
      <c r="G729" s="93"/>
      <c r="H729" s="90" t="s">
        <v>131</v>
      </c>
      <c r="I729" s="94">
        <v>43467</v>
      </c>
      <c r="J729" s="90" t="s">
        <v>43</v>
      </c>
      <c r="K729" s="90"/>
      <c r="L729" s="90">
        <v>4</v>
      </c>
      <c r="M729" s="90">
        <f t="shared" si="69"/>
        <v>960</v>
      </c>
      <c r="N729" s="95">
        <f t="shared" si="70"/>
        <v>-0.42034313725490208</v>
      </c>
    </row>
    <row r="730" spans="1:14" s="96" customFormat="1" ht="15" hidden="1" customHeight="1" x14ac:dyDescent="0.2">
      <c r="A730" s="90" t="s">
        <v>304</v>
      </c>
      <c r="B730" s="91" t="s">
        <v>39</v>
      </c>
      <c r="C730" s="91">
        <v>320</v>
      </c>
      <c r="D730" s="92">
        <v>500</v>
      </c>
      <c r="E730" s="90">
        <f>516.3</f>
        <v>516.29999999999995</v>
      </c>
      <c r="F730" s="90" t="s">
        <v>8</v>
      </c>
      <c r="G730" s="93"/>
      <c r="H730" s="90" t="s">
        <v>131</v>
      </c>
      <c r="I730" s="94">
        <v>43467</v>
      </c>
      <c r="J730" s="90" t="s">
        <v>43</v>
      </c>
      <c r="K730" s="90"/>
      <c r="L730" s="90">
        <v>3</v>
      </c>
      <c r="M730" s="90">
        <f t="shared" si="69"/>
        <v>960</v>
      </c>
      <c r="N730" s="95">
        <f t="shared" si="70"/>
        <v>-9.9877450980391871E-2</v>
      </c>
    </row>
    <row r="731" spans="1:14" s="96" customFormat="1" ht="15" hidden="1" customHeight="1" x14ac:dyDescent="0.2">
      <c r="A731" s="90" t="s">
        <v>304</v>
      </c>
      <c r="B731" s="91" t="s">
        <v>39</v>
      </c>
      <c r="C731" s="91">
        <v>380</v>
      </c>
      <c r="D731" s="92">
        <v>2000</v>
      </c>
      <c r="E731" s="90">
        <f>1087.5+1125.3</f>
        <v>2212.8000000000002</v>
      </c>
      <c r="F731" s="90" t="s">
        <v>8</v>
      </c>
      <c r="G731" s="93"/>
      <c r="H731" s="90" t="s">
        <v>131</v>
      </c>
      <c r="I731" s="94">
        <v>43467</v>
      </c>
      <c r="J731" s="90" t="s">
        <v>43</v>
      </c>
      <c r="K731" s="90"/>
      <c r="L731" s="90">
        <v>3</v>
      </c>
      <c r="M731" s="90">
        <f t="shared" si="69"/>
        <v>1140</v>
      </c>
      <c r="N731" s="95">
        <f t="shared" si="70"/>
        <v>-1.0980392156862755</v>
      </c>
    </row>
    <row r="732" spans="1:14" s="96" customFormat="1" ht="15" hidden="1" customHeight="1" x14ac:dyDescent="0.2">
      <c r="A732" s="90" t="s">
        <v>304</v>
      </c>
      <c r="B732" s="91" t="s">
        <v>39</v>
      </c>
      <c r="C732" s="91">
        <v>450</v>
      </c>
      <c r="D732" s="92">
        <v>800</v>
      </c>
      <c r="E732" s="90">
        <f>874.6</f>
        <v>874.6</v>
      </c>
      <c r="F732" s="90" t="s">
        <v>8</v>
      </c>
      <c r="G732" s="93"/>
      <c r="H732" s="90" t="s">
        <v>131</v>
      </c>
      <c r="I732" s="94">
        <v>43467</v>
      </c>
      <c r="J732" s="90" t="s">
        <v>43</v>
      </c>
      <c r="K732" s="90"/>
      <c r="L732" s="90">
        <v>2</v>
      </c>
      <c r="M732" s="90">
        <f t="shared" si="69"/>
        <v>900</v>
      </c>
      <c r="N732" s="95">
        <f t="shared" si="70"/>
        <v>-0.48758169934640538</v>
      </c>
    </row>
    <row r="733" spans="1:14" s="104" customFormat="1" ht="15" hidden="1" customHeight="1" x14ac:dyDescent="0.2">
      <c r="A733" s="98" t="s">
        <v>304</v>
      </c>
      <c r="B733" s="99" t="s">
        <v>39</v>
      </c>
      <c r="C733" s="99">
        <v>460</v>
      </c>
      <c r="D733" s="100">
        <v>200</v>
      </c>
      <c r="E733" s="98">
        <f>188.8</f>
        <v>188.8</v>
      </c>
      <c r="F733" s="98" t="s">
        <v>8</v>
      </c>
      <c r="G733" s="101"/>
      <c r="H733" s="98" t="s">
        <v>131</v>
      </c>
      <c r="I733" s="102">
        <v>43467</v>
      </c>
      <c r="J733" s="98" t="s">
        <v>43</v>
      </c>
      <c r="K733" s="98"/>
      <c r="L733" s="98"/>
      <c r="M733" s="98"/>
      <c r="N733" s="103"/>
    </row>
    <row r="734" spans="1:14" s="104" customFormat="1" ht="15" hidden="1" customHeight="1" x14ac:dyDescent="0.2">
      <c r="A734" s="98" t="s">
        <v>304</v>
      </c>
      <c r="B734" s="99" t="s">
        <v>37</v>
      </c>
      <c r="C734" s="99">
        <v>330</v>
      </c>
      <c r="D734" s="100">
        <v>500</v>
      </c>
      <c r="E734" s="98">
        <f>512</f>
        <v>512</v>
      </c>
      <c r="F734" s="98" t="s">
        <v>8</v>
      </c>
      <c r="G734" s="101">
        <v>3</v>
      </c>
      <c r="H734" s="98" t="s">
        <v>131</v>
      </c>
      <c r="I734" s="102">
        <v>43467</v>
      </c>
      <c r="J734" s="98" t="s">
        <v>43</v>
      </c>
      <c r="K734" s="98"/>
      <c r="L734" s="98">
        <v>4</v>
      </c>
      <c r="M734" s="98">
        <f t="shared" ref="M734:M744" si="71">L734*C734</f>
        <v>1320</v>
      </c>
      <c r="N734" s="103">
        <f t="shared" ref="N734:N744" si="72">(D734-E734)/(M734*0.17)</f>
        <v>-5.3475935828877004E-2</v>
      </c>
    </row>
    <row r="735" spans="1:14" s="104" customFormat="1" ht="15" hidden="1" customHeight="1" x14ac:dyDescent="0.2">
      <c r="A735" s="98" t="s">
        <v>304</v>
      </c>
      <c r="B735" s="99" t="s">
        <v>37</v>
      </c>
      <c r="C735" s="99">
        <v>420</v>
      </c>
      <c r="D735" s="100">
        <v>200</v>
      </c>
      <c r="E735" s="98">
        <f>188.4</f>
        <v>188.4</v>
      </c>
      <c r="F735" s="98" t="s">
        <v>8</v>
      </c>
      <c r="G735" s="101">
        <v>3</v>
      </c>
      <c r="H735" s="98" t="s">
        <v>131</v>
      </c>
      <c r="I735" s="102">
        <v>43467</v>
      </c>
      <c r="J735" s="98" t="s">
        <v>43</v>
      </c>
      <c r="K735" s="98"/>
      <c r="L735" s="98">
        <v>2</v>
      </c>
      <c r="M735" s="98">
        <f t="shared" si="71"/>
        <v>840</v>
      </c>
      <c r="N735" s="103">
        <f t="shared" si="72"/>
        <v>8.1232492997198827E-2</v>
      </c>
    </row>
    <row r="736" spans="1:14" s="104" customFormat="1" ht="15" hidden="1" customHeight="1" x14ac:dyDescent="0.2">
      <c r="A736" s="98" t="s">
        <v>304</v>
      </c>
      <c r="B736" s="99" t="s">
        <v>38</v>
      </c>
      <c r="C736" s="99">
        <v>250</v>
      </c>
      <c r="D736" s="100">
        <v>1500</v>
      </c>
      <c r="E736" s="98">
        <f>1500</f>
        <v>1500</v>
      </c>
      <c r="F736" s="98" t="s">
        <v>8</v>
      </c>
      <c r="G736" s="101"/>
      <c r="H736" s="98" t="s">
        <v>131</v>
      </c>
      <c r="I736" s="102">
        <v>43467</v>
      </c>
      <c r="J736" s="98" t="s">
        <v>43</v>
      </c>
      <c r="K736" s="98"/>
      <c r="L736" s="98">
        <v>4</v>
      </c>
      <c r="M736" s="98">
        <f t="shared" si="71"/>
        <v>1000</v>
      </c>
      <c r="N736" s="103">
        <f t="shared" si="72"/>
        <v>0</v>
      </c>
    </row>
    <row r="737" spans="1:14" s="104" customFormat="1" ht="15" hidden="1" customHeight="1" x14ac:dyDescent="0.2">
      <c r="A737" s="98" t="s">
        <v>304</v>
      </c>
      <c r="B737" s="99" t="s">
        <v>38</v>
      </c>
      <c r="C737" s="99">
        <v>380</v>
      </c>
      <c r="D737" s="100">
        <v>500</v>
      </c>
      <c r="E737" s="98">
        <f>546</f>
        <v>546</v>
      </c>
      <c r="F737" s="98" t="s">
        <v>8</v>
      </c>
      <c r="G737" s="101"/>
      <c r="H737" s="98" t="s">
        <v>131</v>
      </c>
      <c r="I737" s="102">
        <v>43467</v>
      </c>
      <c r="J737" s="98" t="s">
        <v>43</v>
      </c>
      <c r="K737" s="98"/>
      <c r="L737" s="98">
        <v>2</v>
      </c>
      <c r="M737" s="98">
        <f t="shared" si="71"/>
        <v>760</v>
      </c>
      <c r="N737" s="103">
        <f t="shared" si="72"/>
        <v>-0.35603715170278633</v>
      </c>
    </row>
    <row r="738" spans="1:14" s="104" customFormat="1" ht="15" hidden="1" customHeight="1" x14ac:dyDescent="0.2">
      <c r="A738" s="98" t="s">
        <v>304</v>
      </c>
      <c r="B738" s="99" t="s">
        <v>38</v>
      </c>
      <c r="C738" s="99">
        <v>340</v>
      </c>
      <c r="D738" s="100">
        <v>500</v>
      </c>
      <c r="E738" s="98">
        <f>497.4</f>
        <v>497.4</v>
      </c>
      <c r="F738" s="98" t="s">
        <v>8</v>
      </c>
      <c r="G738" s="101"/>
      <c r="H738" s="98" t="s">
        <v>131</v>
      </c>
      <c r="I738" s="102">
        <v>43467</v>
      </c>
      <c r="J738" s="98" t="s">
        <v>43</v>
      </c>
      <c r="K738" s="98"/>
      <c r="L738" s="98">
        <v>2</v>
      </c>
      <c r="M738" s="98">
        <f t="shared" si="71"/>
        <v>680</v>
      </c>
      <c r="N738" s="103">
        <f t="shared" si="72"/>
        <v>2.2491349480969054E-2</v>
      </c>
    </row>
    <row r="739" spans="1:14" s="60" customFormat="1" ht="15" hidden="1" customHeight="1" x14ac:dyDescent="0.2">
      <c r="A739" s="55" t="s">
        <v>304</v>
      </c>
      <c r="B739" s="54" t="s">
        <v>36</v>
      </c>
      <c r="C739" s="47">
        <v>280</v>
      </c>
      <c r="D739" s="56">
        <v>500</v>
      </c>
      <c r="E739" s="55">
        <f>528.4</f>
        <v>528.4</v>
      </c>
      <c r="F739" s="55" t="s">
        <v>8</v>
      </c>
      <c r="G739" s="57" t="s">
        <v>146</v>
      </c>
      <c r="H739" s="55" t="s">
        <v>131</v>
      </c>
      <c r="I739" s="58">
        <v>43467</v>
      </c>
      <c r="J739" s="55" t="s">
        <v>43</v>
      </c>
      <c r="K739" s="55"/>
      <c r="L739" s="55">
        <v>4</v>
      </c>
      <c r="M739" s="55">
        <f t="shared" si="71"/>
        <v>1120</v>
      </c>
      <c r="N739" s="59">
        <f t="shared" si="72"/>
        <v>-0.1491596638655461</v>
      </c>
    </row>
    <row r="740" spans="1:14" s="60" customFormat="1" ht="15" hidden="1" customHeight="1" x14ac:dyDescent="0.2">
      <c r="A740" s="55" t="s">
        <v>304</v>
      </c>
      <c r="B740" s="54" t="s">
        <v>36</v>
      </c>
      <c r="C740" s="47">
        <v>300</v>
      </c>
      <c r="D740" s="56">
        <v>500</v>
      </c>
      <c r="E740" s="55">
        <f>565.2</f>
        <v>565.20000000000005</v>
      </c>
      <c r="F740" s="55" t="s">
        <v>8</v>
      </c>
      <c r="G740" s="57" t="s">
        <v>146</v>
      </c>
      <c r="H740" s="55" t="s">
        <v>131</v>
      </c>
      <c r="I740" s="58">
        <v>43467</v>
      </c>
      <c r="J740" s="55" t="s">
        <v>43</v>
      </c>
      <c r="K740" s="55"/>
      <c r="L740" s="55">
        <v>4</v>
      </c>
      <c r="M740" s="55">
        <f t="shared" si="71"/>
        <v>1200</v>
      </c>
      <c r="N740" s="59">
        <f t="shared" si="72"/>
        <v>-0.3196078431372551</v>
      </c>
    </row>
    <row r="741" spans="1:14" s="60" customFormat="1" ht="15" hidden="1" customHeight="1" x14ac:dyDescent="0.2">
      <c r="A741" s="55" t="s">
        <v>304</v>
      </c>
      <c r="B741" s="54" t="s">
        <v>36</v>
      </c>
      <c r="C741" s="47">
        <v>260</v>
      </c>
      <c r="D741" s="56">
        <v>300</v>
      </c>
      <c r="E741" s="1">
        <f>354.6</f>
        <v>354.6</v>
      </c>
      <c r="F741" s="55" t="s">
        <v>8</v>
      </c>
      <c r="G741" s="57">
        <v>1</v>
      </c>
      <c r="H741" s="55" t="s">
        <v>131</v>
      </c>
      <c r="I741" s="58">
        <v>43467</v>
      </c>
      <c r="J741" s="55" t="s">
        <v>43</v>
      </c>
      <c r="K741" s="55"/>
      <c r="L741" s="55">
        <v>3</v>
      </c>
      <c r="M741" s="55">
        <f t="shared" si="71"/>
        <v>780</v>
      </c>
      <c r="N741" s="59">
        <f t="shared" si="72"/>
        <v>-0.41176470588235303</v>
      </c>
    </row>
    <row r="742" spans="1:14" s="60" customFormat="1" ht="15" hidden="1" customHeight="1" x14ac:dyDescent="0.2">
      <c r="A742" s="55" t="s">
        <v>304</v>
      </c>
      <c r="B742" s="54" t="s">
        <v>36</v>
      </c>
      <c r="C742" s="47">
        <v>360</v>
      </c>
      <c r="D742" s="56">
        <v>500</v>
      </c>
      <c r="E742" s="55">
        <f>518.7</f>
        <v>518.70000000000005</v>
      </c>
      <c r="F742" s="55" t="s">
        <v>8</v>
      </c>
      <c r="G742" s="57" t="s">
        <v>146</v>
      </c>
      <c r="H742" s="55" t="s">
        <v>131</v>
      </c>
      <c r="I742" s="58">
        <v>43467</v>
      </c>
      <c r="J742" s="55" t="s">
        <v>43</v>
      </c>
      <c r="K742" s="55"/>
      <c r="L742" s="55">
        <v>3</v>
      </c>
      <c r="M742" s="55">
        <f t="shared" si="71"/>
        <v>1080</v>
      </c>
      <c r="N742" s="59">
        <f t="shared" si="72"/>
        <v>-0.10185185185185208</v>
      </c>
    </row>
    <row r="743" spans="1:14" s="60" customFormat="1" ht="15" hidden="1" customHeight="1" x14ac:dyDescent="0.2">
      <c r="A743" s="55" t="s">
        <v>304</v>
      </c>
      <c r="B743" s="54" t="s">
        <v>36</v>
      </c>
      <c r="C743" s="47">
        <v>330</v>
      </c>
      <c r="D743" s="56">
        <v>500</v>
      </c>
      <c r="E743" s="55">
        <f>529.6</f>
        <v>529.6</v>
      </c>
      <c r="F743" s="55" t="s">
        <v>8</v>
      </c>
      <c r="G743" s="57" t="s">
        <v>146</v>
      </c>
      <c r="H743" s="55" t="s">
        <v>131</v>
      </c>
      <c r="I743" s="58">
        <v>43467</v>
      </c>
      <c r="J743" s="55" t="s">
        <v>43</v>
      </c>
      <c r="K743" s="55"/>
      <c r="L743" s="55">
        <v>4</v>
      </c>
      <c r="M743" s="55">
        <f t="shared" si="71"/>
        <v>1320</v>
      </c>
      <c r="N743" s="59">
        <f t="shared" si="72"/>
        <v>-0.13190730837789671</v>
      </c>
    </row>
    <row r="744" spans="1:14" s="60" customFormat="1" ht="15" hidden="1" customHeight="1" x14ac:dyDescent="0.2">
      <c r="A744" s="55" t="s">
        <v>304</v>
      </c>
      <c r="B744" s="54" t="s">
        <v>36</v>
      </c>
      <c r="C744" s="47">
        <v>440</v>
      </c>
      <c r="D744" s="56">
        <v>600</v>
      </c>
      <c r="E744" s="55">
        <f>83.2+511.5</f>
        <v>594.70000000000005</v>
      </c>
      <c r="F744" s="55" t="s">
        <v>8</v>
      </c>
      <c r="G744" s="57" t="s">
        <v>146</v>
      </c>
      <c r="H744" s="55" t="s">
        <v>131</v>
      </c>
      <c r="I744" s="58">
        <v>43467</v>
      </c>
      <c r="J744" s="55" t="s">
        <v>43</v>
      </c>
      <c r="K744" s="55"/>
      <c r="L744" s="55">
        <v>3</v>
      </c>
      <c r="M744" s="55">
        <f t="shared" si="71"/>
        <v>1320</v>
      </c>
      <c r="N744" s="59">
        <f t="shared" si="72"/>
        <v>2.3618538324420475E-2</v>
      </c>
    </row>
    <row r="745" spans="1:14" s="125" customFormat="1" ht="15" hidden="1" customHeight="1" x14ac:dyDescent="0.2">
      <c r="A745" s="119" t="s">
        <v>305</v>
      </c>
      <c r="B745" s="120" t="s">
        <v>39</v>
      </c>
      <c r="C745" s="120">
        <v>420</v>
      </c>
      <c r="D745" s="121">
        <v>5000</v>
      </c>
      <c r="E745" s="119"/>
      <c r="F745" s="119" t="s">
        <v>316</v>
      </c>
      <c r="G745" s="122"/>
      <c r="H745" s="119" t="s">
        <v>131</v>
      </c>
      <c r="I745" s="123">
        <v>43467</v>
      </c>
      <c r="J745" s="119" t="s">
        <v>307</v>
      </c>
      <c r="K745" s="119"/>
      <c r="L745" s="119"/>
      <c r="M745" s="119">
        <f t="shared" ref="M745:M753" si="73">L745*C745</f>
        <v>0</v>
      </c>
      <c r="N745" s="124" t="e">
        <f t="shared" ref="N745:N753" si="74">(D745-E745)/(M745*0.17)</f>
        <v>#DIV/0!</v>
      </c>
    </row>
    <row r="746" spans="1:14" s="125" customFormat="1" ht="15" hidden="1" customHeight="1" x14ac:dyDescent="0.2">
      <c r="A746" s="119" t="s">
        <v>305</v>
      </c>
      <c r="B746" s="120" t="s">
        <v>39</v>
      </c>
      <c r="C746" s="120">
        <v>400</v>
      </c>
      <c r="D746" s="121">
        <v>5000</v>
      </c>
      <c r="E746" s="119"/>
      <c r="F746" s="119" t="s">
        <v>316</v>
      </c>
      <c r="G746" s="122"/>
      <c r="H746" s="119" t="s">
        <v>131</v>
      </c>
      <c r="I746" s="123">
        <v>43467</v>
      </c>
      <c r="J746" s="119" t="s">
        <v>307</v>
      </c>
      <c r="K746" s="119"/>
      <c r="L746" s="119"/>
      <c r="M746" s="119">
        <f t="shared" si="73"/>
        <v>0</v>
      </c>
      <c r="N746" s="124" t="e">
        <f t="shared" si="74"/>
        <v>#DIV/0!</v>
      </c>
    </row>
    <row r="747" spans="1:14" s="125" customFormat="1" ht="15" hidden="1" customHeight="1" x14ac:dyDescent="0.2">
      <c r="A747" s="119" t="s">
        <v>305</v>
      </c>
      <c r="B747" s="120" t="s">
        <v>39</v>
      </c>
      <c r="C747" s="120">
        <v>450</v>
      </c>
      <c r="D747" s="121">
        <v>5000</v>
      </c>
      <c r="E747" s="119"/>
      <c r="F747" s="119" t="s">
        <v>316</v>
      </c>
      <c r="G747" s="122"/>
      <c r="H747" s="119" t="s">
        <v>131</v>
      </c>
      <c r="I747" s="123">
        <v>43467</v>
      </c>
      <c r="J747" s="119" t="s">
        <v>307</v>
      </c>
      <c r="K747" s="119"/>
      <c r="L747" s="119"/>
      <c r="M747" s="119">
        <f t="shared" si="73"/>
        <v>0</v>
      </c>
      <c r="N747" s="124" t="e">
        <f t="shared" si="74"/>
        <v>#DIV/0!</v>
      </c>
    </row>
    <row r="748" spans="1:14" s="125" customFormat="1" ht="15" hidden="1" customHeight="1" x14ac:dyDescent="0.2">
      <c r="A748" s="119" t="s">
        <v>305</v>
      </c>
      <c r="B748" s="120" t="s">
        <v>39</v>
      </c>
      <c r="C748" s="120">
        <v>440</v>
      </c>
      <c r="D748" s="121">
        <v>5000</v>
      </c>
      <c r="E748" s="119"/>
      <c r="F748" s="119" t="s">
        <v>316</v>
      </c>
      <c r="G748" s="122"/>
      <c r="H748" s="119" t="s">
        <v>131</v>
      </c>
      <c r="I748" s="123">
        <v>43467</v>
      </c>
      <c r="J748" s="119" t="s">
        <v>307</v>
      </c>
      <c r="K748" s="119"/>
      <c r="L748" s="119"/>
      <c r="M748" s="119">
        <f t="shared" si="73"/>
        <v>0</v>
      </c>
      <c r="N748" s="124" t="e">
        <f t="shared" si="74"/>
        <v>#DIV/0!</v>
      </c>
    </row>
    <row r="749" spans="1:14" s="125" customFormat="1" ht="15" hidden="1" customHeight="1" x14ac:dyDescent="0.2">
      <c r="A749" s="119" t="s">
        <v>305</v>
      </c>
      <c r="B749" s="120" t="s">
        <v>39</v>
      </c>
      <c r="C749" s="120">
        <v>1140</v>
      </c>
      <c r="D749" s="121">
        <v>5000</v>
      </c>
      <c r="E749" s="119"/>
      <c r="F749" s="119" t="s">
        <v>316</v>
      </c>
      <c r="G749" s="122"/>
      <c r="H749" s="119" t="s">
        <v>306</v>
      </c>
      <c r="I749" s="123">
        <v>43467</v>
      </c>
      <c r="J749" s="119" t="s">
        <v>307</v>
      </c>
      <c r="K749" s="119"/>
      <c r="L749" s="119"/>
      <c r="M749" s="119">
        <f t="shared" si="73"/>
        <v>0</v>
      </c>
      <c r="N749" s="124" t="e">
        <f t="shared" si="74"/>
        <v>#DIV/0!</v>
      </c>
    </row>
    <row r="750" spans="1:14" s="125" customFormat="1" ht="15" hidden="1" customHeight="1" x14ac:dyDescent="0.2">
      <c r="A750" s="119" t="s">
        <v>305</v>
      </c>
      <c r="B750" s="120" t="s">
        <v>39</v>
      </c>
      <c r="C750" s="120">
        <v>1200</v>
      </c>
      <c r="D750" s="121">
        <v>5000</v>
      </c>
      <c r="E750" s="119"/>
      <c r="F750" s="119" t="s">
        <v>316</v>
      </c>
      <c r="G750" s="122"/>
      <c r="H750" s="119" t="s">
        <v>306</v>
      </c>
      <c r="I750" s="123">
        <v>43467</v>
      </c>
      <c r="J750" s="119" t="s">
        <v>307</v>
      </c>
      <c r="K750" s="119"/>
      <c r="L750" s="119"/>
      <c r="M750" s="119">
        <f t="shared" si="73"/>
        <v>0</v>
      </c>
      <c r="N750" s="124" t="e">
        <f t="shared" si="74"/>
        <v>#DIV/0!</v>
      </c>
    </row>
    <row r="751" spans="1:14" s="125" customFormat="1" ht="15" hidden="1" customHeight="1" x14ac:dyDescent="0.2">
      <c r="A751" s="119" t="s">
        <v>305</v>
      </c>
      <c r="B751" s="120" t="s">
        <v>39</v>
      </c>
      <c r="C751" s="120">
        <v>1260</v>
      </c>
      <c r="D751" s="121">
        <v>5000</v>
      </c>
      <c r="E751" s="119"/>
      <c r="F751" s="119" t="s">
        <v>316</v>
      </c>
      <c r="G751" s="122"/>
      <c r="H751" s="119" t="s">
        <v>306</v>
      </c>
      <c r="I751" s="123">
        <v>43467</v>
      </c>
      <c r="J751" s="119" t="s">
        <v>307</v>
      </c>
      <c r="K751" s="119"/>
      <c r="L751" s="119"/>
      <c r="M751" s="119">
        <f t="shared" si="73"/>
        <v>0</v>
      </c>
      <c r="N751" s="124" t="e">
        <f t="shared" si="74"/>
        <v>#DIV/0!</v>
      </c>
    </row>
    <row r="752" spans="1:14" s="125" customFormat="1" ht="15" hidden="1" customHeight="1" x14ac:dyDescent="0.2">
      <c r="A752" s="119" t="s">
        <v>305</v>
      </c>
      <c r="B752" s="120" t="s">
        <v>39</v>
      </c>
      <c r="C752" s="120">
        <v>1290</v>
      </c>
      <c r="D752" s="121">
        <v>5000</v>
      </c>
      <c r="E752" s="119"/>
      <c r="F752" s="119" t="s">
        <v>316</v>
      </c>
      <c r="G752" s="122"/>
      <c r="H752" s="119" t="s">
        <v>306</v>
      </c>
      <c r="I752" s="123">
        <v>43467</v>
      </c>
      <c r="J752" s="119" t="s">
        <v>307</v>
      </c>
      <c r="K752" s="119"/>
      <c r="L752" s="119"/>
      <c r="M752" s="119">
        <f t="shared" si="73"/>
        <v>0</v>
      </c>
      <c r="N752" s="124" t="e">
        <f t="shared" si="74"/>
        <v>#DIV/0!</v>
      </c>
    </row>
    <row r="753" spans="1:14" s="125" customFormat="1" ht="15" hidden="1" customHeight="1" x14ac:dyDescent="0.2">
      <c r="A753" s="119" t="s">
        <v>305</v>
      </c>
      <c r="B753" s="120" t="s">
        <v>39</v>
      </c>
      <c r="C753" s="120">
        <v>1300</v>
      </c>
      <c r="D753" s="121">
        <v>5000</v>
      </c>
      <c r="E753" s="119"/>
      <c r="F753" s="119" t="s">
        <v>316</v>
      </c>
      <c r="G753" s="122"/>
      <c r="H753" s="119" t="s">
        <v>306</v>
      </c>
      <c r="I753" s="123">
        <v>43467</v>
      </c>
      <c r="J753" s="119" t="s">
        <v>307</v>
      </c>
      <c r="K753" s="119"/>
      <c r="L753" s="119"/>
      <c r="M753" s="119">
        <f t="shared" si="73"/>
        <v>0</v>
      </c>
      <c r="N753" s="124" t="e">
        <f t="shared" si="74"/>
        <v>#DIV/0!</v>
      </c>
    </row>
    <row r="754" spans="1:14" ht="15" hidden="1" customHeight="1" x14ac:dyDescent="0.2">
      <c r="A754" s="1" t="s">
        <v>308</v>
      </c>
      <c r="B754" s="2" t="s">
        <v>39</v>
      </c>
      <c r="C754" s="2">
        <v>250</v>
      </c>
      <c r="D754" s="7">
        <v>50</v>
      </c>
      <c r="E754" s="1">
        <f>45.3</f>
        <v>45.3</v>
      </c>
      <c r="F754" s="1" t="s">
        <v>8</v>
      </c>
      <c r="H754" s="1">
        <v>300</v>
      </c>
      <c r="I754" s="8">
        <v>43467</v>
      </c>
      <c r="J754" s="16" t="s">
        <v>309</v>
      </c>
    </row>
    <row r="755" spans="1:14" ht="15" hidden="1" customHeight="1" x14ac:dyDescent="0.2">
      <c r="A755" s="1" t="s">
        <v>308</v>
      </c>
      <c r="B755" s="2" t="s">
        <v>39</v>
      </c>
      <c r="C755" s="2">
        <v>290</v>
      </c>
      <c r="D755" s="7">
        <v>50</v>
      </c>
      <c r="E755" s="1">
        <f>53.4</f>
        <v>53.4</v>
      </c>
      <c r="F755" s="1" t="s">
        <v>8</v>
      </c>
      <c r="H755" s="1">
        <v>300</v>
      </c>
      <c r="I755" s="8">
        <v>43467</v>
      </c>
      <c r="J755" s="16" t="s">
        <v>309</v>
      </c>
    </row>
    <row r="756" spans="1:14" ht="15" hidden="1" customHeight="1" x14ac:dyDescent="0.2">
      <c r="A756" s="1" t="s">
        <v>308</v>
      </c>
      <c r="B756" s="2" t="s">
        <v>39</v>
      </c>
      <c r="C756" s="2">
        <v>310</v>
      </c>
      <c r="D756" s="7">
        <v>50</v>
      </c>
      <c r="E756" s="1">
        <f>57.8</f>
        <v>57.8</v>
      </c>
      <c r="F756" s="1" t="s">
        <v>8</v>
      </c>
      <c r="H756" s="1">
        <v>300</v>
      </c>
      <c r="I756" s="8">
        <v>43467</v>
      </c>
      <c r="J756" s="16" t="s">
        <v>309</v>
      </c>
    </row>
    <row r="757" spans="1:14" ht="15" hidden="1" customHeight="1" x14ac:dyDescent="0.2">
      <c r="A757" s="1" t="s">
        <v>308</v>
      </c>
      <c r="B757" s="2" t="s">
        <v>39</v>
      </c>
      <c r="C757" s="2">
        <v>350</v>
      </c>
      <c r="D757" s="7">
        <v>50</v>
      </c>
      <c r="E757" s="1">
        <f>44.6</f>
        <v>44.6</v>
      </c>
      <c r="F757" s="1" t="s">
        <v>8</v>
      </c>
      <c r="H757" s="1">
        <v>300</v>
      </c>
      <c r="I757" s="8">
        <v>43467</v>
      </c>
      <c r="J757" s="16" t="s">
        <v>309</v>
      </c>
    </row>
    <row r="758" spans="1:14" s="96" customFormat="1" ht="15" hidden="1" customHeight="1" x14ac:dyDescent="0.2">
      <c r="A758" s="90" t="s">
        <v>310</v>
      </c>
      <c r="B758" s="91" t="s">
        <v>39</v>
      </c>
      <c r="C758" s="91">
        <v>700</v>
      </c>
      <c r="D758" s="92">
        <v>560</v>
      </c>
      <c r="E758" s="90">
        <f>578.6</f>
        <v>578.6</v>
      </c>
      <c r="F758" s="90" t="s">
        <v>8</v>
      </c>
      <c r="G758" s="93"/>
      <c r="H758" s="90" t="s">
        <v>311</v>
      </c>
      <c r="I758" s="94">
        <v>43467</v>
      </c>
      <c r="J758" s="90" t="s">
        <v>141</v>
      </c>
      <c r="K758" s="90"/>
      <c r="L758" s="90">
        <v>1</v>
      </c>
      <c r="M758" s="90">
        <f>L758*C758</f>
        <v>700</v>
      </c>
      <c r="N758" s="95">
        <f>(D758-E758)/(M758*0.17)</f>
        <v>-0.15630252100840353</v>
      </c>
    </row>
    <row r="759" spans="1:14" s="96" customFormat="1" ht="15" hidden="1" customHeight="1" x14ac:dyDescent="0.2">
      <c r="A759" s="90" t="s">
        <v>310</v>
      </c>
      <c r="B759" s="91" t="s">
        <v>39</v>
      </c>
      <c r="C759" s="91">
        <v>760</v>
      </c>
      <c r="D759" s="92">
        <v>600</v>
      </c>
      <c r="E759" s="90">
        <f>621.5</f>
        <v>621.5</v>
      </c>
      <c r="F759" s="90" t="s">
        <v>8</v>
      </c>
      <c r="G759" s="93"/>
      <c r="H759" s="90" t="s">
        <v>311</v>
      </c>
      <c r="I759" s="94">
        <v>43467</v>
      </c>
      <c r="J759" s="90" t="s">
        <v>141</v>
      </c>
      <c r="K759" s="90"/>
      <c r="L759" s="90">
        <v>1</v>
      </c>
      <c r="M759" s="90">
        <f>L759*C759</f>
        <v>760</v>
      </c>
      <c r="N759" s="95">
        <f>(D759-E759)/(M759*0.17)</f>
        <v>-0.16640866873065013</v>
      </c>
    </row>
    <row r="760" spans="1:14" s="96" customFormat="1" ht="15" hidden="1" customHeight="1" x14ac:dyDescent="0.2">
      <c r="A760" s="90" t="s">
        <v>310</v>
      </c>
      <c r="B760" s="91" t="s">
        <v>39</v>
      </c>
      <c r="C760" s="91">
        <v>1120</v>
      </c>
      <c r="D760" s="92">
        <v>400</v>
      </c>
      <c r="E760" s="90">
        <f>415.6</f>
        <v>415.6</v>
      </c>
      <c r="F760" s="90" t="s">
        <v>8</v>
      </c>
      <c r="G760" s="93"/>
      <c r="H760" s="90" t="s">
        <v>311</v>
      </c>
      <c r="I760" s="94">
        <v>43467</v>
      </c>
      <c r="J760" s="90" t="s">
        <v>141</v>
      </c>
      <c r="K760" s="90"/>
      <c r="L760" s="90">
        <v>1</v>
      </c>
      <c r="M760" s="90">
        <f>L760*C760</f>
        <v>1120</v>
      </c>
      <c r="N760" s="95">
        <f>(D760-E760)/(M760*0.17)</f>
        <v>-8.1932773109243809E-2</v>
      </c>
    </row>
    <row r="761" spans="1:14" s="104" customFormat="1" ht="15" hidden="1" customHeight="1" x14ac:dyDescent="0.2">
      <c r="A761" s="98" t="s">
        <v>310</v>
      </c>
      <c r="B761" s="99" t="s">
        <v>37</v>
      </c>
      <c r="C761" s="99">
        <v>600</v>
      </c>
      <c r="D761" s="100">
        <v>2800</v>
      </c>
      <c r="E761" s="98">
        <f>257.4+1392.4+386.4+778.6</f>
        <v>2814.8</v>
      </c>
      <c r="F761" s="98" t="s">
        <v>8</v>
      </c>
      <c r="G761" s="101">
        <v>3</v>
      </c>
      <c r="H761" s="98" t="s">
        <v>311</v>
      </c>
      <c r="I761" s="102">
        <v>43467</v>
      </c>
      <c r="J761" s="98" t="s">
        <v>141</v>
      </c>
      <c r="K761" s="98"/>
      <c r="L761" s="98">
        <v>1</v>
      </c>
      <c r="M761" s="98">
        <f t="shared" ref="M761:M774" si="75">L761*C761</f>
        <v>600</v>
      </c>
      <c r="N761" s="103">
        <f t="shared" ref="N761:N774" si="76">(D761-E761)/(M761*0.17)</f>
        <v>-0.14509803921568803</v>
      </c>
    </row>
    <row r="762" spans="1:14" ht="15" hidden="1" customHeight="1" x14ac:dyDescent="0.2">
      <c r="A762" s="1" t="s">
        <v>310</v>
      </c>
      <c r="B762" s="2" t="s">
        <v>37</v>
      </c>
      <c r="C762" s="2">
        <v>720</v>
      </c>
      <c r="D762" s="7">
        <v>580</v>
      </c>
      <c r="E762" s="1">
        <f>587.3</f>
        <v>587.29999999999995</v>
      </c>
      <c r="F762" s="1" t="s">
        <v>8</v>
      </c>
      <c r="G762" s="41">
        <v>3</v>
      </c>
      <c r="H762" s="1" t="s">
        <v>311</v>
      </c>
      <c r="I762" s="8">
        <v>43467</v>
      </c>
      <c r="J762" s="16" t="s">
        <v>141</v>
      </c>
      <c r="L762" s="10">
        <v>1</v>
      </c>
      <c r="M762" s="10">
        <f t="shared" si="75"/>
        <v>720</v>
      </c>
      <c r="N762" s="32">
        <f t="shared" si="76"/>
        <v>-5.9640522875816622E-2</v>
      </c>
    </row>
    <row r="763" spans="1:14" s="104" customFormat="1" ht="15" hidden="1" customHeight="1" x14ac:dyDescent="0.2">
      <c r="A763" s="98" t="s">
        <v>310</v>
      </c>
      <c r="B763" s="99" t="s">
        <v>37</v>
      </c>
      <c r="C763" s="99">
        <v>840</v>
      </c>
      <c r="D763" s="100">
        <v>1300</v>
      </c>
      <c r="E763" s="98">
        <f>953.3+396</f>
        <v>1349.3</v>
      </c>
      <c r="F763" s="98" t="s">
        <v>8</v>
      </c>
      <c r="G763" s="101">
        <v>3</v>
      </c>
      <c r="H763" s="98" t="s">
        <v>311</v>
      </c>
      <c r="I763" s="102">
        <v>43467</v>
      </c>
      <c r="J763" s="98" t="s">
        <v>141</v>
      </c>
      <c r="K763" s="98"/>
      <c r="L763" s="98">
        <v>1</v>
      </c>
      <c r="M763" s="98">
        <f t="shared" si="75"/>
        <v>840</v>
      </c>
      <c r="N763" s="103">
        <f t="shared" si="76"/>
        <v>-0.3452380952380949</v>
      </c>
    </row>
    <row r="764" spans="1:14" s="104" customFormat="1" ht="15" hidden="1" customHeight="1" x14ac:dyDescent="0.2">
      <c r="A764" s="98" t="s">
        <v>310</v>
      </c>
      <c r="B764" s="99" t="s">
        <v>37</v>
      </c>
      <c r="C764" s="99">
        <v>1200</v>
      </c>
      <c r="D764" s="100">
        <v>960</v>
      </c>
      <c r="E764" s="98">
        <f>485.1+485.7</f>
        <v>970.8</v>
      </c>
      <c r="F764" s="98" t="s">
        <v>8</v>
      </c>
      <c r="G764" s="101">
        <v>3</v>
      </c>
      <c r="H764" s="98" t="s">
        <v>311</v>
      </c>
      <c r="I764" s="102">
        <v>43467</v>
      </c>
      <c r="J764" s="98" t="s">
        <v>141</v>
      </c>
      <c r="K764" s="98"/>
      <c r="L764" s="98">
        <v>1</v>
      </c>
      <c r="M764" s="98">
        <f t="shared" si="75"/>
        <v>1200</v>
      </c>
      <c r="N764" s="103">
        <f t="shared" si="76"/>
        <v>-5.2941176470588006E-2</v>
      </c>
    </row>
    <row r="765" spans="1:14" s="104" customFormat="1" ht="15" hidden="1" customHeight="1" x14ac:dyDescent="0.2">
      <c r="A765" s="98" t="s">
        <v>310</v>
      </c>
      <c r="B765" s="99" t="s">
        <v>38</v>
      </c>
      <c r="C765" s="99">
        <v>760</v>
      </c>
      <c r="D765" s="100">
        <f>3000-1228.9</f>
        <v>1771.1</v>
      </c>
      <c r="E765" s="98">
        <f>262.6+1489.5</f>
        <v>1752.1</v>
      </c>
      <c r="F765" s="98" t="s">
        <v>8</v>
      </c>
      <c r="G765" s="101"/>
      <c r="H765" s="98" t="s">
        <v>311</v>
      </c>
      <c r="I765" s="102">
        <v>43467</v>
      </c>
      <c r="J765" s="98" t="s">
        <v>141</v>
      </c>
      <c r="K765" s="98"/>
      <c r="L765" s="98">
        <v>1</v>
      </c>
      <c r="M765" s="98">
        <f t="shared" si="75"/>
        <v>760</v>
      </c>
      <c r="N765" s="103">
        <f t="shared" si="76"/>
        <v>0.14705882352941174</v>
      </c>
    </row>
    <row r="766" spans="1:14" s="104" customFormat="1" ht="15" hidden="1" customHeight="1" x14ac:dyDescent="0.2">
      <c r="A766" s="98" t="s">
        <v>310</v>
      </c>
      <c r="B766" s="99" t="s">
        <v>38</v>
      </c>
      <c r="C766" s="99">
        <v>850</v>
      </c>
      <c r="D766" s="100">
        <v>680</v>
      </c>
      <c r="E766" s="98">
        <f>696</f>
        <v>696</v>
      </c>
      <c r="F766" s="98" t="s">
        <v>8</v>
      </c>
      <c r="G766" s="101"/>
      <c r="H766" s="98" t="s">
        <v>311</v>
      </c>
      <c r="I766" s="102">
        <v>43467</v>
      </c>
      <c r="J766" s="98" t="s">
        <v>141</v>
      </c>
      <c r="K766" s="98"/>
      <c r="L766" s="98">
        <v>1</v>
      </c>
      <c r="M766" s="98">
        <f t="shared" si="75"/>
        <v>850</v>
      </c>
      <c r="N766" s="103">
        <f t="shared" si="76"/>
        <v>-0.11072664359861592</v>
      </c>
    </row>
    <row r="767" spans="1:14" ht="15" hidden="1" customHeight="1" x14ac:dyDescent="0.2">
      <c r="A767" s="1" t="s">
        <v>310</v>
      </c>
      <c r="B767" s="2" t="s">
        <v>38</v>
      </c>
      <c r="C767" s="2">
        <v>860</v>
      </c>
      <c r="D767" s="7">
        <v>680</v>
      </c>
      <c r="E767" s="1">
        <f>685.2</f>
        <v>685.2</v>
      </c>
      <c r="F767" s="1" t="s">
        <v>8</v>
      </c>
      <c r="H767" s="1" t="s">
        <v>311</v>
      </c>
      <c r="I767" s="8">
        <v>43467</v>
      </c>
      <c r="J767" s="16" t="s">
        <v>141</v>
      </c>
      <c r="L767" s="3">
        <v>1</v>
      </c>
      <c r="M767" s="10">
        <f t="shared" si="75"/>
        <v>860</v>
      </c>
      <c r="N767" s="32">
        <f t="shared" si="76"/>
        <v>-3.5567715458276639E-2</v>
      </c>
    </row>
    <row r="768" spans="1:14" s="104" customFormat="1" ht="15" hidden="1" customHeight="1" x14ac:dyDescent="0.2">
      <c r="A768" s="98" t="s">
        <v>310</v>
      </c>
      <c r="B768" s="99" t="s">
        <v>38</v>
      </c>
      <c r="C768" s="99">
        <v>880</v>
      </c>
      <c r="D768" s="100">
        <v>700</v>
      </c>
      <c r="E768" s="98">
        <f>719.1</f>
        <v>719.1</v>
      </c>
      <c r="F768" s="98" t="s">
        <v>8</v>
      </c>
      <c r="G768" s="101"/>
      <c r="H768" s="98" t="s">
        <v>311</v>
      </c>
      <c r="I768" s="102">
        <v>43467</v>
      </c>
      <c r="J768" s="98" t="s">
        <v>141</v>
      </c>
      <c r="K768" s="98"/>
      <c r="L768" s="98">
        <v>1</v>
      </c>
      <c r="M768" s="98">
        <f t="shared" si="75"/>
        <v>880</v>
      </c>
      <c r="N768" s="103">
        <f t="shared" si="76"/>
        <v>-0.12767379679144397</v>
      </c>
    </row>
    <row r="769" spans="1:14" s="104" customFormat="1" ht="15" hidden="1" customHeight="1" x14ac:dyDescent="0.2">
      <c r="A769" s="98" t="s">
        <v>310</v>
      </c>
      <c r="B769" s="99" t="s">
        <v>38</v>
      </c>
      <c r="C769" s="99">
        <v>1000</v>
      </c>
      <c r="D769" s="100">
        <v>1600</v>
      </c>
      <c r="E769" s="98">
        <f>1629</f>
        <v>1629</v>
      </c>
      <c r="F769" s="98" t="s">
        <v>8</v>
      </c>
      <c r="G769" s="101"/>
      <c r="H769" s="98" t="s">
        <v>311</v>
      </c>
      <c r="I769" s="102">
        <v>43467</v>
      </c>
      <c r="J769" s="98" t="s">
        <v>141</v>
      </c>
      <c r="K769" s="98"/>
      <c r="L769" s="98">
        <v>1</v>
      </c>
      <c r="M769" s="98">
        <f t="shared" si="75"/>
        <v>1000</v>
      </c>
      <c r="N769" s="103">
        <f t="shared" si="76"/>
        <v>-0.17058823529411765</v>
      </c>
    </row>
    <row r="770" spans="1:14" s="104" customFormat="1" ht="15" hidden="1" customHeight="1" x14ac:dyDescent="0.2">
      <c r="A770" s="98" t="s">
        <v>310</v>
      </c>
      <c r="B770" s="99" t="s">
        <v>38</v>
      </c>
      <c r="C770" s="99">
        <v>1040</v>
      </c>
      <c r="D770" s="100">
        <v>820</v>
      </c>
      <c r="E770" s="98">
        <f>844.1</f>
        <v>844.1</v>
      </c>
      <c r="F770" s="98" t="s">
        <v>8</v>
      </c>
      <c r="G770" s="101"/>
      <c r="H770" s="98" t="s">
        <v>311</v>
      </c>
      <c r="I770" s="102">
        <v>43467</v>
      </c>
      <c r="J770" s="98" t="s">
        <v>141</v>
      </c>
      <c r="K770" s="98"/>
      <c r="L770" s="98">
        <v>1</v>
      </c>
      <c r="M770" s="98">
        <f t="shared" si="75"/>
        <v>1040</v>
      </c>
      <c r="N770" s="103">
        <f t="shared" si="76"/>
        <v>-0.13631221719457026</v>
      </c>
    </row>
    <row r="771" spans="1:14" s="104" customFormat="1" ht="15" hidden="1" customHeight="1" x14ac:dyDescent="0.2">
      <c r="A771" s="98" t="s">
        <v>310</v>
      </c>
      <c r="B771" s="99" t="s">
        <v>38</v>
      </c>
      <c r="C771" s="99">
        <v>1140</v>
      </c>
      <c r="D771" s="100">
        <v>920</v>
      </c>
      <c r="E771" s="98">
        <f>929.4</f>
        <v>929.4</v>
      </c>
      <c r="F771" s="98" t="s">
        <v>8</v>
      </c>
      <c r="G771" s="101"/>
      <c r="H771" s="98" t="s">
        <v>311</v>
      </c>
      <c r="I771" s="102">
        <v>43467</v>
      </c>
      <c r="J771" s="98" t="s">
        <v>141</v>
      </c>
      <c r="K771" s="98"/>
      <c r="L771" s="98">
        <v>1</v>
      </c>
      <c r="M771" s="98">
        <f t="shared" si="75"/>
        <v>1140</v>
      </c>
      <c r="N771" s="103">
        <f t="shared" si="76"/>
        <v>-4.8503611971104109E-2</v>
      </c>
    </row>
    <row r="772" spans="1:14" s="60" customFormat="1" ht="15" hidden="1" customHeight="1" x14ac:dyDescent="0.2">
      <c r="A772" s="55" t="s">
        <v>310</v>
      </c>
      <c r="B772" s="54" t="s">
        <v>36</v>
      </c>
      <c r="C772" s="47">
        <v>680</v>
      </c>
      <c r="D772" s="56">
        <v>540</v>
      </c>
      <c r="E772" s="55">
        <f>537</f>
        <v>537</v>
      </c>
      <c r="F772" s="55" t="s">
        <v>8</v>
      </c>
      <c r="G772" s="57" t="s">
        <v>146</v>
      </c>
      <c r="H772" s="55" t="s">
        <v>311</v>
      </c>
      <c r="I772" s="58">
        <v>43467</v>
      </c>
      <c r="J772" s="55" t="s">
        <v>141</v>
      </c>
      <c r="K772" s="55"/>
      <c r="L772" s="55">
        <v>1</v>
      </c>
      <c r="M772" s="55">
        <f t="shared" si="75"/>
        <v>680</v>
      </c>
      <c r="N772" s="59">
        <f t="shared" si="76"/>
        <v>2.5951557093425604E-2</v>
      </c>
    </row>
    <row r="773" spans="1:14" s="60" customFormat="1" ht="15" hidden="1" customHeight="1" x14ac:dyDescent="0.2">
      <c r="A773" s="55" t="s">
        <v>310</v>
      </c>
      <c r="B773" s="54" t="s">
        <v>36</v>
      </c>
      <c r="C773" s="54">
        <v>960</v>
      </c>
      <c r="D773" s="56">
        <v>1500</v>
      </c>
      <c r="E773" s="55">
        <f>1609.9</f>
        <v>1609.9</v>
      </c>
      <c r="F773" s="55" t="s">
        <v>8</v>
      </c>
      <c r="G773" s="57" t="s">
        <v>146</v>
      </c>
      <c r="H773" s="55" t="s">
        <v>311</v>
      </c>
      <c r="I773" s="58">
        <v>43467</v>
      </c>
      <c r="J773" s="55" t="s">
        <v>141</v>
      </c>
      <c r="K773" s="55"/>
      <c r="L773" s="55">
        <v>1</v>
      </c>
      <c r="M773" s="55">
        <f t="shared" si="75"/>
        <v>960</v>
      </c>
      <c r="N773" s="59">
        <f t="shared" si="76"/>
        <v>-0.67340686274509853</v>
      </c>
    </row>
    <row r="774" spans="1:14" s="60" customFormat="1" ht="15" hidden="1" customHeight="1" x14ac:dyDescent="0.2">
      <c r="A774" s="55" t="s">
        <v>310</v>
      </c>
      <c r="B774" s="54" t="s">
        <v>36</v>
      </c>
      <c r="C774" s="54">
        <v>1080</v>
      </c>
      <c r="D774" s="56">
        <v>860</v>
      </c>
      <c r="E774" s="55">
        <f>427.5+424.9</f>
        <v>852.4</v>
      </c>
      <c r="F774" s="55" t="s">
        <v>8</v>
      </c>
      <c r="G774" s="57" t="s">
        <v>146</v>
      </c>
      <c r="H774" s="55" t="s">
        <v>311</v>
      </c>
      <c r="I774" s="58">
        <v>43467</v>
      </c>
      <c r="J774" s="55" t="s">
        <v>141</v>
      </c>
      <c r="K774" s="55"/>
      <c r="L774" s="55">
        <v>1</v>
      </c>
      <c r="M774" s="55">
        <f t="shared" si="75"/>
        <v>1080</v>
      </c>
      <c r="N774" s="59">
        <f t="shared" si="76"/>
        <v>4.139433551198269E-2</v>
      </c>
    </row>
    <row r="775" spans="1:14" s="104" customFormat="1" ht="15" hidden="1" customHeight="1" x14ac:dyDescent="0.2">
      <c r="A775" s="98" t="s">
        <v>194</v>
      </c>
      <c r="B775" s="99" t="s">
        <v>37</v>
      </c>
      <c r="C775" s="99">
        <v>225</v>
      </c>
      <c r="D775" s="100">
        <v>100</v>
      </c>
      <c r="E775" s="98">
        <f>106.1</f>
        <v>106.1</v>
      </c>
      <c r="F775" s="98" t="s">
        <v>8</v>
      </c>
      <c r="G775" s="101">
        <v>3</v>
      </c>
      <c r="H775" s="98"/>
      <c r="I775" s="102">
        <v>43467</v>
      </c>
      <c r="J775" s="98" t="s">
        <v>195</v>
      </c>
      <c r="K775" s="98"/>
      <c r="L775" s="98">
        <v>4</v>
      </c>
      <c r="M775" s="98">
        <f t="shared" ref="M775:M798" si="77">L775*C775</f>
        <v>900</v>
      </c>
      <c r="N775" s="103">
        <f t="shared" ref="N775:N797" si="78">(D775-E775)/(M775*0.17)</f>
        <v>-3.9869281045751596E-2</v>
      </c>
    </row>
    <row r="776" spans="1:14" s="104" customFormat="1" ht="15" hidden="1" customHeight="1" x14ac:dyDescent="0.2">
      <c r="A776" s="98" t="s">
        <v>194</v>
      </c>
      <c r="B776" s="99" t="s">
        <v>37</v>
      </c>
      <c r="C776" s="99">
        <v>150</v>
      </c>
      <c r="D776" s="100">
        <v>50</v>
      </c>
      <c r="E776" s="98">
        <f>53.9</f>
        <v>53.9</v>
      </c>
      <c r="F776" s="98" t="s">
        <v>8</v>
      </c>
      <c r="G776" s="101">
        <v>3</v>
      </c>
      <c r="H776" s="98"/>
      <c r="I776" s="102">
        <v>43467</v>
      </c>
      <c r="J776" s="98" t="s">
        <v>195</v>
      </c>
      <c r="K776" s="98"/>
      <c r="L776" s="98">
        <v>7</v>
      </c>
      <c r="M776" s="98">
        <f t="shared" si="77"/>
        <v>1050</v>
      </c>
      <c r="N776" s="103">
        <f t="shared" si="78"/>
        <v>-2.1848739495798311E-2</v>
      </c>
    </row>
    <row r="777" spans="1:14" s="104" customFormat="1" ht="15" hidden="1" customHeight="1" x14ac:dyDescent="0.2">
      <c r="A777" s="98" t="s">
        <v>194</v>
      </c>
      <c r="B777" s="99" t="s">
        <v>37</v>
      </c>
      <c r="C777" s="99">
        <v>190</v>
      </c>
      <c r="D777" s="100">
        <v>250</v>
      </c>
      <c r="E777" s="98">
        <f>279.8</f>
        <v>279.8</v>
      </c>
      <c r="F777" s="98" t="s">
        <v>8</v>
      </c>
      <c r="G777" s="101">
        <v>3</v>
      </c>
      <c r="H777" s="98"/>
      <c r="I777" s="102">
        <v>43467</v>
      </c>
      <c r="J777" s="98" t="s">
        <v>195</v>
      </c>
      <c r="K777" s="98"/>
      <c r="L777" s="98">
        <v>6</v>
      </c>
      <c r="M777" s="98">
        <f t="shared" si="77"/>
        <v>1140</v>
      </c>
      <c r="N777" s="103">
        <f t="shared" si="78"/>
        <v>-0.15376676986584112</v>
      </c>
    </row>
    <row r="778" spans="1:14" s="104" customFormat="1" ht="15" hidden="1" customHeight="1" x14ac:dyDescent="0.2">
      <c r="A778" s="98" t="s">
        <v>194</v>
      </c>
      <c r="B778" s="99" t="s">
        <v>37</v>
      </c>
      <c r="C778" s="99">
        <v>170</v>
      </c>
      <c r="D778" s="100">
        <v>100</v>
      </c>
      <c r="E778" s="98">
        <f>121.8</f>
        <v>121.8</v>
      </c>
      <c r="F778" s="98" t="s">
        <v>8</v>
      </c>
      <c r="G778" s="101">
        <v>3</v>
      </c>
      <c r="H778" s="98"/>
      <c r="I778" s="102">
        <v>43467</v>
      </c>
      <c r="J778" s="98" t="s">
        <v>195</v>
      </c>
      <c r="K778" s="98"/>
      <c r="L778" s="98">
        <v>6</v>
      </c>
      <c r="M778" s="98">
        <f t="shared" si="77"/>
        <v>1020</v>
      </c>
      <c r="N778" s="103">
        <f t="shared" si="78"/>
        <v>-0.12572087658592848</v>
      </c>
    </row>
    <row r="779" spans="1:14" s="104" customFormat="1" ht="15" hidden="1" customHeight="1" x14ac:dyDescent="0.2">
      <c r="A779" s="98" t="s">
        <v>194</v>
      </c>
      <c r="B779" s="99" t="s">
        <v>37</v>
      </c>
      <c r="C779" s="99">
        <v>200</v>
      </c>
      <c r="D779" s="100">
        <v>150</v>
      </c>
      <c r="E779" s="98">
        <f>147.5</f>
        <v>147.5</v>
      </c>
      <c r="F779" s="98" t="s">
        <v>8</v>
      </c>
      <c r="G779" s="101">
        <v>3</v>
      </c>
      <c r="H779" s="98"/>
      <c r="I779" s="102">
        <v>43467</v>
      </c>
      <c r="J779" s="98" t="s">
        <v>195</v>
      </c>
      <c r="K779" s="98"/>
      <c r="L779" s="98">
        <v>5</v>
      </c>
      <c r="M779" s="98">
        <f t="shared" si="77"/>
        <v>1000</v>
      </c>
      <c r="N779" s="103">
        <f t="shared" si="78"/>
        <v>1.4705882352941176E-2</v>
      </c>
    </row>
    <row r="780" spans="1:14" s="104" customFormat="1" ht="15" hidden="1" customHeight="1" x14ac:dyDescent="0.2">
      <c r="A780" s="98" t="s">
        <v>194</v>
      </c>
      <c r="B780" s="99" t="s">
        <v>37</v>
      </c>
      <c r="C780" s="99">
        <v>195</v>
      </c>
      <c r="D780" s="100">
        <v>250</v>
      </c>
      <c r="E780" s="98">
        <f>265.6</f>
        <v>265.60000000000002</v>
      </c>
      <c r="F780" s="98" t="s">
        <v>8</v>
      </c>
      <c r="G780" s="101">
        <v>3</v>
      </c>
      <c r="H780" s="98"/>
      <c r="I780" s="102">
        <v>43467</v>
      </c>
      <c r="J780" s="98" t="s">
        <v>195</v>
      </c>
      <c r="K780" s="98"/>
      <c r="L780" s="98">
        <v>5</v>
      </c>
      <c r="M780" s="98">
        <f t="shared" si="77"/>
        <v>975</v>
      </c>
      <c r="N780" s="103">
        <f t="shared" si="78"/>
        <v>-9.4117647058823667E-2</v>
      </c>
    </row>
    <row r="781" spans="1:14" s="104" customFormat="1" ht="15" hidden="1" customHeight="1" x14ac:dyDescent="0.2">
      <c r="A781" s="98" t="s">
        <v>194</v>
      </c>
      <c r="B781" s="99" t="s">
        <v>37</v>
      </c>
      <c r="C781" s="99">
        <v>175</v>
      </c>
      <c r="D781" s="100">
        <v>350</v>
      </c>
      <c r="E781" s="98">
        <f>360.6</f>
        <v>360.6</v>
      </c>
      <c r="F781" s="98" t="s">
        <v>8</v>
      </c>
      <c r="G781" s="101">
        <v>3</v>
      </c>
      <c r="H781" s="98"/>
      <c r="I781" s="102">
        <v>43467</v>
      </c>
      <c r="J781" s="98" t="s">
        <v>195</v>
      </c>
      <c r="K781" s="98"/>
      <c r="L781" s="98">
        <v>6</v>
      </c>
      <c r="M781" s="98">
        <f t="shared" si="77"/>
        <v>1050</v>
      </c>
      <c r="N781" s="103">
        <f t="shared" si="78"/>
        <v>-5.9383753501400689E-2</v>
      </c>
    </row>
    <row r="782" spans="1:14" s="104" customFormat="1" ht="15" hidden="1" customHeight="1" x14ac:dyDescent="0.2">
      <c r="A782" s="98" t="s">
        <v>194</v>
      </c>
      <c r="B782" s="99" t="s">
        <v>37</v>
      </c>
      <c r="C782" s="99">
        <v>205</v>
      </c>
      <c r="D782" s="100">
        <v>150</v>
      </c>
      <c r="E782" s="98">
        <f>157</f>
        <v>157</v>
      </c>
      <c r="F782" s="98" t="s">
        <v>8</v>
      </c>
      <c r="G782" s="101">
        <v>3</v>
      </c>
      <c r="H782" s="98"/>
      <c r="I782" s="102">
        <v>43467</v>
      </c>
      <c r="J782" s="98" t="s">
        <v>195</v>
      </c>
      <c r="K782" s="98"/>
      <c r="L782" s="98">
        <v>5</v>
      </c>
      <c r="M782" s="98">
        <f t="shared" si="77"/>
        <v>1025</v>
      </c>
      <c r="N782" s="103">
        <f t="shared" si="78"/>
        <v>-4.0172166427546625E-2</v>
      </c>
    </row>
    <row r="783" spans="1:14" s="104" customFormat="1" ht="15" hidden="1" customHeight="1" x14ac:dyDescent="0.2">
      <c r="A783" s="98" t="s">
        <v>194</v>
      </c>
      <c r="B783" s="99" t="s">
        <v>37</v>
      </c>
      <c r="C783" s="99">
        <v>230</v>
      </c>
      <c r="D783" s="100">
        <v>150</v>
      </c>
      <c r="E783" s="98">
        <f>148.5</f>
        <v>148.5</v>
      </c>
      <c r="F783" s="98" t="s">
        <v>8</v>
      </c>
      <c r="G783" s="101">
        <v>3</v>
      </c>
      <c r="H783" s="98"/>
      <c r="I783" s="102">
        <v>43467</v>
      </c>
      <c r="J783" s="98" t="s">
        <v>195</v>
      </c>
      <c r="K783" s="98"/>
      <c r="L783" s="98">
        <v>5</v>
      </c>
      <c r="M783" s="98">
        <f t="shared" si="77"/>
        <v>1150</v>
      </c>
      <c r="N783" s="103">
        <f t="shared" si="78"/>
        <v>7.6726342710997444E-3</v>
      </c>
    </row>
    <row r="784" spans="1:14" s="104" customFormat="1" ht="15" hidden="1" customHeight="1" x14ac:dyDescent="0.2">
      <c r="A784" s="98" t="s">
        <v>194</v>
      </c>
      <c r="B784" s="99" t="s">
        <v>37</v>
      </c>
      <c r="C784" s="99">
        <v>185</v>
      </c>
      <c r="D784" s="100">
        <v>50</v>
      </c>
      <c r="E784" s="98">
        <f>55</f>
        <v>55</v>
      </c>
      <c r="F784" s="98" t="s">
        <v>8</v>
      </c>
      <c r="G784" s="101">
        <v>3</v>
      </c>
      <c r="H784" s="98"/>
      <c r="I784" s="102">
        <v>43467</v>
      </c>
      <c r="J784" s="98" t="s">
        <v>195</v>
      </c>
      <c r="K784" s="98"/>
      <c r="L784" s="98">
        <v>6</v>
      </c>
      <c r="M784" s="98">
        <f t="shared" si="77"/>
        <v>1110</v>
      </c>
      <c r="N784" s="103">
        <f t="shared" si="78"/>
        <v>-2.6497085320614729E-2</v>
      </c>
    </row>
    <row r="785" spans="1:14" s="104" customFormat="1" ht="15" hidden="1" customHeight="1" x14ac:dyDescent="0.2">
      <c r="A785" s="98" t="s">
        <v>194</v>
      </c>
      <c r="B785" s="99" t="s">
        <v>37</v>
      </c>
      <c r="C785" s="99">
        <v>220</v>
      </c>
      <c r="D785" s="100">
        <v>100</v>
      </c>
      <c r="E785" s="98">
        <f>102.4</f>
        <v>102.4</v>
      </c>
      <c r="F785" s="98" t="s">
        <v>8</v>
      </c>
      <c r="G785" s="101">
        <v>3</v>
      </c>
      <c r="H785" s="98"/>
      <c r="I785" s="102">
        <v>43467</v>
      </c>
      <c r="J785" s="98" t="s">
        <v>195</v>
      </c>
      <c r="K785" s="98"/>
      <c r="L785" s="98">
        <v>5</v>
      </c>
      <c r="M785" s="98">
        <f t="shared" si="77"/>
        <v>1100</v>
      </c>
      <c r="N785" s="103">
        <f t="shared" si="78"/>
        <v>-1.2834224598930511E-2</v>
      </c>
    </row>
    <row r="786" spans="1:14" s="104" customFormat="1" ht="15" hidden="1" customHeight="1" x14ac:dyDescent="0.2">
      <c r="A786" s="98" t="s">
        <v>194</v>
      </c>
      <c r="B786" s="99" t="s">
        <v>37</v>
      </c>
      <c r="C786" s="99">
        <v>210</v>
      </c>
      <c r="D786" s="100">
        <v>100</v>
      </c>
      <c r="E786" s="98">
        <f>117</f>
        <v>117</v>
      </c>
      <c r="F786" s="98" t="s">
        <v>8</v>
      </c>
      <c r="G786" s="101">
        <v>3</v>
      </c>
      <c r="H786" s="98"/>
      <c r="I786" s="102">
        <v>43467</v>
      </c>
      <c r="J786" s="98" t="s">
        <v>195</v>
      </c>
      <c r="K786" s="98"/>
      <c r="L786" s="98">
        <v>5</v>
      </c>
      <c r="M786" s="98">
        <f t="shared" si="77"/>
        <v>1050</v>
      </c>
      <c r="N786" s="103">
        <f t="shared" si="78"/>
        <v>-9.5238095238095233E-2</v>
      </c>
    </row>
    <row r="787" spans="1:14" s="104" customFormat="1" ht="15" hidden="1" customHeight="1" x14ac:dyDescent="0.2">
      <c r="A787" s="98" t="s">
        <v>194</v>
      </c>
      <c r="B787" s="99" t="s">
        <v>37</v>
      </c>
      <c r="C787" s="99">
        <v>165</v>
      </c>
      <c r="D787" s="100">
        <v>150</v>
      </c>
      <c r="E787" s="98">
        <f>146.4</f>
        <v>146.4</v>
      </c>
      <c r="F787" s="98" t="s">
        <v>8</v>
      </c>
      <c r="G787" s="101">
        <v>3</v>
      </c>
      <c r="H787" s="98"/>
      <c r="I787" s="102">
        <v>43467</v>
      </c>
      <c r="J787" s="98" t="s">
        <v>195</v>
      </c>
      <c r="K787" s="98"/>
      <c r="L787" s="98">
        <v>5</v>
      </c>
      <c r="M787" s="98">
        <f t="shared" si="77"/>
        <v>825</v>
      </c>
      <c r="N787" s="103">
        <f t="shared" si="78"/>
        <v>2.5668449197860922E-2</v>
      </c>
    </row>
    <row r="788" spans="1:14" s="104" customFormat="1" ht="15" hidden="1" customHeight="1" x14ac:dyDescent="0.2">
      <c r="A788" s="98" t="s">
        <v>194</v>
      </c>
      <c r="B788" s="99" t="s">
        <v>37</v>
      </c>
      <c r="C788" s="99">
        <v>160</v>
      </c>
      <c r="D788" s="100">
        <v>100</v>
      </c>
      <c r="E788" s="98">
        <f>91.8</f>
        <v>91.8</v>
      </c>
      <c r="F788" s="98" t="s">
        <v>8</v>
      </c>
      <c r="G788" s="101">
        <v>3</v>
      </c>
      <c r="H788" s="98"/>
      <c r="I788" s="102">
        <v>43467</v>
      </c>
      <c r="J788" s="98" t="s">
        <v>195</v>
      </c>
      <c r="K788" s="98"/>
      <c r="L788" s="98">
        <v>7</v>
      </c>
      <c r="M788" s="98">
        <f t="shared" si="77"/>
        <v>1120</v>
      </c>
      <c r="N788" s="103">
        <f t="shared" si="78"/>
        <v>4.3067226890756316E-2</v>
      </c>
    </row>
    <row r="789" spans="1:14" s="104" customFormat="1" ht="15" hidden="1" customHeight="1" x14ac:dyDescent="0.2">
      <c r="A789" s="98" t="s">
        <v>194</v>
      </c>
      <c r="B789" s="99" t="s">
        <v>37</v>
      </c>
      <c r="C789" s="99">
        <v>215</v>
      </c>
      <c r="D789" s="100">
        <v>100</v>
      </c>
      <c r="E789" s="98">
        <f>101.6</f>
        <v>101.6</v>
      </c>
      <c r="F789" s="98" t="s">
        <v>8</v>
      </c>
      <c r="G789" s="101">
        <v>3</v>
      </c>
      <c r="H789" s="98"/>
      <c r="I789" s="102">
        <v>43467</v>
      </c>
      <c r="J789" s="98" t="s">
        <v>195</v>
      </c>
      <c r="K789" s="98"/>
      <c r="L789" s="98">
        <v>5</v>
      </c>
      <c r="M789" s="98">
        <f t="shared" si="77"/>
        <v>1075</v>
      </c>
      <c r="N789" s="103">
        <f t="shared" si="78"/>
        <v>-8.755129958960297E-3</v>
      </c>
    </row>
    <row r="790" spans="1:14" s="104" customFormat="1" ht="15" hidden="1" customHeight="1" x14ac:dyDescent="0.2">
      <c r="A790" s="98" t="s">
        <v>194</v>
      </c>
      <c r="B790" s="99" t="s">
        <v>37</v>
      </c>
      <c r="C790" s="99">
        <v>155</v>
      </c>
      <c r="D790" s="100">
        <v>100</v>
      </c>
      <c r="E790" s="98">
        <f>97.5</f>
        <v>97.5</v>
      </c>
      <c r="F790" s="98" t="s">
        <v>8</v>
      </c>
      <c r="G790" s="101">
        <v>3</v>
      </c>
      <c r="H790" s="98"/>
      <c r="I790" s="102">
        <v>43467</v>
      </c>
      <c r="J790" s="98" t="s">
        <v>195</v>
      </c>
      <c r="K790" s="98"/>
      <c r="L790" s="98">
        <v>6</v>
      </c>
      <c r="M790" s="98">
        <f t="shared" si="77"/>
        <v>930</v>
      </c>
      <c r="N790" s="103">
        <f t="shared" si="78"/>
        <v>1.5812776723592662E-2</v>
      </c>
    </row>
    <row r="791" spans="1:14" s="104" customFormat="1" ht="15" hidden="1" customHeight="1" x14ac:dyDescent="0.2">
      <c r="A791" s="98" t="s">
        <v>308</v>
      </c>
      <c r="B791" s="99" t="s">
        <v>38</v>
      </c>
      <c r="C791" s="99">
        <v>265</v>
      </c>
      <c r="D791" s="100">
        <v>1000</v>
      </c>
      <c r="E791" s="98">
        <f>1051.2</f>
        <v>1051.2</v>
      </c>
      <c r="F791" s="98" t="s">
        <v>8</v>
      </c>
      <c r="G791" s="101"/>
      <c r="H791" s="98">
        <v>300</v>
      </c>
      <c r="I791" s="102">
        <v>43468</v>
      </c>
      <c r="J791" s="98" t="s">
        <v>312</v>
      </c>
      <c r="K791" s="98"/>
      <c r="L791" s="98">
        <v>3</v>
      </c>
      <c r="M791" s="98">
        <f t="shared" si="77"/>
        <v>795</v>
      </c>
      <c r="N791" s="103">
        <f t="shared" si="78"/>
        <v>-0.37883832778394411</v>
      </c>
    </row>
    <row r="792" spans="1:14" s="104" customFormat="1" ht="15" hidden="1" customHeight="1" x14ac:dyDescent="0.2">
      <c r="A792" s="98" t="s">
        <v>313</v>
      </c>
      <c r="B792" s="99" t="s">
        <v>38</v>
      </c>
      <c r="C792" s="99">
        <v>325</v>
      </c>
      <c r="D792" s="100">
        <v>150</v>
      </c>
      <c r="E792" s="98">
        <f>150.4</f>
        <v>150.4</v>
      </c>
      <c r="F792" s="98" t="s">
        <v>8</v>
      </c>
      <c r="G792" s="101" t="s">
        <v>146</v>
      </c>
      <c r="H792" s="98" t="s">
        <v>314</v>
      </c>
      <c r="I792" s="102">
        <v>43468</v>
      </c>
      <c r="J792" s="98" t="s">
        <v>315</v>
      </c>
      <c r="K792" s="98"/>
      <c r="L792" s="98">
        <v>4</v>
      </c>
      <c r="M792" s="98">
        <f t="shared" si="77"/>
        <v>1300</v>
      </c>
      <c r="N792" s="103">
        <f t="shared" si="78"/>
        <v>-1.8099547511312472E-3</v>
      </c>
    </row>
    <row r="793" spans="1:14" s="104" customFormat="1" ht="15" hidden="1" customHeight="1" x14ac:dyDescent="0.2">
      <c r="A793" s="98" t="s">
        <v>313</v>
      </c>
      <c r="B793" s="99" t="s">
        <v>38</v>
      </c>
      <c r="C793" s="99">
        <v>375</v>
      </c>
      <c r="D793" s="100">
        <v>100</v>
      </c>
      <c r="E793" s="98">
        <f>102.6</f>
        <v>102.6</v>
      </c>
      <c r="F793" s="98" t="s">
        <v>8</v>
      </c>
      <c r="G793" s="101"/>
      <c r="H793" s="98" t="s">
        <v>314</v>
      </c>
      <c r="I793" s="102">
        <v>43468</v>
      </c>
      <c r="J793" s="98" t="s">
        <v>315</v>
      </c>
      <c r="K793" s="98"/>
      <c r="L793" s="98">
        <v>2</v>
      </c>
      <c r="M793" s="98">
        <f t="shared" si="77"/>
        <v>750</v>
      </c>
      <c r="N793" s="103">
        <f t="shared" si="78"/>
        <v>-2.0392156862745051E-2</v>
      </c>
    </row>
    <row r="794" spans="1:14" s="104" customFormat="1" ht="15" hidden="1" customHeight="1" x14ac:dyDescent="0.2">
      <c r="A794" s="98" t="s">
        <v>313</v>
      </c>
      <c r="B794" s="99" t="s">
        <v>38</v>
      </c>
      <c r="C794" s="99">
        <v>220</v>
      </c>
      <c r="D794" s="100">
        <v>100</v>
      </c>
      <c r="E794" s="98">
        <f>107.2</f>
        <v>107.2</v>
      </c>
      <c r="F794" s="98" t="s">
        <v>8</v>
      </c>
      <c r="G794" s="101" t="s">
        <v>146</v>
      </c>
      <c r="H794" s="98" t="s">
        <v>314</v>
      </c>
      <c r="I794" s="102">
        <v>43468</v>
      </c>
      <c r="J794" s="98" t="s">
        <v>315</v>
      </c>
      <c r="K794" s="98"/>
      <c r="L794" s="98">
        <v>6</v>
      </c>
      <c r="M794" s="98">
        <f t="shared" si="77"/>
        <v>1320</v>
      </c>
      <c r="N794" s="103">
        <f t="shared" si="78"/>
        <v>-3.2085561497326213E-2</v>
      </c>
    </row>
    <row r="795" spans="1:14" s="96" customFormat="1" ht="15" hidden="1" customHeight="1" x14ac:dyDescent="0.2">
      <c r="A795" s="90" t="s">
        <v>319</v>
      </c>
      <c r="B795" s="91" t="s">
        <v>36</v>
      </c>
      <c r="C795" s="47">
        <v>440</v>
      </c>
      <c r="D795" s="92">
        <v>100</v>
      </c>
      <c r="E795" s="90">
        <f>105.4</f>
        <v>105.4</v>
      </c>
      <c r="F795" s="90" t="s">
        <v>8</v>
      </c>
      <c r="G795" s="93" t="s">
        <v>146</v>
      </c>
      <c r="H795" s="90"/>
      <c r="I795" s="94">
        <v>43469</v>
      </c>
      <c r="J795" s="90" t="s">
        <v>320</v>
      </c>
      <c r="K795" s="90"/>
      <c r="L795" s="90">
        <v>2</v>
      </c>
      <c r="M795" s="90">
        <f t="shared" si="77"/>
        <v>880</v>
      </c>
      <c r="N795" s="95">
        <f t="shared" si="78"/>
        <v>-3.6096256684492012E-2</v>
      </c>
    </row>
    <row r="796" spans="1:14" s="138" customFormat="1" ht="15" hidden="1" customHeight="1" x14ac:dyDescent="0.2">
      <c r="A796" s="134" t="s">
        <v>319</v>
      </c>
      <c r="B796" s="107" t="s">
        <v>37</v>
      </c>
      <c r="C796" s="107">
        <v>440</v>
      </c>
      <c r="D796" s="108">
        <v>500</v>
      </c>
      <c r="E796" s="134">
        <f>539.6</f>
        <v>539.6</v>
      </c>
      <c r="F796" s="134" t="s">
        <v>8</v>
      </c>
      <c r="G796" s="135"/>
      <c r="H796" s="134"/>
      <c r="I796" s="136">
        <v>43469</v>
      </c>
      <c r="J796" s="134" t="s">
        <v>320</v>
      </c>
      <c r="K796" s="134"/>
      <c r="L796" s="134">
        <v>2</v>
      </c>
      <c r="M796" s="134">
        <f t="shared" si="77"/>
        <v>880</v>
      </c>
      <c r="N796" s="137">
        <f t="shared" si="78"/>
        <v>-0.26470588235294129</v>
      </c>
    </row>
    <row r="797" spans="1:14" s="138" customFormat="1" ht="15" hidden="1" customHeight="1" x14ac:dyDescent="0.2">
      <c r="A797" s="134" t="s">
        <v>319</v>
      </c>
      <c r="B797" s="107" t="s">
        <v>37</v>
      </c>
      <c r="C797" s="107">
        <v>480</v>
      </c>
      <c r="D797" s="108">
        <v>400</v>
      </c>
      <c r="E797" s="134">
        <f>424.4</f>
        <v>424.4</v>
      </c>
      <c r="F797" s="134" t="s">
        <v>8</v>
      </c>
      <c r="G797" s="135"/>
      <c r="H797" s="134"/>
      <c r="I797" s="136">
        <v>43469</v>
      </c>
      <c r="J797" s="134" t="s">
        <v>320</v>
      </c>
      <c r="K797" s="134"/>
      <c r="L797" s="134">
        <v>2</v>
      </c>
      <c r="M797" s="134">
        <f t="shared" si="77"/>
        <v>960</v>
      </c>
      <c r="N797" s="137">
        <f t="shared" si="78"/>
        <v>-0.14950980392156848</v>
      </c>
    </row>
    <row r="798" spans="1:14" ht="15" hidden="1" customHeight="1" x14ac:dyDescent="0.2">
      <c r="A798" s="1" t="s">
        <v>148</v>
      </c>
      <c r="B798" s="2" t="s">
        <v>38</v>
      </c>
      <c r="C798" s="2">
        <v>260</v>
      </c>
      <c r="D798" s="7">
        <v>500</v>
      </c>
      <c r="F798" s="1" t="s">
        <v>316</v>
      </c>
      <c r="H798" s="109" t="s">
        <v>321</v>
      </c>
      <c r="J798" s="16" t="s">
        <v>322</v>
      </c>
      <c r="L798" s="3">
        <v>1</v>
      </c>
      <c r="M798" s="10">
        <f t="shared" si="77"/>
        <v>260</v>
      </c>
    </row>
    <row r="799" spans="1:14" s="104" customFormat="1" ht="15" hidden="1" customHeight="1" x14ac:dyDescent="0.2">
      <c r="A799" s="98" t="s">
        <v>324</v>
      </c>
      <c r="B799" s="99" t="s">
        <v>38</v>
      </c>
      <c r="C799" s="99">
        <v>470</v>
      </c>
      <c r="D799" s="100">
        <v>214</v>
      </c>
      <c r="E799" s="98">
        <f>219.9</f>
        <v>219.9</v>
      </c>
      <c r="F799" s="98" t="s">
        <v>8</v>
      </c>
      <c r="G799" s="101">
        <v>3</v>
      </c>
      <c r="H799" s="98" t="s">
        <v>325</v>
      </c>
      <c r="I799" s="102">
        <v>43474</v>
      </c>
      <c r="J799" s="98" t="s">
        <v>326</v>
      </c>
      <c r="K799" s="98"/>
      <c r="L799" s="98">
        <v>2</v>
      </c>
      <c r="M799" s="98">
        <f>L799*C799</f>
        <v>940</v>
      </c>
      <c r="N799" s="103">
        <f>(D799-E799)/(M799*0.17)</f>
        <v>-3.6921151439299159E-2</v>
      </c>
    </row>
    <row r="800" spans="1:14" s="104" customFormat="1" ht="15" hidden="1" customHeight="1" x14ac:dyDescent="0.2">
      <c r="A800" s="98" t="s">
        <v>169</v>
      </c>
      <c r="B800" s="99" t="s">
        <v>37</v>
      </c>
      <c r="C800" s="99">
        <v>280</v>
      </c>
      <c r="D800" s="100">
        <v>25</v>
      </c>
      <c r="E800" s="98">
        <f>24.8</f>
        <v>24.8</v>
      </c>
      <c r="F800" s="98" t="s">
        <v>8</v>
      </c>
      <c r="G800" s="101"/>
      <c r="H800" s="98"/>
      <c r="I800" s="102">
        <v>43474</v>
      </c>
      <c r="J800" s="98" t="s">
        <v>11</v>
      </c>
      <c r="K800" s="98"/>
      <c r="L800" s="98"/>
      <c r="M800" s="98"/>
      <c r="N800" s="103"/>
    </row>
    <row r="801" spans="1:14" s="96" customFormat="1" ht="15" hidden="1" customHeight="1" x14ac:dyDescent="0.2">
      <c r="A801" s="90" t="s">
        <v>117</v>
      </c>
      <c r="B801" s="91" t="s">
        <v>39</v>
      </c>
      <c r="C801" s="91">
        <v>350</v>
      </c>
      <c r="D801" s="92">
        <v>50</v>
      </c>
      <c r="E801" s="90">
        <f>51.7</f>
        <v>51.7</v>
      </c>
      <c r="F801" s="90" t="s">
        <v>8</v>
      </c>
      <c r="G801" s="93"/>
      <c r="H801" s="90"/>
      <c r="I801" s="94">
        <v>43473</v>
      </c>
      <c r="J801" s="90" t="s">
        <v>18</v>
      </c>
      <c r="K801" s="90"/>
      <c r="L801" s="90"/>
      <c r="M801" s="90"/>
      <c r="N801" s="29" t="e">
        <f t="shared" ref="N801:N809" si="79">(D801-E801)/(M801*0.17)</f>
        <v>#DIV/0!</v>
      </c>
    </row>
    <row r="802" spans="1:14" s="96" customFormat="1" ht="15" hidden="1" customHeight="1" x14ac:dyDescent="0.2">
      <c r="A802" s="90" t="s">
        <v>327</v>
      </c>
      <c r="B802" s="91" t="s">
        <v>40</v>
      </c>
      <c r="C802" s="91">
        <v>700</v>
      </c>
      <c r="D802" s="92">
        <v>800</v>
      </c>
      <c r="E802" s="90">
        <f>792.5</f>
        <v>792.5</v>
      </c>
      <c r="F802" s="90" t="s">
        <v>8</v>
      </c>
      <c r="G802" s="93"/>
      <c r="H802" s="90"/>
      <c r="I802" s="94">
        <v>43474</v>
      </c>
      <c r="J802" s="90" t="s">
        <v>13</v>
      </c>
      <c r="K802" s="90"/>
      <c r="L802" s="90">
        <v>1</v>
      </c>
      <c r="M802" s="90">
        <f t="shared" ref="M802:M816" si="80">L802*C802</f>
        <v>700</v>
      </c>
      <c r="N802" s="95">
        <f t="shared" si="79"/>
        <v>6.3025210084033612E-2</v>
      </c>
    </row>
    <row r="803" spans="1:14" s="96" customFormat="1" ht="15" hidden="1" customHeight="1" x14ac:dyDescent="0.2">
      <c r="A803" s="90" t="s">
        <v>327</v>
      </c>
      <c r="B803" s="91" t="s">
        <v>40</v>
      </c>
      <c r="C803" s="91">
        <v>960</v>
      </c>
      <c r="D803" s="92">
        <v>1000</v>
      </c>
      <c r="E803" s="90">
        <f>222.1+869.4</f>
        <v>1091.5</v>
      </c>
      <c r="F803" s="90" t="s">
        <v>8</v>
      </c>
      <c r="G803" s="93" t="s">
        <v>146</v>
      </c>
      <c r="H803" s="90"/>
      <c r="I803" s="94">
        <v>43474</v>
      </c>
      <c r="J803" s="90" t="s">
        <v>13</v>
      </c>
      <c r="K803" s="90"/>
      <c r="L803" s="90">
        <v>1</v>
      </c>
      <c r="M803" s="90">
        <f t="shared" si="80"/>
        <v>960</v>
      </c>
      <c r="N803" s="95">
        <f t="shared" si="79"/>
        <v>-0.56066176470588225</v>
      </c>
    </row>
    <row r="804" spans="1:14" s="96" customFormat="1" ht="15" hidden="1" customHeight="1" x14ac:dyDescent="0.2">
      <c r="A804" s="90" t="s">
        <v>327</v>
      </c>
      <c r="B804" s="91" t="s">
        <v>40</v>
      </c>
      <c r="C804" s="91">
        <v>1060</v>
      </c>
      <c r="D804" s="92">
        <v>500</v>
      </c>
      <c r="E804" s="90">
        <f>520.1</f>
        <v>520.1</v>
      </c>
      <c r="F804" s="90" t="s">
        <v>8</v>
      </c>
      <c r="G804" s="93" t="s">
        <v>146</v>
      </c>
      <c r="H804" s="90"/>
      <c r="I804" s="94">
        <v>43474</v>
      </c>
      <c r="J804" s="90" t="s">
        <v>13</v>
      </c>
      <c r="K804" s="90"/>
      <c r="L804" s="90">
        <v>1</v>
      </c>
      <c r="M804" s="90">
        <f t="shared" si="80"/>
        <v>1060</v>
      </c>
      <c r="N804" s="95">
        <f t="shared" si="79"/>
        <v>-0.11154273029966716</v>
      </c>
    </row>
    <row r="805" spans="1:14" s="96" customFormat="1" ht="15" hidden="1" customHeight="1" x14ac:dyDescent="0.2">
      <c r="A805" s="90" t="s">
        <v>327</v>
      </c>
      <c r="B805" s="91" t="s">
        <v>40</v>
      </c>
      <c r="C805" s="91">
        <v>880</v>
      </c>
      <c r="D805" s="92">
        <v>500</v>
      </c>
      <c r="E805" s="90">
        <f>588.8</f>
        <v>588.79999999999995</v>
      </c>
      <c r="F805" s="90" t="s">
        <v>8</v>
      </c>
      <c r="G805" s="93" t="s">
        <v>146</v>
      </c>
      <c r="H805" s="90"/>
      <c r="I805" s="94">
        <v>43474</v>
      </c>
      <c r="J805" s="90" t="s">
        <v>13</v>
      </c>
      <c r="K805" s="90"/>
      <c r="L805" s="90">
        <v>1</v>
      </c>
      <c r="M805" s="90">
        <f t="shared" si="80"/>
        <v>880</v>
      </c>
      <c r="N805" s="95">
        <f t="shared" si="79"/>
        <v>-0.59358288770053436</v>
      </c>
    </row>
    <row r="806" spans="1:14" s="96" customFormat="1" ht="15" hidden="1" customHeight="1" x14ac:dyDescent="0.2">
      <c r="A806" s="90" t="s">
        <v>327</v>
      </c>
      <c r="B806" s="91" t="s">
        <v>40</v>
      </c>
      <c r="C806" s="91">
        <v>820</v>
      </c>
      <c r="D806" s="92">
        <v>500</v>
      </c>
      <c r="E806" s="90">
        <f>400.7+138.4</f>
        <v>539.1</v>
      </c>
      <c r="F806" s="90" t="s">
        <v>8</v>
      </c>
      <c r="G806" s="93"/>
      <c r="H806" s="90"/>
      <c r="I806" s="94">
        <v>43474</v>
      </c>
      <c r="J806" s="90" t="s">
        <v>13</v>
      </c>
      <c r="K806" s="90"/>
      <c r="L806" s="90">
        <v>1</v>
      </c>
      <c r="M806" s="90">
        <f t="shared" si="80"/>
        <v>820</v>
      </c>
      <c r="N806" s="95">
        <f t="shared" si="79"/>
        <v>-0.28048780487804892</v>
      </c>
    </row>
    <row r="807" spans="1:14" s="96" customFormat="1" ht="15" hidden="1" customHeight="1" x14ac:dyDescent="0.2">
      <c r="A807" s="90" t="s">
        <v>327</v>
      </c>
      <c r="B807" s="91" t="s">
        <v>40</v>
      </c>
      <c r="C807" s="91">
        <v>1040</v>
      </c>
      <c r="D807" s="92">
        <v>500</v>
      </c>
      <c r="E807" s="90">
        <f>499.9</f>
        <v>499.9</v>
      </c>
      <c r="F807" s="90" t="s">
        <v>8</v>
      </c>
      <c r="G807" s="93" t="s">
        <v>146</v>
      </c>
      <c r="H807" s="90"/>
      <c r="I807" s="94">
        <v>43474</v>
      </c>
      <c r="J807" s="90" t="s">
        <v>13</v>
      </c>
      <c r="K807" s="90"/>
      <c r="L807" s="90">
        <v>1</v>
      </c>
      <c r="M807" s="90">
        <f t="shared" si="80"/>
        <v>1040</v>
      </c>
      <c r="N807" s="95">
        <f t="shared" si="79"/>
        <v>5.6561085972863532E-4</v>
      </c>
    </row>
    <row r="808" spans="1:14" s="60" customFormat="1" ht="15" hidden="1" customHeight="1" x14ac:dyDescent="0.2">
      <c r="A808" s="55" t="s">
        <v>327</v>
      </c>
      <c r="B808" s="54" t="s">
        <v>40</v>
      </c>
      <c r="C808" s="54">
        <v>1160</v>
      </c>
      <c r="D808" s="56">
        <v>800</v>
      </c>
      <c r="E808" s="55">
        <f>784.8</f>
        <v>784.8</v>
      </c>
      <c r="F808" s="55" t="s">
        <v>8</v>
      </c>
      <c r="G808" s="57"/>
      <c r="H808" s="55"/>
      <c r="I808" s="58">
        <v>43474</v>
      </c>
      <c r="J808" s="55" t="s">
        <v>13</v>
      </c>
      <c r="K808" s="55"/>
      <c r="L808" s="55">
        <v>1</v>
      </c>
      <c r="M808" s="55">
        <f t="shared" si="80"/>
        <v>1160</v>
      </c>
      <c r="N808" s="59">
        <f t="shared" si="79"/>
        <v>7.7079107505071215E-2</v>
      </c>
    </row>
    <row r="809" spans="1:14" ht="15" hidden="1" customHeight="1" x14ac:dyDescent="0.2">
      <c r="A809" s="1" t="s">
        <v>327</v>
      </c>
      <c r="B809" s="2" t="s">
        <v>40</v>
      </c>
      <c r="C809" s="2">
        <v>740</v>
      </c>
      <c r="D809" s="7">
        <v>500</v>
      </c>
      <c r="E809" s="1">
        <f>589.7</f>
        <v>589.70000000000005</v>
      </c>
      <c r="F809" s="90" t="s">
        <v>8</v>
      </c>
      <c r="I809" s="8">
        <v>43474</v>
      </c>
      <c r="J809" s="16" t="s">
        <v>13</v>
      </c>
      <c r="L809" s="10">
        <v>1</v>
      </c>
      <c r="M809" s="10">
        <f t="shared" si="80"/>
        <v>740</v>
      </c>
      <c r="N809" s="29">
        <f t="shared" si="79"/>
        <v>-0.71303656597774279</v>
      </c>
    </row>
    <row r="810" spans="1:14" s="96" customFormat="1" ht="15" hidden="1" customHeight="1" x14ac:dyDescent="0.2">
      <c r="A810" s="90" t="s">
        <v>327</v>
      </c>
      <c r="B810" s="91" t="s">
        <v>39</v>
      </c>
      <c r="C810" s="91">
        <v>720</v>
      </c>
      <c r="D810" s="92">
        <v>1000</v>
      </c>
      <c r="E810" s="90">
        <f>338.1+676.7</f>
        <v>1014.8000000000001</v>
      </c>
      <c r="F810" s="90" t="s">
        <v>8</v>
      </c>
      <c r="G810" s="93" t="s">
        <v>146</v>
      </c>
      <c r="H810" s="90"/>
      <c r="I810" s="94">
        <v>43474</v>
      </c>
      <c r="J810" s="90" t="s">
        <v>13</v>
      </c>
      <c r="K810" s="90"/>
      <c r="L810" s="90">
        <v>1</v>
      </c>
      <c r="M810" s="90">
        <f t="shared" si="80"/>
        <v>720</v>
      </c>
      <c r="N810" s="95">
        <f t="shared" ref="N810:N821" si="81">(D810-E810)/(M810*0.17)</f>
        <v>-0.12091503267973912</v>
      </c>
    </row>
    <row r="811" spans="1:14" s="96" customFormat="1" ht="15" hidden="1" customHeight="1" x14ac:dyDescent="0.2">
      <c r="A811" s="90" t="s">
        <v>327</v>
      </c>
      <c r="B811" s="91" t="s">
        <v>39</v>
      </c>
      <c r="C811" s="91">
        <v>600</v>
      </c>
      <c r="D811" s="92">
        <v>1000</v>
      </c>
      <c r="E811" s="90">
        <f>1090.6</f>
        <v>1090.5999999999999</v>
      </c>
      <c r="F811" s="90" t="s">
        <v>8</v>
      </c>
      <c r="G811" s="93" t="s">
        <v>146</v>
      </c>
      <c r="H811" s="90"/>
      <c r="I811" s="94">
        <v>43474</v>
      </c>
      <c r="J811" s="90" t="s">
        <v>13</v>
      </c>
      <c r="K811" s="90"/>
      <c r="L811" s="90">
        <v>2</v>
      </c>
      <c r="M811" s="90">
        <f t="shared" si="80"/>
        <v>1200</v>
      </c>
      <c r="N811" s="95">
        <f t="shared" si="81"/>
        <v>-0.44411764705882301</v>
      </c>
    </row>
    <row r="812" spans="1:14" s="60" customFormat="1" ht="15" hidden="1" customHeight="1" x14ac:dyDescent="0.2">
      <c r="A812" s="55" t="s">
        <v>327</v>
      </c>
      <c r="B812" s="54" t="s">
        <v>39</v>
      </c>
      <c r="C812" s="54">
        <v>800</v>
      </c>
      <c r="D812" s="56">
        <v>1000</v>
      </c>
      <c r="E812" s="55">
        <f>710.4+356.3</f>
        <v>1066.7</v>
      </c>
      <c r="F812" s="55" t="s">
        <v>8</v>
      </c>
      <c r="G812" s="57" t="s">
        <v>146</v>
      </c>
      <c r="H812" s="55"/>
      <c r="I812" s="58">
        <v>43474</v>
      </c>
      <c r="J812" s="55" t="s">
        <v>13</v>
      </c>
      <c r="K812" s="55"/>
      <c r="L812" s="55">
        <v>1</v>
      </c>
      <c r="M812" s="55">
        <f t="shared" si="80"/>
        <v>800</v>
      </c>
      <c r="N812" s="59">
        <f t="shared" si="81"/>
        <v>-0.49044117647058855</v>
      </c>
    </row>
    <row r="813" spans="1:14" s="96" customFormat="1" ht="15" hidden="1" customHeight="1" x14ac:dyDescent="0.2">
      <c r="A813" s="90" t="s">
        <v>327</v>
      </c>
      <c r="B813" s="91" t="s">
        <v>39</v>
      </c>
      <c r="C813" s="91">
        <v>900</v>
      </c>
      <c r="D813" s="92">
        <v>1000</v>
      </c>
      <c r="E813" s="90">
        <f>613.9+412.8</f>
        <v>1026.7</v>
      </c>
      <c r="F813" s="90" t="s">
        <v>8</v>
      </c>
      <c r="G813" s="93" t="s">
        <v>146</v>
      </c>
      <c r="H813" s="90"/>
      <c r="I813" s="94">
        <v>43474</v>
      </c>
      <c r="J813" s="90" t="s">
        <v>13</v>
      </c>
      <c r="K813" s="90"/>
      <c r="L813" s="90">
        <v>1</v>
      </c>
      <c r="M813" s="90">
        <f t="shared" si="80"/>
        <v>900</v>
      </c>
      <c r="N813" s="95">
        <f t="shared" si="81"/>
        <v>-0.17450980392156892</v>
      </c>
    </row>
    <row r="814" spans="1:14" s="96" customFormat="1" ht="15" hidden="1" customHeight="1" x14ac:dyDescent="0.2">
      <c r="A814" s="90" t="s">
        <v>327</v>
      </c>
      <c r="B814" s="91" t="s">
        <v>39</v>
      </c>
      <c r="C814" s="91">
        <v>940</v>
      </c>
      <c r="D814" s="92">
        <v>500</v>
      </c>
      <c r="E814" s="90">
        <f>424.7</f>
        <v>424.7</v>
      </c>
      <c r="F814" s="90" t="s">
        <v>8</v>
      </c>
      <c r="G814" s="93" t="s">
        <v>146</v>
      </c>
      <c r="H814" s="90"/>
      <c r="I814" s="94">
        <v>43474</v>
      </c>
      <c r="J814" s="90" t="s">
        <v>13</v>
      </c>
      <c r="K814" s="90"/>
      <c r="L814" s="90">
        <v>1</v>
      </c>
      <c r="M814" s="90">
        <f t="shared" si="80"/>
        <v>940</v>
      </c>
      <c r="N814" s="95">
        <f t="shared" si="81"/>
        <v>0.4712140175219024</v>
      </c>
    </row>
    <row r="815" spans="1:14" s="96" customFormat="1" ht="15" hidden="1" customHeight="1" x14ac:dyDescent="0.2">
      <c r="A815" s="90" t="s">
        <v>327</v>
      </c>
      <c r="B815" s="91" t="s">
        <v>39</v>
      </c>
      <c r="C815" s="91">
        <v>960</v>
      </c>
      <c r="D815" s="92">
        <v>1000</v>
      </c>
      <c r="E815" s="90">
        <f>201.3+794.9</f>
        <v>996.2</v>
      </c>
      <c r="F815" s="90" t="s">
        <v>8</v>
      </c>
      <c r="G815" s="93" t="s">
        <v>146</v>
      </c>
      <c r="H815" s="90"/>
      <c r="I815" s="94">
        <v>43474</v>
      </c>
      <c r="J815" s="90" t="s">
        <v>13</v>
      </c>
      <c r="K815" s="90"/>
      <c r="L815" s="90">
        <v>1</v>
      </c>
      <c r="M815" s="90">
        <f t="shared" si="80"/>
        <v>960</v>
      </c>
      <c r="N815" s="95">
        <f t="shared" si="81"/>
        <v>2.3284313725489916E-2</v>
      </c>
    </row>
    <row r="816" spans="1:14" s="96" customFormat="1" ht="15" hidden="1" customHeight="1" x14ac:dyDescent="0.2">
      <c r="A816" s="90" t="s">
        <v>327</v>
      </c>
      <c r="B816" s="91" t="s">
        <v>39</v>
      </c>
      <c r="C816" s="91">
        <v>1000</v>
      </c>
      <c r="D816" s="92">
        <v>1500</v>
      </c>
      <c r="E816" s="90">
        <f>1561.8</f>
        <v>1561.8</v>
      </c>
      <c r="F816" s="90" t="s">
        <v>8</v>
      </c>
      <c r="G816" s="93" t="s">
        <v>146</v>
      </c>
      <c r="H816" s="90"/>
      <c r="I816" s="94">
        <v>43474</v>
      </c>
      <c r="J816" s="90" t="s">
        <v>13</v>
      </c>
      <c r="K816" s="90"/>
      <c r="L816" s="90">
        <v>1</v>
      </c>
      <c r="M816" s="90">
        <f t="shared" si="80"/>
        <v>1000</v>
      </c>
      <c r="N816" s="95">
        <f t="shared" si="81"/>
        <v>-0.3635294117647056</v>
      </c>
    </row>
    <row r="817" spans="1:14" s="104" customFormat="1" ht="15" hidden="1" customHeight="1" x14ac:dyDescent="0.2">
      <c r="A817" s="98" t="s">
        <v>327</v>
      </c>
      <c r="B817" s="99" t="s">
        <v>39</v>
      </c>
      <c r="C817" s="99">
        <v>1020</v>
      </c>
      <c r="D817" s="100">
        <v>1000</v>
      </c>
      <c r="E817" s="98">
        <f>1073</f>
        <v>1073</v>
      </c>
      <c r="F817" s="98" t="s">
        <v>8</v>
      </c>
      <c r="G817" s="101" t="s">
        <v>146</v>
      </c>
      <c r="H817" s="98"/>
      <c r="I817" s="102">
        <v>43474</v>
      </c>
      <c r="J817" s="98" t="s">
        <v>13</v>
      </c>
      <c r="K817" s="98"/>
      <c r="L817" s="98">
        <v>1</v>
      </c>
      <c r="M817" s="98">
        <f t="shared" ref="M817:M825" si="82">L817*C817</f>
        <v>1020</v>
      </c>
      <c r="N817" s="103">
        <f t="shared" si="81"/>
        <v>-0.42099192618223757</v>
      </c>
    </row>
    <row r="818" spans="1:14" s="96" customFormat="1" ht="15" hidden="1" customHeight="1" x14ac:dyDescent="0.2">
      <c r="A818" s="90" t="s">
        <v>327</v>
      </c>
      <c r="B818" s="91" t="s">
        <v>39</v>
      </c>
      <c r="C818" s="91">
        <v>1040</v>
      </c>
      <c r="D818" s="92">
        <v>1500</v>
      </c>
      <c r="E818" s="90">
        <f>1547.6</f>
        <v>1547.6</v>
      </c>
      <c r="F818" s="90" t="s">
        <v>8</v>
      </c>
      <c r="G818" s="93" t="s">
        <v>146</v>
      </c>
      <c r="H818" s="90"/>
      <c r="I818" s="94">
        <v>43474</v>
      </c>
      <c r="J818" s="90" t="s">
        <v>13</v>
      </c>
      <c r="K818" s="90"/>
      <c r="L818" s="90">
        <v>1</v>
      </c>
      <c r="M818" s="90">
        <f t="shared" si="82"/>
        <v>1040</v>
      </c>
      <c r="N818" s="95">
        <f t="shared" si="81"/>
        <v>-0.26923076923076872</v>
      </c>
    </row>
    <row r="819" spans="1:14" s="104" customFormat="1" ht="15" hidden="1" customHeight="1" x14ac:dyDescent="0.2">
      <c r="A819" s="98" t="s">
        <v>327</v>
      </c>
      <c r="B819" s="99" t="s">
        <v>39</v>
      </c>
      <c r="C819" s="99">
        <v>1140</v>
      </c>
      <c r="D819" s="100">
        <v>1200</v>
      </c>
      <c r="E819" s="98">
        <f>1187.9</f>
        <v>1187.9000000000001</v>
      </c>
      <c r="F819" s="98" t="s">
        <v>8</v>
      </c>
      <c r="G819" s="101" t="s">
        <v>146</v>
      </c>
      <c r="H819" s="98"/>
      <c r="I819" s="102">
        <v>43474</v>
      </c>
      <c r="J819" s="98" t="s">
        <v>13</v>
      </c>
      <c r="K819" s="98"/>
      <c r="L819" s="98">
        <v>1</v>
      </c>
      <c r="M819" s="98">
        <f t="shared" si="82"/>
        <v>1140</v>
      </c>
      <c r="N819" s="103">
        <f t="shared" si="81"/>
        <v>6.2435500515995397E-2</v>
      </c>
    </row>
    <row r="820" spans="1:14" s="60" customFormat="1" ht="15" hidden="1" customHeight="1" x14ac:dyDescent="0.2">
      <c r="A820" s="55" t="s">
        <v>327</v>
      </c>
      <c r="B820" s="54" t="s">
        <v>39</v>
      </c>
      <c r="C820" s="54">
        <v>1180</v>
      </c>
      <c r="D820" s="56">
        <v>600</v>
      </c>
      <c r="E820" s="55">
        <f>530.5</f>
        <v>530.5</v>
      </c>
      <c r="F820" s="55" t="s">
        <v>8</v>
      </c>
      <c r="G820" s="57"/>
      <c r="H820" s="55"/>
      <c r="I820" s="58">
        <v>1</v>
      </c>
      <c r="J820" s="55" t="s">
        <v>13</v>
      </c>
      <c r="K820" s="55"/>
      <c r="L820" s="55">
        <v>1</v>
      </c>
      <c r="M820" s="55">
        <f t="shared" si="82"/>
        <v>1180</v>
      </c>
      <c r="N820" s="59">
        <f t="shared" si="81"/>
        <v>0.34646061814556328</v>
      </c>
    </row>
    <row r="821" spans="1:14" s="60" customFormat="1" ht="15" hidden="1" customHeight="1" x14ac:dyDescent="0.2">
      <c r="A821" s="55" t="s">
        <v>327</v>
      </c>
      <c r="B821" s="54" t="s">
        <v>39</v>
      </c>
      <c r="C821" s="54">
        <v>1280</v>
      </c>
      <c r="D821" s="56">
        <v>1000</v>
      </c>
      <c r="E821" s="55">
        <f>1046.4</f>
        <v>1046.4000000000001</v>
      </c>
      <c r="F821" s="55" t="s">
        <v>8</v>
      </c>
      <c r="G821" s="57">
        <v>2</v>
      </c>
      <c r="H821" s="55"/>
      <c r="I821" s="58">
        <v>43474</v>
      </c>
      <c r="J821" s="55" t="s">
        <v>13</v>
      </c>
      <c r="K821" s="55"/>
      <c r="L821" s="55">
        <v>1</v>
      </c>
      <c r="M821" s="55">
        <f t="shared" si="82"/>
        <v>1280</v>
      </c>
      <c r="N821" s="59">
        <f t="shared" si="81"/>
        <v>-0.21323529411764747</v>
      </c>
    </row>
    <row r="822" spans="1:14" s="60" customFormat="1" ht="15" hidden="1" customHeight="1" x14ac:dyDescent="0.2">
      <c r="A822" s="55" t="s">
        <v>327</v>
      </c>
      <c r="B822" s="54" t="s">
        <v>37</v>
      </c>
      <c r="C822" s="54">
        <v>1070</v>
      </c>
      <c r="D822" s="56">
        <v>1000</v>
      </c>
      <c r="E822" s="55">
        <f>407.5+640.7</f>
        <v>1048.2</v>
      </c>
      <c r="F822" s="55" t="s">
        <v>8</v>
      </c>
      <c r="G822" s="57"/>
      <c r="H822" s="55"/>
      <c r="I822" s="58">
        <v>43474</v>
      </c>
      <c r="J822" s="55" t="s">
        <v>13</v>
      </c>
      <c r="K822" s="55"/>
      <c r="L822" s="55">
        <v>1</v>
      </c>
      <c r="M822" s="55">
        <f t="shared" si="82"/>
        <v>1070</v>
      </c>
      <c r="N822" s="59">
        <f>(D822-E822)/(M822*0.17)</f>
        <v>-0.26498075865860388</v>
      </c>
    </row>
    <row r="823" spans="1:14" s="60" customFormat="1" ht="15" hidden="1" customHeight="1" x14ac:dyDescent="0.2">
      <c r="A823" s="55" t="s">
        <v>327</v>
      </c>
      <c r="B823" s="54" t="s">
        <v>37</v>
      </c>
      <c r="C823" s="54">
        <v>1100</v>
      </c>
      <c r="D823" s="56">
        <v>1000</v>
      </c>
      <c r="E823" s="55">
        <f>415.6+654.9</f>
        <v>1070.5</v>
      </c>
      <c r="F823" s="55" t="s">
        <v>8</v>
      </c>
      <c r="G823" s="57"/>
      <c r="H823" s="55"/>
      <c r="I823" s="58">
        <v>43474</v>
      </c>
      <c r="J823" s="55" t="s">
        <v>13</v>
      </c>
      <c r="K823" s="55"/>
      <c r="L823" s="55">
        <v>1</v>
      </c>
      <c r="M823" s="55">
        <f t="shared" si="82"/>
        <v>1100</v>
      </c>
      <c r="N823" s="59">
        <f>(D823-E823)/(M823*0.17)</f>
        <v>-0.3770053475935829</v>
      </c>
    </row>
    <row r="824" spans="1:14" s="60" customFormat="1" ht="15" hidden="1" customHeight="1" x14ac:dyDescent="0.2">
      <c r="A824" s="55" t="s">
        <v>327</v>
      </c>
      <c r="B824" s="54" t="s">
        <v>37</v>
      </c>
      <c r="C824" s="54">
        <v>1020</v>
      </c>
      <c r="D824" s="56">
        <v>500</v>
      </c>
      <c r="E824" s="55">
        <f>490.1</f>
        <v>490.1</v>
      </c>
      <c r="F824" s="55" t="s">
        <v>8</v>
      </c>
      <c r="G824" s="57"/>
      <c r="H824" s="55"/>
      <c r="I824" s="58">
        <v>43474</v>
      </c>
      <c r="J824" s="55" t="s">
        <v>13</v>
      </c>
      <c r="K824" s="55"/>
      <c r="L824" s="55">
        <v>1</v>
      </c>
      <c r="M824" s="55">
        <f t="shared" si="82"/>
        <v>1020</v>
      </c>
      <c r="N824" s="59">
        <f>(D824-E824)/(M824*0.17)</f>
        <v>5.7093425605536201E-2</v>
      </c>
    </row>
    <row r="825" spans="1:14" s="60" customFormat="1" ht="15" hidden="1" customHeight="1" x14ac:dyDescent="0.2">
      <c r="A825" s="55" t="s">
        <v>327</v>
      </c>
      <c r="B825" s="54" t="s">
        <v>37</v>
      </c>
      <c r="C825" s="54">
        <v>1200</v>
      </c>
      <c r="D825" s="56">
        <v>700</v>
      </c>
      <c r="E825" s="55">
        <f>701.8</f>
        <v>701.8</v>
      </c>
      <c r="F825" s="55" t="s">
        <v>8</v>
      </c>
      <c r="G825" s="57"/>
      <c r="H825" s="55"/>
      <c r="I825" s="58">
        <v>43474</v>
      </c>
      <c r="J825" s="55" t="s">
        <v>13</v>
      </c>
      <c r="K825" s="55"/>
      <c r="L825" s="55">
        <v>1</v>
      </c>
      <c r="M825" s="55">
        <f t="shared" si="82"/>
        <v>1200</v>
      </c>
      <c r="N825" s="59">
        <f>(D825-E825)/(M825*0.17)</f>
        <v>-8.823529411764482E-3</v>
      </c>
    </row>
    <row r="826" spans="1:14" s="60" customFormat="1" ht="15" hidden="1" customHeight="1" x14ac:dyDescent="0.2">
      <c r="A826" s="55" t="s">
        <v>327</v>
      </c>
      <c r="B826" s="54" t="s">
        <v>36</v>
      </c>
      <c r="C826" s="54">
        <v>760</v>
      </c>
      <c r="D826" s="56">
        <v>1000</v>
      </c>
      <c r="E826" s="55">
        <f>1008.2</f>
        <v>1008.2</v>
      </c>
      <c r="F826" s="55" t="s">
        <v>8</v>
      </c>
      <c r="G826" s="57" t="s">
        <v>146</v>
      </c>
      <c r="H826" s="55"/>
      <c r="I826" s="58">
        <v>43474</v>
      </c>
      <c r="J826" s="55" t="s">
        <v>13</v>
      </c>
      <c r="K826" s="55"/>
      <c r="L826" s="55">
        <v>1</v>
      </c>
      <c r="M826" s="55">
        <f t="shared" ref="M826:M847" si="83">L826*C826</f>
        <v>760</v>
      </c>
      <c r="N826" s="59">
        <f t="shared" ref="N826:N847" si="84">(D826-E826)/(M826*0.17)</f>
        <v>-6.3467492260062264E-2</v>
      </c>
    </row>
    <row r="827" spans="1:14" s="60" customFormat="1" ht="15" hidden="1" customHeight="1" x14ac:dyDescent="0.2">
      <c r="A827" s="55" t="s">
        <v>327</v>
      </c>
      <c r="B827" s="54" t="s">
        <v>36</v>
      </c>
      <c r="C827" s="54">
        <v>720</v>
      </c>
      <c r="D827" s="56">
        <v>1000</v>
      </c>
      <c r="E827" s="55">
        <f>490+506.5</f>
        <v>996.5</v>
      </c>
      <c r="F827" s="55" t="s">
        <v>8</v>
      </c>
      <c r="G827" s="57" t="s">
        <v>146</v>
      </c>
      <c r="H827" s="55"/>
      <c r="I827" s="58">
        <v>43474</v>
      </c>
      <c r="J827" s="55" t="s">
        <v>13</v>
      </c>
      <c r="K827" s="55"/>
      <c r="L827" s="55">
        <v>1</v>
      </c>
      <c r="M827" s="55">
        <f t="shared" si="83"/>
        <v>720</v>
      </c>
      <c r="N827" s="59">
        <f t="shared" si="84"/>
        <v>2.8594771241830064E-2</v>
      </c>
    </row>
    <row r="828" spans="1:14" s="60" customFormat="1" ht="15" hidden="1" customHeight="1" x14ac:dyDescent="0.2">
      <c r="A828" s="55" t="s">
        <v>327</v>
      </c>
      <c r="B828" s="54" t="s">
        <v>36</v>
      </c>
      <c r="C828" s="54">
        <v>1185</v>
      </c>
      <c r="D828" s="56">
        <v>1000</v>
      </c>
      <c r="E828" s="55">
        <f>280.5+808.2</f>
        <v>1088.7</v>
      </c>
      <c r="F828" s="55" t="s">
        <v>8</v>
      </c>
      <c r="G828" s="57" t="s">
        <v>146</v>
      </c>
      <c r="H828" s="55"/>
      <c r="I828" s="58">
        <v>43474</v>
      </c>
      <c r="J828" s="55" t="s">
        <v>13</v>
      </c>
      <c r="K828" s="55"/>
      <c r="L828" s="55">
        <v>1</v>
      </c>
      <c r="M828" s="55">
        <f t="shared" si="83"/>
        <v>1185</v>
      </c>
      <c r="N828" s="59">
        <f t="shared" si="84"/>
        <v>-0.44030776867709126</v>
      </c>
    </row>
    <row r="829" spans="1:14" s="60" customFormat="1" ht="15" hidden="1" customHeight="1" x14ac:dyDescent="0.2">
      <c r="A829" s="55" t="s">
        <v>327</v>
      </c>
      <c r="B829" s="54" t="s">
        <v>36</v>
      </c>
      <c r="C829" s="47">
        <v>680</v>
      </c>
      <c r="D829" s="56">
        <v>800</v>
      </c>
      <c r="E829" s="55">
        <f>814.1</f>
        <v>814.1</v>
      </c>
      <c r="F829" s="55" t="s">
        <v>8</v>
      </c>
      <c r="G829" s="57" t="s">
        <v>146</v>
      </c>
      <c r="H829" s="55"/>
      <c r="I829" s="58">
        <v>43474</v>
      </c>
      <c r="J829" s="55" t="s">
        <v>13</v>
      </c>
      <c r="K829" s="55"/>
      <c r="L829" s="55">
        <v>1</v>
      </c>
      <c r="M829" s="55">
        <f t="shared" si="83"/>
        <v>680</v>
      </c>
      <c r="N829" s="59">
        <f t="shared" si="84"/>
        <v>-0.12197231833910054</v>
      </c>
    </row>
    <row r="830" spans="1:14" s="60" customFormat="1" ht="15" hidden="1" customHeight="1" x14ac:dyDescent="0.2">
      <c r="A830" s="55" t="s">
        <v>327</v>
      </c>
      <c r="B830" s="54" t="s">
        <v>36</v>
      </c>
      <c r="C830" s="54">
        <v>920</v>
      </c>
      <c r="D830" s="56">
        <v>500</v>
      </c>
      <c r="E830" s="55">
        <f>503.7</f>
        <v>503.7</v>
      </c>
      <c r="F830" s="55" t="s">
        <v>8</v>
      </c>
      <c r="G830" s="57" t="s">
        <v>146</v>
      </c>
      <c r="H830" s="55"/>
      <c r="I830" s="58">
        <v>43474</v>
      </c>
      <c r="J830" s="55" t="s">
        <v>13</v>
      </c>
      <c r="K830" s="55"/>
      <c r="L830" s="55">
        <v>1</v>
      </c>
      <c r="M830" s="55">
        <f t="shared" si="83"/>
        <v>920</v>
      </c>
      <c r="N830" s="59">
        <f t="shared" si="84"/>
        <v>-2.365728900255747E-2</v>
      </c>
    </row>
    <row r="831" spans="1:14" s="60" customFormat="1" ht="15" hidden="1" customHeight="1" x14ac:dyDescent="0.2">
      <c r="A831" s="55" t="s">
        <v>327</v>
      </c>
      <c r="B831" s="54" t="s">
        <v>36</v>
      </c>
      <c r="C831" s="54">
        <v>1000</v>
      </c>
      <c r="D831" s="56">
        <v>500</v>
      </c>
      <c r="E831" s="55">
        <f>506.4</f>
        <v>506.4</v>
      </c>
      <c r="F831" s="55" t="s">
        <v>8</v>
      </c>
      <c r="G831" s="57" t="s">
        <v>146</v>
      </c>
      <c r="H831" s="55"/>
      <c r="I831" s="58">
        <v>43474</v>
      </c>
      <c r="J831" s="55" t="s">
        <v>13</v>
      </c>
      <c r="K831" s="55"/>
      <c r="L831" s="55">
        <v>1</v>
      </c>
      <c r="M831" s="55">
        <f t="shared" si="83"/>
        <v>1000</v>
      </c>
      <c r="N831" s="59">
        <f t="shared" si="84"/>
        <v>-3.7647058823529277E-2</v>
      </c>
    </row>
    <row r="832" spans="1:14" s="60" customFormat="1" ht="15" hidden="1" customHeight="1" x14ac:dyDescent="0.2">
      <c r="A832" s="55" t="s">
        <v>327</v>
      </c>
      <c r="B832" s="54" t="s">
        <v>36</v>
      </c>
      <c r="C832" s="54">
        <v>1020</v>
      </c>
      <c r="D832" s="56">
        <v>500</v>
      </c>
      <c r="E832" s="55">
        <f>521.5</f>
        <v>521.5</v>
      </c>
      <c r="F832" s="55" t="s">
        <v>8</v>
      </c>
      <c r="G832" s="57" t="s">
        <v>146</v>
      </c>
      <c r="H832" s="55"/>
      <c r="I832" s="58">
        <v>43474</v>
      </c>
      <c r="J832" s="55" t="s">
        <v>13</v>
      </c>
      <c r="K832" s="55"/>
      <c r="L832" s="55">
        <v>1</v>
      </c>
      <c r="M832" s="55">
        <f t="shared" si="83"/>
        <v>1020</v>
      </c>
      <c r="N832" s="59">
        <f t="shared" si="84"/>
        <v>-0.12399077277970011</v>
      </c>
    </row>
    <row r="833" spans="1:14" s="60" customFormat="1" ht="15" hidden="1" customHeight="1" x14ac:dyDescent="0.2">
      <c r="A833" s="55" t="s">
        <v>327</v>
      </c>
      <c r="B833" s="54" t="s">
        <v>36</v>
      </c>
      <c r="C833" s="54">
        <v>1240</v>
      </c>
      <c r="D833" s="56">
        <v>500</v>
      </c>
      <c r="E833" s="55">
        <f>487.4</f>
        <v>487.4</v>
      </c>
      <c r="F833" s="55" t="s">
        <v>8</v>
      </c>
      <c r="G833" s="57" t="s">
        <v>146</v>
      </c>
      <c r="H833" s="55"/>
      <c r="I833" s="58">
        <v>43474</v>
      </c>
      <c r="J833" s="55" t="s">
        <v>13</v>
      </c>
      <c r="K833" s="55"/>
      <c r="L833" s="55">
        <v>1</v>
      </c>
      <c r="M833" s="55">
        <f t="shared" si="83"/>
        <v>1240</v>
      </c>
      <c r="N833" s="59">
        <f t="shared" si="84"/>
        <v>5.9772296015180373E-2</v>
      </c>
    </row>
    <row r="834" spans="1:14" s="60" customFormat="1" ht="15" hidden="1" customHeight="1" x14ac:dyDescent="0.2">
      <c r="A834" s="55" t="s">
        <v>327</v>
      </c>
      <c r="B834" s="54" t="s">
        <v>36</v>
      </c>
      <c r="C834" s="54">
        <v>1140</v>
      </c>
      <c r="D834" s="56">
        <v>1500</v>
      </c>
      <c r="E834" s="55">
        <f>799+772.9</f>
        <v>1571.9</v>
      </c>
      <c r="F834" s="55" t="s">
        <v>8</v>
      </c>
      <c r="G834" s="57" t="s">
        <v>146</v>
      </c>
      <c r="H834" s="55"/>
      <c r="I834" s="58">
        <v>43474</v>
      </c>
      <c r="J834" s="55" t="s">
        <v>13</v>
      </c>
      <c r="K834" s="55"/>
      <c r="L834" s="55">
        <v>1</v>
      </c>
      <c r="M834" s="55">
        <f t="shared" si="83"/>
        <v>1140</v>
      </c>
      <c r="N834" s="59">
        <f t="shared" si="84"/>
        <v>-0.3710010319917445</v>
      </c>
    </row>
    <row r="835" spans="1:14" ht="15" hidden="1" customHeight="1" x14ac:dyDescent="0.2">
      <c r="A835" s="1" t="s">
        <v>328</v>
      </c>
      <c r="B835" s="2" t="s">
        <v>39</v>
      </c>
      <c r="C835" s="2">
        <v>640</v>
      </c>
      <c r="D835" s="7">
        <v>1200</v>
      </c>
      <c r="E835" s="1">
        <f>580.8+650.2</f>
        <v>1231</v>
      </c>
      <c r="F835" s="1" t="s">
        <v>8</v>
      </c>
      <c r="G835" s="41">
        <v>2</v>
      </c>
      <c r="I835" s="8">
        <v>43474</v>
      </c>
      <c r="J835" s="16" t="s">
        <v>13</v>
      </c>
      <c r="L835" s="10">
        <v>2</v>
      </c>
      <c r="M835" s="10">
        <f t="shared" si="83"/>
        <v>1280</v>
      </c>
      <c r="N835" s="29">
        <f t="shared" si="84"/>
        <v>-0.14246323529411764</v>
      </c>
    </row>
    <row r="836" spans="1:14" s="96" customFormat="1" ht="15" hidden="1" customHeight="1" x14ac:dyDescent="0.2">
      <c r="A836" s="90" t="s">
        <v>328</v>
      </c>
      <c r="B836" s="91" t="s">
        <v>39</v>
      </c>
      <c r="C836" s="91">
        <v>680</v>
      </c>
      <c r="D836" s="92">
        <v>500</v>
      </c>
      <c r="E836" s="90">
        <f>499.7</f>
        <v>499.7</v>
      </c>
      <c r="F836" s="90" t="s">
        <v>8</v>
      </c>
      <c r="G836" s="93" t="s">
        <v>146</v>
      </c>
      <c r="H836" s="90"/>
      <c r="I836" s="94">
        <v>43474</v>
      </c>
      <c r="J836" s="90" t="s">
        <v>13</v>
      </c>
      <c r="K836" s="90"/>
      <c r="L836" s="90">
        <v>1</v>
      </c>
      <c r="M836" s="90">
        <f t="shared" si="83"/>
        <v>680</v>
      </c>
      <c r="N836" s="95">
        <f t="shared" si="84"/>
        <v>2.5951557093426589E-3</v>
      </c>
    </row>
    <row r="837" spans="1:14" s="96" customFormat="1" ht="15" hidden="1" customHeight="1" x14ac:dyDescent="0.2">
      <c r="A837" s="90" t="s">
        <v>328</v>
      </c>
      <c r="B837" s="91" t="s">
        <v>39</v>
      </c>
      <c r="C837" s="91">
        <v>700</v>
      </c>
      <c r="D837" s="92">
        <v>3500</v>
      </c>
      <c r="E837" s="97">
        <f>602.1+146+2181.2+440.6</f>
        <v>3369.8999999999996</v>
      </c>
      <c r="F837" s="90" t="s">
        <v>8</v>
      </c>
      <c r="G837" s="93" t="s">
        <v>146</v>
      </c>
      <c r="H837" s="90"/>
      <c r="I837" s="94">
        <v>43474</v>
      </c>
      <c r="J837" s="90" t="s">
        <v>13</v>
      </c>
      <c r="K837" s="90"/>
      <c r="L837" s="90">
        <v>1</v>
      </c>
      <c r="M837" s="90">
        <f t="shared" si="83"/>
        <v>700</v>
      </c>
      <c r="N837" s="95">
        <f t="shared" si="84"/>
        <v>1.0932773109243727</v>
      </c>
    </row>
    <row r="838" spans="1:14" s="96" customFormat="1" ht="14.25" hidden="1" customHeight="1" x14ac:dyDescent="0.2">
      <c r="A838" s="90" t="s">
        <v>328</v>
      </c>
      <c r="B838" s="91" t="s">
        <v>39</v>
      </c>
      <c r="C838" s="91">
        <v>740</v>
      </c>
      <c r="D838" s="92">
        <v>500</v>
      </c>
      <c r="E838" s="90">
        <f>540.6</f>
        <v>540.6</v>
      </c>
      <c r="F838" s="90" t="s">
        <v>8</v>
      </c>
      <c r="G838" s="93" t="s">
        <v>146</v>
      </c>
      <c r="H838" s="90"/>
      <c r="I838" s="94">
        <v>43474</v>
      </c>
      <c r="J838" s="90" t="s">
        <v>13</v>
      </c>
      <c r="K838" s="90"/>
      <c r="L838" s="90">
        <v>1</v>
      </c>
      <c r="M838" s="90">
        <f t="shared" si="83"/>
        <v>740</v>
      </c>
      <c r="N838" s="95">
        <f t="shared" si="84"/>
        <v>-0.32273449920508757</v>
      </c>
    </row>
    <row r="839" spans="1:14" s="96" customFormat="1" ht="15" hidden="1" customHeight="1" x14ac:dyDescent="0.2">
      <c r="A839" s="90" t="s">
        <v>328</v>
      </c>
      <c r="B839" s="91" t="s">
        <v>39</v>
      </c>
      <c r="C839" s="91">
        <v>760</v>
      </c>
      <c r="D839" s="92">
        <v>3500</v>
      </c>
      <c r="E839" s="90">
        <f>1773.7+614.2+1173.5</f>
        <v>3561.4</v>
      </c>
      <c r="F839" s="90" t="s">
        <v>8</v>
      </c>
      <c r="G839" s="93" t="s">
        <v>146</v>
      </c>
      <c r="H839" s="90"/>
      <c r="I839" s="94">
        <v>43474</v>
      </c>
      <c r="J839" s="90" t="s">
        <v>13</v>
      </c>
      <c r="K839" s="90"/>
      <c r="L839" s="90">
        <v>1</v>
      </c>
      <c r="M839" s="90">
        <f t="shared" si="83"/>
        <v>760</v>
      </c>
      <c r="N839" s="95">
        <f t="shared" si="84"/>
        <v>-0.47523219814241552</v>
      </c>
    </row>
    <row r="840" spans="1:14" s="52" customFormat="1" ht="15" hidden="1" customHeight="1" x14ac:dyDescent="0.2">
      <c r="A840" s="46" t="s">
        <v>328</v>
      </c>
      <c r="B840" s="47" t="s">
        <v>39</v>
      </c>
      <c r="C840" s="47">
        <v>800</v>
      </c>
      <c r="D840" s="48">
        <v>2200</v>
      </c>
      <c r="E840" s="46">
        <f>176+651.6+1420.1</f>
        <v>2247.6999999999998</v>
      </c>
      <c r="F840" s="46" t="s">
        <v>8</v>
      </c>
      <c r="G840" s="49" t="s">
        <v>146</v>
      </c>
      <c r="H840" s="46"/>
      <c r="I840" s="50">
        <v>43474</v>
      </c>
      <c r="J840" s="46" t="s">
        <v>13</v>
      </c>
      <c r="K840" s="46"/>
      <c r="L840" s="46">
        <v>1</v>
      </c>
      <c r="M840" s="46">
        <f t="shared" si="83"/>
        <v>800</v>
      </c>
      <c r="N840" s="51">
        <f t="shared" si="84"/>
        <v>-0.3507352941176457</v>
      </c>
    </row>
    <row r="841" spans="1:14" s="96" customFormat="1" ht="15" hidden="1" customHeight="1" x14ac:dyDescent="0.2">
      <c r="A841" s="90" t="s">
        <v>328</v>
      </c>
      <c r="B841" s="91" t="s">
        <v>39</v>
      </c>
      <c r="C841" s="91">
        <v>840</v>
      </c>
      <c r="D841" s="92">
        <v>1300</v>
      </c>
      <c r="E841" s="90">
        <f>1320.2</f>
        <v>1320.2</v>
      </c>
      <c r="F841" s="90" t="s">
        <v>8</v>
      </c>
      <c r="G841" s="93" t="s">
        <v>146</v>
      </c>
      <c r="H841" s="90"/>
      <c r="I841" s="94">
        <v>43474</v>
      </c>
      <c r="J841" s="90" t="s">
        <v>13</v>
      </c>
      <c r="K841" s="90"/>
      <c r="L841" s="90">
        <v>1</v>
      </c>
      <c r="M841" s="90">
        <f t="shared" si="83"/>
        <v>840</v>
      </c>
      <c r="N841" s="95">
        <f t="shared" si="84"/>
        <v>-0.14145658263305352</v>
      </c>
    </row>
    <row r="842" spans="1:14" s="96" customFormat="1" ht="15" hidden="1" customHeight="1" x14ac:dyDescent="0.2">
      <c r="A842" s="90" t="s">
        <v>328</v>
      </c>
      <c r="B842" s="91" t="s">
        <v>39</v>
      </c>
      <c r="C842" s="91">
        <v>860</v>
      </c>
      <c r="D842" s="92">
        <v>5000</v>
      </c>
      <c r="E842" s="90">
        <f>1954.3+1719.4+1334.6</f>
        <v>5008.2999999999993</v>
      </c>
      <c r="F842" s="90" t="s">
        <v>8</v>
      </c>
      <c r="G842" s="93" t="s">
        <v>146</v>
      </c>
      <c r="H842" s="90"/>
      <c r="I842" s="94">
        <v>43474</v>
      </c>
      <c r="J842" s="90" t="s">
        <v>13</v>
      </c>
      <c r="K842" s="90"/>
      <c r="L842" s="90">
        <v>1</v>
      </c>
      <c r="M842" s="90">
        <f t="shared" si="83"/>
        <v>860</v>
      </c>
      <c r="N842" s="95">
        <f t="shared" si="84"/>
        <v>-5.6771545827628396E-2</v>
      </c>
    </row>
    <row r="843" spans="1:14" s="96" customFormat="1" ht="15" hidden="1" customHeight="1" x14ac:dyDescent="0.2">
      <c r="A843" s="90" t="s">
        <v>328</v>
      </c>
      <c r="B843" s="91" t="s">
        <v>39</v>
      </c>
      <c r="C843" s="91">
        <v>880</v>
      </c>
      <c r="D843" s="92">
        <v>500</v>
      </c>
      <c r="E843" s="90">
        <f>566.9</f>
        <v>566.9</v>
      </c>
      <c r="F843" s="90" t="s">
        <v>8</v>
      </c>
      <c r="G843" s="93" t="s">
        <v>146</v>
      </c>
      <c r="H843" s="90"/>
      <c r="I843" s="94">
        <v>43474</v>
      </c>
      <c r="J843" s="90" t="s">
        <v>13</v>
      </c>
      <c r="K843" s="90"/>
      <c r="L843" s="90">
        <v>1</v>
      </c>
      <c r="M843" s="90">
        <f t="shared" si="83"/>
        <v>880</v>
      </c>
      <c r="N843" s="95">
        <f t="shared" si="84"/>
        <v>-0.44719251336898375</v>
      </c>
    </row>
    <row r="844" spans="1:14" s="96" customFormat="1" ht="15" hidden="1" customHeight="1" x14ac:dyDescent="0.2">
      <c r="A844" s="90" t="s">
        <v>328</v>
      </c>
      <c r="B844" s="91" t="s">
        <v>39</v>
      </c>
      <c r="C844" s="91">
        <v>920</v>
      </c>
      <c r="D844" s="92">
        <v>1332</v>
      </c>
      <c r="E844" s="90">
        <f>132+200+203.8+809</f>
        <v>1344.8</v>
      </c>
      <c r="F844" s="90" t="s">
        <v>8</v>
      </c>
      <c r="G844" s="93" t="s">
        <v>146</v>
      </c>
      <c r="H844" s="90"/>
      <c r="I844" s="94">
        <v>43474</v>
      </c>
      <c r="J844" s="90" t="s">
        <v>13</v>
      </c>
      <c r="K844" s="90"/>
      <c r="L844" s="90">
        <v>1</v>
      </c>
      <c r="M844" s="90">
        <f t="shared" si="83"/>
        <v>920</v>
      </c>
      <c r="N844" s="95">
        <f t="shared" si="84"/>
        <v>-8.184143222506364E-2</v>
      </c>
    </row>
    <row r="845" spans="1:14" s="96" customFormat="1" ht="15" hidden="1" customHeight="1" x14ac:dyDescent="0.2">
      <c r="A845" s="90" t="s">
        <v>328</v>
      </c>
      <c r="B845" s="91" t="s">
        <v>39</v>
      </c>
      <c r="C845" s="91">
        <v>1060</v>
      </c>
      <c r="D845" s="92">
        <v>600</v>
      </c>
      <c r="E845" s="90">
        <f>608</f>
        <v>608</v>
      </c>
      <c r="F845" s="90" t="s">
        <v>8</v>
      </c>
      <c r="G845" s="93" t="s">
        <v>146</v>
      </c>
      <c r="H845" s="90"/>
      <c r="I845" s="94">
        <v>43474</v>
      </c>
      <c r="J845" s="90" t="s">
        <v>13</v>
      </c>
      <c r="K845" s="90"/>
      <c r="L845" s="90">
        <v>1</v>
      </c>
      <c r="M845" s="90">
        <f t="shared" si="83"/>
        <v>1060</v>
      </c>
      <c r="N845" s="95">
        <f t="shared" si="84"/>
        <v>-4.4395116537180909E-2</v>
      </c>
    </row>
    <row r="846" spans="1:14" s="96" customFormat="1" ht="15" hidden="1" customHeight="1" x14ac:dyDescent="0.2">
      <c r="A846" s="90" t="s">
        <v>328</v>
      </c>
      <c r="B846" s="91" t="s">
        <v>39</v>
      </c>
      <c r="C846" s="91">
        <v>1120</v>
      </c>
      <c r="D846" s="92">
        <v>1000</v>
      </c>
      <c r="E846" s="90">
        <f>1032</f>
        <v>1032</v>
      </c>
      <c r="F846" s="90" t="s">
        <v>8</v>
      </c>
      <c r="G846" s="93" t="s">
        <v>146</v>
      </c>
      <c r="H846" s="90"/>
      <c r="I846" s="94">
        <v>43474</v>
      </c>
      <c r="J846" s="90" t="s">
        <v>13</v>
      </c>
      <c r="K846" s="90"/>
      <c r="L846" s="90">
        <v>1</v>
      </c>
      <c r="M846" s="90">
        <f t="shared" si="83"/>
        <v>1120</v>
      </c>
      <c r="N846" s="95">
        <f t="shared" si="84"/>
        <v>-0.16806722689075629</v>
      </c>
    </row>
    <row r="847" spans="1:14" s="96" customFormat="1" ht="15" hidden="1" customHeight="1" x14ac:dyDescent="0.2">
      <c r="A847" s="90" t="s">
        <v>328</v>
      </c>
      <c r="B847" s="91" t="s">
        <v>39</v>
      </c>
      <c r="C847" s="91">
        <v>600</v>
      </c>
      <c r="D847" s="92">
        <v>2000</v>
      </c>
      <c r="E847" s="90">
        <f>1945.4+223.8</f>
        <v>2169.2000000000003</v>
      </c>
      <c r="F847" s="90" t="s">
        <v>8</v>
      </c>
      <c r="G847" s="93" t="s">
        <v>146</v>
      </c>
      <c r="H847" s="90"/>
      <c r="I847" s="94">
        <v>43474</v>
      </c>
      <c r="J847" s="90" t="s">
        <v>13</v>
      </c>
      <c r="K847" s="90"/>
      <c r="L847" s="90">
        <v>2</v>
      </c>
      <c r="M847" s="90">
        <f t="shared" si="83"/>
        <v>1200</v>
      </c>
      <c r="N847" s="95">
        <f t="shared" si="84"/>
        <v>-0.82941176470588363</v>
      </c>
    </row>
    <row r="848" spans="1:14" s="138" customFormat="1" ht="15" hidden="1" customHeight="1" x14ac:dyDescent="0.2">
      <c r="A848" s="134" t="s">
        <v>328</v>
      </c>
      <c r="B848" s="107" t="s">
        <v>37</v>
      </c>
      <c r="C848" s="107">
        <v>920</v>
      </c>
      <c r="D848" s="108">
        <v>400</v>
      </c>
      <c r="E848" s="134">
        <f>404.2</f>
        <v>404.2</v>
      </c>
      <c r="F848" s="134" t="s">
        <v>8</v>
      </c>
      <c r="G848" s="135"/>
      <c r="H848" s="134"/>
      <c r="I848" s="136">
        <v>43474</v>
      </c>
      <c r="J848" s="134" t="s">
        <v>13</v>
      </c>
      <c r="K848" s="134"/>
      <c r="L848" s="134">
        <v>1</v>
      </c>
      <c r="M848" s="134">
        <f>L848*C848</f>
        <v>920</v>
      </c>
      <c r="N848" s="137">
        <f>(D848-E848)/(M848*0.17)</f>
        <v>-2.6854219948849033E-2</v>
      </c>
    </row>
    <row r="849" spans="1:14" s="60" customFormat="1" ht="15" hidden="1" customHeight="1" x14ac:dyDescent="0.2">
      <c r="A849" s="55" t="s">
        <v>328</v>
      </c>
      <c r="B849" s="54" t="s">
        <v>37</v>
      </c>
      <c r="C849" s="54">
        <v>1000</v>
      </c>
      <c r="D849" s="56">
        <v>400</v>
      </c>
      <c r="E849" s="55">
        <f>453.4</f>
        <v>453.4</v>
      </c>
      <c r="F849" s="55" t="s">
        <v>8</v>
      </c>
      <c r="G849" s="57"/>
      <c r="H849" s="55"/>
      <c r="I849" s="58">
        <v>43474</v>
      </c>
      <c r="J849" s="55" t="s">
        <v>13</v>
      </c>
      <c r="K849" s="55"/>
      <c r="L849" s="55">
        <v>1</v>
      </c>
      <c r="M849" s="55">
        <f>L849*C849</f>
        <v>1000</v>
      </c>
      <c r="N849" s="59">
        <f>(D849-E849)/(M849*0.17)</f>
        <v>-0.31411764705882339</v>
      </c>
    </row>
    <row r="850" spans="1:14" s="60" customFormat="1" ht="15" hidden="1" customHeight="1" x14ac:dyDescent="0.2">
      <c r="A850" s="55" t="s">
        <v>328</v>
      </c>
      <c r="B850" s="54" t="s">
        <v>37</v>
      </c>
      <c r="C850" s="54">
        <v>720</v>
      </c>
      <c r="D850" s="56">
        <v>400</v>
      </c>
      <c r="E850" s="55">
        <f>439.3</f>
        <v>439.3</v>
      </c>
      <c r="F850" s="55" t="s">
        <v>8</v>
      </c>
      <c r="G850" s="57"/>
      <c r="H850" s="55"/>
      <c r="I850" s="58">
        <v>43474</v>
      </c>
      <c r="J850" s="55" t="s">
        <v>13</v>
      </c>
      <c r="K850" s="55"/>
      <c r="L850" s="55">
        <v>1</v>
      </c>
      <c r="M850" s="55">
        <f>L850*C850</f>
        <v>720</v>
      </c>
      <c r="N850" s="59">
        <f>(D850-E850)/(M850*0.17)</f>
        <v>-0.3210784313725491</v>
      </c>
    </row>
    <row r="851" spans="1:14" s="60" customFormat="1" ht="15" hidden="1" customHeight="1" x14ac:dyDescent="0.2">
      <c r="A851" s="55" t="s">
        <v>328</v>
      </c>
      <c r="B851" s="54" t="s">
        <v>37</v>
      </c>
      <c r="C851" s="54">
        <v>800</v>
      </c>
      <c r="D851" s="56">
        <v>2000</v>
      </c>
      <c r="E851" s="55">
        <f>1997.8</f>
        <v>1997.8</v>
      </c>
      <c r="F851" s="55" t="s">
        <v>8</v>
      </c>
      <c r="G851" s="57"/>
      <c r="H851" s="55"/>
      <c r="I851" s="58">
        <v>43474</v>
      </c>
      <c r="J851" s="55" t="s">
        <v>13</v>
      </c>
      <c r="K851" s="55"/>
      <c r="L851" s="55">
        <v>1</v>
      </c>
      <c r="M851" s="55">
        <f>L851*C851</f>
        <v>800</v>
      </c>
      <c r="N851" s="59">
        <f>(D851-E851)/(M851*0.17)</f>
        <v>1.6176470588235629E-2</v>
      </c>
    </row>
    <row r="852" spans="1:14" ht="15" hidden="1" customHeight="1" x14ac:dyDescent="0.2">
      <c r="A852" s="1" t="s">
        <v>328</v>
      </c>
      <c r="B852" s="2" t="s">
        <v>37</v>
      </c>
      <c r="C852" s="2">
        <v>960</v>
      </c>
      <c r="D852" s="7">
        <v>400</v>
      </c>
      <c r="E852" s="1">
        <f>375.6</f>
        <v>375.6</v>
      </c>
      <c r="F852" s="1" t="s">
        <v>8</v>
      </c>
      <c r="I852" s="8">
        <v>43474</v>
      </c>
      <c r="J852" s="16" t="s">
        <v>13</v>
      </c>
      <c r="L852" s="3">
        <v>1</v>
      </c>
      <c r="M852" s="10">
        <f>L852*C852</f>
        <v>960</v>
      </c>
      <c r="N852" s="29">
        <f>(D852-E852)/(M852*0.17)</f>
        <v>0.14950980392156848</v>
      </c>
    </row>
    <row r="853" spans="1:14" s="96" customFormat="1" ht="15" hidden="1" customHeight="1" x14ac:dyDescent="0.2">
      <c r="A853" s="90" t="s">
        <v>328</v>
      </c>
      <c r="B853" s="91" t="s">
        <v>38</v>
      </c>
      <c r="C853" s="91">
        <v>720</v>
      </c>
      <c r="D853" s="92">
        <v>1000</v>
      </c>
      <c r="E853" s="90">
        <f>981.7</f>
        <v>981.7</v>
      </c>
      <c r="F853" s="90" t="s">
        <v>8</v>
      </c>
      <c r="G853" s="93"/>
      <c r="H853" s="90"/>
      <c r="I853" s="94">
        <v>43474</v>
      </c>
      <c r="J853" s="90" t="s">
        <v>13</v>
      </c>
      <c r="K853" s="90"/>
      <c r="L853" s="90">
        <v>1</v>
      </c>
      <c r="M853" s="90">
        <f t="shared" ref="M853:M865" si="85">L853*C853</f>
        <v>720</v>
      </c>
      <c r="N853" s="95">
        <f t="shared" ref="N853:N865" si="86">(D853-E853)/(M853*0.17)</f>
        <v>0.14950980392156826</v>
      </c>
    </row>
    <row r="854" spans="1:14" ht="15" hidden="1" customHeight="1" x14ac:dyDescent="0.2">
      <c r="A854" s="1" t="s">
        <v>328</v>
      </c>
      <c r="B854" s="2" t="s">
        <v>38</v>
      </c>
      <c r="C854" s="2">
        <v>760</v>
      </c>
      <c r="D854" s="7">
        <v>2500</v>
      </c>
      <c r="E854" s="1">
        <f>944.6+1516.3</f>
        <v>2460.9</v>
      </c>
      <c r="F854" s="1" t="s">
        <v>8</v>
      </c>
      <c r="I854" s="8">
        <v>43474</v>
      </c>
      <c r="J854" s="16" t="s">
        <v>13</v>
      </c>
      <c r="L854" s="10">
        <v>1</v>
      </c>
      <c r="M854" s="10">
        <f t="shared" si="85"/>
        <v>760</v>
      </c>
      <c r="N854" s="29">
        <f t="shared" si="86"/>
        <v>0.3026315789473677</v>
      </c>
    </row>
    <row r="855" spans="1:14" s="96" customFormat="1" ht="15" hidden="1" customHeight="1" x14ac:dyDescent="0.2">
      <c r="A855" s="90" t="s">
        <v>328</v>
      </c>
      <c r="B855" s="91" t="s">
        <v>38</v>
      </c>
      <c r="C855" s="91">
        <v>780</v>
      </c>
      <c r="D855" s="92">
        <v>500</v>
      </c>
      <c r="E855" s="90">
        <f>532</f>
        <v>532</v>
      </c>
      <c r="F855" s="90" t="s">
        <v>8</v>
      </c>
      <c r="G855" s="93"/>
      <c r="H855" s="90"/>
      <c r="I855" s="94">
        <v>43474</v>
      </c>
      <c r="J855" s="90" t="s">
        <v>13</v>
      </c>
      <c r="K855" s="90"/>
      <c r="L855" s="90">
        <v>1</v>
      </c>
      <c r="M855" s="90">
        <f t="shared" si="85"/>
        <v>780</v>
      </c>
      <c r="N855" s="95">
        <f t="shared" si="86"/>
        <v>-0.24132730015082951</v>
      </c>
    </row>
    <row r="856" spans="1:14" ht="15" hidden="1" customHeight="1" x14ac:dyDescent="0.2">
      <c r="A856" s="1" t="s">
        <v>328</v>
      </c>
      <c r="B856" s="2" t="s">
        <v>38</v>
      </c>
      <c r="C856" s="2">
        <v>800</v>
      </c>
      <c r="D856" s="7">
        <v>4000</v>
      </c>
      <c r="E856" s="1">
        <f>4080.8</f>
        <v>4080.8</v>
      </c>
      <c r="F856" s="1" t="s">
        <v>8</v>
      </c>
      <c r="G856" s="41">
        <v>3</v>
      </c>
      <c r="I856" s="8">
        <v>43474</v>
      </c>
      <c r="J856" s="16" t="s">
        <v>13</v>
      </c>
      <c r="L856" s="10">
        <v>1</v>
      </c>
      <c r="M856" s="10">
        <f t="shared" si="85"/>
        <v>800</v>
      </c>
      <c r="N856" s="29">
        <f t="shared" si="86"/>
        <v>-0.59411764705882486</v>
      </c>
    </row>
    <row r="857" spans="1:14" s="60" customFormat="1" ht="15" hidden="1" customHeight="1" x14ac:dyDescent="0.2">
      <c r="A857" s="55" t="s">
        <v>328</v>
      </c>
      <c r="B857" s="54" t="s">
        <v>38</v>
      </c>
      <c r="C857" s="54">
        <v>880</v>
      </c>
      <c r="D857" s="56">
        <v>400</v>
      </c>
      <c r="E857" s="55">
        <f>426.5</f>
        <v>426.5</v>
      </c>
      <c r="F857" s="55" t="s">
        <v>8</v>
      </c>
      <c r="G857" s="57">
        <v>3</v>
      </c>
      <c r="H857" s="55"/>
      <c r="I857" s="58">
        <v>43474</v>
      </c>
      <c r="J857" s="55" t="s">
        <v>13</v>
      </c>
      <c r="K857" s="55"/>
      <c r="L857" s="55">
        <v>1</v>
      </c>
      <c r="M857" s="55">
        <f t="shared" si="85"/>
        <v>880</v>
      </c>
      <c r="N857" s="59">
        <f t="shared" si="86"/>
        <v>-0.17713903743315507</v>
      </c>
    </row>
    <row r="858" spans="1:14" s="96" customFormat="1" ht="15" hidden="1" customHeight="1" x14ac:dyDescent="0.2">
      <c r="A858" s="90" t="s">
        <v>328</v>
      </c>
      <c r="B858" s="91" t="s">
        <v>38</v>
      </c>
      <c r="C858" s="91">
        <v>920</v>
      </c>
      <c r="D858" s="92">
        <v>1000</v>
      </c>
      <c r="E858" s="90">
        <f>1348.3</f>
        <v>1348.3</v>
      </c>
      <c r="F858" s="90" t="s">
        <v>8</v>
      </c>
      <c r="G858" s="93">
        <v>3</v>
      </c>
      <c r="H858" s="90"/>
      <c r="I858" s="94">
        <v>43474</v>
      </c>
      <c r="J858" s="90" t="s">
        <v>13</v>
      </c>
      <c r="K858" s="90"/>
      <c r="L858" s="90">
        <v>1</v>
      </c>
      <c r="M858" s="90">
        <f t="shared" si="85"/>
        <v>920</v>
      </c>
      <c r="N858" s="95">
        <f t="shared" si="86"/>
        <v>-2.2269820971867005</v>
      </c>
    </row>
    <row r="859" spans="1:14" s="60" customFormat="1" ht="15" hidden="1" customHeight="1" x14ac:dyDescent="0.2">
      <c r="A859" s="55" t="s">
        <v>328</v>
      </c>
      <c r="B859" s="54" t="s">
        <v>36</v>
      </c>
      <c r="C859" s="54">
        <v>700</v>
      </c>
      <c r="D859" s="56">
        <v>300</v>
      </c>
      <c r="E859" s="55">
        <f>303</f>
        <v>303</v>
      </c>
      <c r="F859" s="55" t="s">
        <v>8</v>
      </c>
      <c r="G859" s="57" t="s">
        <v>146</v>
      </c>
      <c r="H859" s="55"/>
      <c r="I859" s="58">
        <v>43474</v>
      </c>
      <c r="J859" s="55" t="s">
        <v>13</v>
      </c>
      <c r="K859" s="55"/>
      <c r="L859" s="55">
        <v>1</v>
      </c>
      <c r="M859" s="55">
        <f t="shared" si="85"/>
        <v>700</v>
      </c>
      <c r="N859" s="59">
        <f t="shared" si="86"/>
        <v>-2.5210084033613443E-2</v>
      </c>
    </row>
    <row r="860" spans="1:14" s="60" customFormat="1" ht="15" hidden="1" customHeight="1" x14ac:dyDescent="0.2">
      <c r="A860" s="55" t="s">
        <v>328</v>
      </c>
      <c r="B860" s="54" t="s">
        <v>36</v>
      </c>
      <c r="C860" s="54">
        <v>720</v>
      </c>
      <c r="D860" s="56">
        <v>1100</v>
      </c>
      <c r="E860" s="55">
        <f>571.8+568.7</f>
        <v>1140.5</v>
      </c>
      <c r="F860" s="55" t="s">
        <v>8</v>
      </c>
      <c r="G860" s="57" t="s">
        <v>146</v>
      </c>
      <c r="H860" s="55"/>
      <c r="I860" s="58">
        <v>43474</v>
      </c>
      <c r="J860" s="55" t="s">
        <v>13</v>
      </c>
      <c r="K860" s="55"/>
      <c r="L860" s="55">
        <v>1</v>
      </c>
      <c r="M860" s="55">
        <f t="shared" si="85"/>
        <v>720</v>
      </c>
      <c r="N860" s="59">
        <f t="shared" si="86"/>
        <v>-0.33088235294117646</v>
      </c>
    </row>
    <row r="861" spans="1:14" s="60" customFormat="1" ht="15" hidden="1" customHeight="1" x14ac:dyDescent="0.2">
      <c r="A861" s="55" t="s">
        <v>328</v>
      </c>
      <c r="B861" s="107" t="s">
        <v>36</v>
      </c>
      <c r="C861" s="107">
        <v>760</v>
      </c>
      <c r="D861" s="108">
        <v>1200</v>
      </c>
      <c r="E861" s="55">
        <f>439.6+732.2</f>
        <v>1171.8000000000002</v>
      </c>
      <c r="F861" s="55" t="s">
        <v>8</v>
      </c>
      <c r="G861" s="57" t="s">
        <v>146</v>
      </c>
      <c r="H861" s="55"/>
      <c r="I861" s="58">
        <v>43474</v>
      </c>
      <c r="J861" s="55" t="s">
        <v>13</v>
      </c>
      <c r="K861" s="55"/>
      <c r="L861" s="55">
        <v>1</v>
      </c>
      <c r="M861" s="55">
        <f t="shared" si="85"/>
        <v>760</v>
      </c>
      <c r="N861" s="59">
        <f t="shared" si="86"/>
        <v>0.21826625386996759</v>
      </c>
    </row>
    <row r="862" spans="1:14" s="60" customFormat="1" ht="15" hidden="1" customHeight="1" x14ac:dyDescent="0.2">
      <c r="A862" s="55" t="s">
        <v>328</v>
      </c>
      <c r="B862" s="54" t="s">
        <v>36</v>
      </c>
      <c r="C862" s="54">
        <v>900</v>
      </c>
      <c r="D862" s="56">
        <v>400</v>
      </c>
      <c r="E862" s="55">
        <f>389.7</f>
        <v>389.7</v>
      </c>
      <c r="F862" s="55" t="s">
        <v>8</v>
      </c>
      <c r="G862" s="57" t="s">
        <v>146</v>
      </c>
      <c r="H862" s="55"/>
      <c r="I862" s="58">
        <v>43474</v>
      </c>
      <c r="J862" s="55" t="s">
        <v>13</v>
      </c>
      <c r="K862" s="55"/>
      <c r="L862" s="55">
        <v>1</v>
      </c>
      <c r="M862" s="55">
        <f t="shared" si="85"/>
        <v>900</v>
      </c>
      <c r="N862" s="59">
        <f t="shared" si="86"/>
        <v>6.7320261437908577E-2</v>
      </c>
    </row>
    <row r="863" spans="1:14" s="60" customFormat="1" ht="15" hidden="1" customHeight="1" x14ac:dyDescent="0.2">
      <c r="A863" s="55" t="s">
        <v>328</v>
      </c>
      <c r="B863" s="54" t="s">
        <v>36</v>
      </c>
      <c r="C863" s="54">
        <v>1080</v>
      </c>
      <c r="D863" s="56">
        <v>200</v>
      </c>
      <c r="E863" s="55">
        <f>204</f>
        <v>204</v>
      </c>
      <c r="F863" s="55" t="s">
        <v>8</v>
      </c>
      <c r="G863" s="57" t="s">
        <v>146</v>
      </c>
      <c r="H863" s="55"/>
      <c r="I863" s="58">
        <v>43474</v>
      </c>
      <c r="J863" s="55" t="s">
        <v>13</v>
      </c>
      <c r="K863" s="55"/>
      <c r="L863" s="55">
        <v>1</v>
      </c>
      <c r="M863" s="55">
        <f t="shared" si="85"/>
        <v>1080</v>
      </c>
      <c r="N863" s="59">
        <f t="shared" si="86"/>
        <v>-2.1786492374727667E-2</v>
      </c>
    </row>
    <row r="864" spans="1:14" s="96" customFormat="1" ht="15" hidden="1" customHeight="1" x14ac:dyDescent="0.2">
      <c r="A864" s="90" t="s">
        <v>329</v>
      </c>
      <c r="B864" s="91" t="s">
        <v>40</v>
      </c>
      <c r="C864" s="91">
        <v>600</v>
      </c>
      <c r="D864" s="92">
        <v>2000</v>
      </c>
      <c r="E864" s="90">
        <f>535.8+1480.7</f>
        <v>2016.5</v>
      </c>
      <c r="F864" s="90" t="s">
        <v>8</v>
      </c>
      <c r="G864" s="93"/>
      <c r="H864" s="97" t="s">
        <v>35</v>
      </c>
      <c r="I864" s="94">
        <v>43474</v>
      </c>
      <c r="J864" s="90" t="s">
        <v>330</v>
      </c>
      <c r="K864" s="90"/>
      <c r="L864" s="90">
        <v>2</v>
      </c>
      <c r="M864" s="90">
        <f t="shared" si="85"/>
        <v>1200</v>
      </c>
      <c r="N864" s="95">
        <f t="shared" si="86"/>
        <v>-8.0882352941176461E-2</v>
      </c>
    </row>
    <row r="865" spans="1:14" ht="15" hidden="1" customHeight="1" x14ac:dyDescent="0.2">
      <c r="A865" s="1" t="s">
        <v>329</v>
      </c>
      <c r="B865" s="2" t="s">
        <v>40</v>
      </c>
      <c r="C865" s="2">
        <v>400</v>
      </c>
      <c r="D865" s="7">
        <v>1300</v>
      </c>
      <c r="E865" s="1">
        <f>618+679</f>
        <v>1297</v>
      </c>
      <c r="F865" s="90" t="s">
        <v>8</v>
      </c>
      <c r="H865" s="109" t="s">
        <v>35</v>
      </c>
      <c r="I865" s="8">
        <v>43474</v>
      </c>
      <c r="J865" s="16" t="s">
        <v>330</v>
      </c>
      <c r="L865" s="10">
        <v>3</v>
      </c>
      <c r="M865" s="10">
        <f t="shared" si="85"/>
        <v>1200</v>
      </c>
      <c r="N865" s="29">
        <f t="shared" si="86"/>
        <v>1.4705882352941175E-2</v>
      </c>
    </row>
    <row r="866" spans="1:14" s="60" customFormat="1" ht="15" hidden="1" customHeight="1" x14ac:dyDescent="0.2">
      <c r="A866" s="55" t="s">
        <v>331</v>
      </c>
      <c r="B866" s="54" t="s">
        <v>39</v>
      </c>
      <c r="C866" s="54">
        <v>480</v>
      </c>
      <c r="D866" s="56">
        <v>500</v>
      </c>
      <c r="E866" s="55">
        <f>542.2</f>
        <v>542.20000000000005</v>
      </c>
      <c r="F866" s="55" t="s">
        <v>8</v>
      </c>
      <c r="G866" s="57"/>
      <c r="H866" s="55"/>
      <c r="I866" s="58">
        <v>43474</v>
      </c>
      <c r="J866" s="55" t="s">
        <v>332</v>
      </c>
      <c r="K866" s="55"/>
      <c r="L866" s="55">
        <v>2</v>
      </c>
      <c r="M866" s="55">
        <f t="shared" ref="M866:M885" si="87">L866*C866</f>
        <v>960</v>
      </c>
      <c r="N866" s="59">
        <f t="shared" ref="N866:N877" si="88">(D866-E866)/(M866*0.17)</f>
        <v>-0.25857843137254927</v>
      </c>
    </row>
    <row r="867" spans="1:14" s="60" customFormat="1" ht="15" hidden="1" customHeight="1" x14ac:dyDescent="0.2">
      <c r="A867" s="55" t="s">
        <v>331</v>
      </c>
      <c r="B867" s="54" t="s">
        <v>39</v>
      </c>
      <c r="C867" s="54">
        <v>440</v>
      </c>
      <c r="D867" s="56">
        <v>300</v>
      </c>
      <c r="E867" s="55">
        <f>305</f>
        <v>305</v>
      </c>
      <c r="F867" s="55" t="s">
        <v>8</v>
      </c>
      <c r="G867" s="57"/>
      <c r="H867" s="55"/>
      <c r="I867" s="58">
        <v>43474</v>
      </c>
      <c r="J867" s="55" t="s">
        <v>332</v>
      </c>
      <c r="K867" s="55"/>
      <c r="L867" s="55">
        <v>2</v>
      </c>
      <c r="M867" s="55">
        <f t="shared" si="87"/>
        <v>880</v>
      </c>
      <c r="N867" s="59">
        <f t="shared" si="88"/>
        <v>-3.3422459893048123E-2</v>
      </c>
    </row>
    <row r="868" spans="1:14" s="60" customFormat="1" ht="15" hidden="1" customHeight="1" x14ac:dyDescent="0.2">
      <c r="A868" s="55" t="s">
        <v>333</v>
      </c>
      <c r="B868" s="54" t="s">
        <v>39</v>
      </c>
      <c r="C868" s="54">
        <v>390</v>
      </c>
      <c r="D868" s="56">
        <v>600</v>
      </c>
      <c r="E868" s="55">
        <f>605.2</f>
        <v>605.20000000000005</v>
      </c>
      <c r="F868" s="55" t="s">
        <v>8</v>
      </c>
      <c r="G868" s="57"/>
      <c r="H868" s="55"/>
      <c r="I868" s="58">
        <v>43474</v>
      </c>
      <c r="J868" s="55" t="s">
        <v>334</v>
      </c>
      <c r="K868" s="55"/>
      <c r="L868" s="55">
        <v>2</v>
      </c>
      <c r="M868" s="55">
        <f t="shared" si="87"/>
        <v>780</v>
      </c>
      <c r="N868" s="59">
        <f t="shared" si="88"/>
        <v>-3.9215686274510143E-2</v>
      </c>
    </row>
    <row r="869" spans="1:14" ht="15" hidden="1" customHeight="1" x14ac:dyDescent="0.2">
      <c r="A869" s="1" t="s">
        <v>335</v>
      </c>
      <c r="B869" s="2" t="s">
        <v>38</v>
      </c>
      <c r="C869" s="2">
        <v>420</v>
      </c>
      <c r="D869" s="7">
        <v>200</v>
      </c>
      <c r="E869" s="1">
        <f>192.6</f>
        <v>192.6</v>
      </c>
      <c r="F869" s="1" t="s">
        <v>8</v>
      </c>
      <c r="H869" s="109" t="s">
        <v>337</v>
      </c>
      <c r="I869" s="8">
        <v>43474</v>
      </c>
      <c r="J869" s="16" t="s">
        <v>336</v>
      </c>
      <c r="L869" s="10">
        <v>1</v>
      </c>
      <c r="M869" s="10">
        <f t="shared" si="87"/>
        <v>420</v>
      </c>
      <c r="N869" s="29">
        <f t="shared" si="88"/>
        <v>0.10364145658263313</v>
      </c>
    </row>
    <row r="870" spans="1:14" s="60" customFormat="1" ht="15" hidden="1" customHeight="1" x14ac:dyDescent="0.2">
      <c r="A870" s="55" t="s">
        <v>338</v>
      </c>
      <c r="B870" s="54" t="s">
        <v>36</v>
      </c>
      <c r="C870" s="47">
        <v>460</v>
      </c>
      <c r="D870" s="56">
        <v>1000</v>
      </c>
      <c r="E870" s="55">
        <f>1015.4</f>
        <v>1015.4</v>
      </c>
      <c r="F870" s="55" t="s">
        <v>8</v>
      </c>
      <c r="G870" s="57" t="s">
        <v>146</v>
      </c>
      <c r="H870" s="55"/>
      <c r="I870" s="58">
        <v>43474</v>
      </c>
      <c r="J870" s="55" t="s">
        <v>116</v>
      </c>
      <c r="K870" s="55"/>
      <c r="L870" s="55">
        <v>2</v>
      </c>
      <c r="M870" s="55">
        <f t="shared" si="87"/>
        <v>920</v>
      </c>
      <c r="N870" s="59">
        <f t="shared" si="88"/>
        <v>-9.84654731457799E-2</v>
      </c>
    </row>
    <row r="871" spans="1:14" s="60" customFormat="1" ht="15" hidden="1" customHeight="1" x14ac:dyDescent="0.2">
      <c r="A871" s="55" t="s">
        <v>339</v>
      </c>
      <c r="B871" s="54" t="s">
        <v>37</v>
      </c>
      <c r="C871" s="54">
        <v>760</v>
      </c>
      <c r="D871" s="56">
        <v>1500</v>
      </c>
      <c r="E871" s="55">
        <f>903+574.1</f>
        <v>1477.1</v>
      </c>
      <c r="F871" s="55" t="s">
        <v>8</v>
      </c>
      <c r="G871" s="57"/>
      <c r="H871" s="55"/>
      <c r="I871" s="58">
        <v>43474</v>
      </c>
      <c r="J871" s="55" t="s">
        <v>340</v>
      </c>
      <c r="K871" s="55"/>
      <c r="L871" s="55">
        <v>1</v>
      </c>
      <c r="M871" s="55">
        <f t="shared" si="87"/>
        <v>760</v>
      </c>
      <c r="N871" s="59">
        <f t="shared" si="88"/>
        <v>0.17724458204334434</v>
      </c>
    </row>
    <row r="872" spans="1:14" s="60" customFormat="1" ht="15" hidden="1" customHeight="1" x14ac:dyDescent="0.2">
      <c r="A872" s="55" t="s">
        <v>339</v>
      </c>
      <c r="B872" s="54" t="s">
        <v>37</v>
      </c>
      <c r="C872" s="54">
        <v>840</v>
      </c>
      <c r="D872" s="56">
        <v>750</v>
      </c>
      <c r="E872" s="55">
        <f>379.7+402.7</f>
        <v>782.4</v>
      </c>
      <c r="F872" s="55" t="s">
        <v>8</v>
      </c>
      <c r="G872" s="57"/>
      <c r="H872" s="55"/>
      <c r="I872" s="58">
        <v>43474</v>
      </c>
      <c r="J872" s="55" t="s">
        <v>340</v>
      </c>
      <c r="K872" s="55"/>
      <c r="L872" s="55">
        <v>1</v>
      </c>
      <c r="M872" s="55">
        <f t="shared" si="87"/>
        <v>840</v>
      </c>
      <c r="N872" s="59">
        <f t="shared" si="88"/>
        <v>-0.22689075630252084</v>
      </c>
    </row>
    <row r="873" spans="1:14" s="60" customFormat="1" ht="15" hidden="1" customHeight="1" x14ac:dyDescent="0.2">
      <c r="A873" s="55" t="s">
        <v>339</v>
      </c>
      <c r="B873" s="54" t="s">
        <v>37</v>
      </c>
      <c r="C873" s="54">
        <v>1080</v>
      </c>
      <c r="D873" s="56">
        <v>1000</v>
      </c>
      <c r="E873" s="55">
        <f>487.8+517</f>
        <v>1004.8</v>
      </c>
      <c r="F873" s="55" t="s">
        <v>8</v>
      </c>
      <c r="G873" s="57"/>
      <c r="H873" s="55"/>
      <c r="I873" s="58">
        <v>43474</v>
      </c>
      <c r="J873" s="55" t="s">
        <v>340</v>
      </c>
      <c r="K873" s="55"/>
      <c r="L873" s="55">
        <v>1</v>
      </c>
      <c r="M873" s="55">
        <f t="shared" si="87"/>
        <v>1080</v>
      </c>
      <c r="N873" s="59">
        <f t="shared" si="88"/>
        <v>-2.614379084967295E-2</v>
      </c>
    </row>
    <row r="874" spans="1:14" s="60" customFormat="1" ht="15" hidden="1" customHeight="1" x14ac:dyDescent="0.2">
      <c r="A874" s="55" t="s">
        <v>339</v>
      </c>
      <c r="B874" s="54" t="s">
        <v>37</v>
      </c>
      <c r="C874" s="54">
        <v>680</v>
      </c>
      <c r="D874" s="56">
        <v>650</v>
      </c>
      <c r="E874" s="55">
        <f>406.4+258.8</f>
        <v>665.2</v>
      </c>
      <c r="F874" s="55" t="s">
        <v>8</v>
      </c>
      <c r="G874" s="57"/>
      <c r="H874" s="55"/>
      <c r="I874" s="58">
        <v>43474</v>
      </c>
      <c r="J874" s="55" t="s">
        <v>340</v>
      </c>
      <c r="K874" s="55"/>
      <c r="L874" s="55">
        <v>1</v>
      </c>
      <c r="M874" s="55">
        <f t="shared" si="87"/>
        <v>680</v>
      </c>
      <c r="N874" s="59">
        <f t="shared" si="88"/>
        <v>-0.13148788927335678</v>
      </c>
    </row>
    <row r="875" spans="1:14" s="60" customFormat="1" ht="15" hidden="1" customHeight="1" x14ac:dyDescent="0.2">
      <c r="A875" s="55" t="s">
        <v>339</v>
      </c>
      <c r="B875" s="54" t="s">
        <v>37</v>
      </c>
      <c r="C875" s="54">
        <v>960</v>
      </c>
      <c r="D875" s="56">
        <v>850</v>
      </c>
      <c r="E875" s="55">
        <f>430.9+456.5</f>
        <v>887.4</v>
      </c>
      <c r="F875" s="55" t="s">
        <v>8</v>
      </c>
      <c r="G875" s="57"/>
      <c r="H875" s="55"/>
      <c r="I875" s="58">
        <v>43474</v>
      </c>
      <c r="J875" s="55" t="s">
        <v>340</v>
      </c>
      <c r="K875" s="55"/>
      <c r="L875" s="55">
        <v>1</v>
      </c>
      <c r="M875" s="55">
        <f t="shared" si="87"/>
        <v>960</v>
      </c>
      <c r="N875" s="59">
        <f t="shared" si="88"/>
        <v>-0.22916666666666649</v>
      </c>
    </row>
    <row r="876" spans="1:14" s="60" customFormat="1" ht="15" hidden="1" customHeight="1" x14ac:dyDescent="0.2">
      <c r="A876" s="55" t="s">
        <v>339</v>
      </c>
      <c r="B876" s="54" t="s">
        <v>37</v>
      </c>
      <c r="C876" s="54">
        <v>1185</v>
      </c>
      <c r="D876" s="56">
        <v>1000</v>
      </c>
      <c r="E876" s="55">
        <f>531.4+563.9</f>
        <v>1095.3</v>
      </c>
      <c r="F876" s="55" t="s">
        <v>8</v>
      </c>
      <c r="G876" s="57"/>
      <c r="H876" s="55"/>
      <c r="I876" s="58">
        <v>43474</v>
      </c>
      <c r="J876" s="55" t="s">
        <v>340</v>
      </c>
      <c r="K876" s="55"/>
      <c r="L876" s="55">
        <v>1</v>
      </c>
      <c r="M876" s="55">
        <f t="shared" si="87"/>
        <v>1185</v>
      </c>
      <c r="N876" s="59">
        <f t="shared" si="88"/>
        <v>-0.47307024075452941</v>
      </c>
    </row>
    <row r="877" spans="1:14" s="60" customFormat="1" ht="15" hidden="1" customHeight="1" x14ac:dyDescent="0.2">
      <c r="A877" s="55" t="s">
        <v>339</v>
      </c>
      <c r="B877" s="54" t="s">
        <v>37</v>
      </c>
      <c r="C877" s="54">
        <v>880</v>
      </c>
      <c r="D877" s="56">
        <v>780</v>
      </c>
      <c r="E877" s="55">
        <f>396.7+419.7</f>
        <v>816.4</v>
      </c>
      <c r="F877" s="55" t="s">
        <v>8</v>
      </c>
      <c r="G877" s="57"/>
      <c r="H877" s="55"/>
      <c r="I877" s="58">
        <v>43474</v>
      </c>
      <c r="J877" s="55" t="s">
        <v>340</v>
      </c>
      <c r="K877" s="55"/>
      <c r="L877" s="55">
        <v>1</v>
      </c>
      <c r="M877" s="55">
        <f t="shared" si="87"/>
        <v>880</v>
      </c>
      <c r="N877" s="59">
        <f t="shared" si="88"/>
        <v>-0.24331550802139018</v>
      </c>
    </row>
    <row r="878" spans="1:14" ht="15" hidden="1" customHeight="1" x14ac:dyDescent="0.2">
      <c r="A878" s="1" t="s">
        <v>339</v>
      </c>
      <c r="B878" s="2" t="s">
        <v>38</v>
      </c>
      <c r="C878" s="2">
        <v>1185</v>
      </c>
      <c r="D878" s="7">
        <v>2000</v>
      </c>
      <c r="E878" s="1">
        <f>573.5+1625.4</f>
        <v>2198.9</v>
      </c>
      <c r="F878" s="1" t="s">
        <v>8</v>
      </c>
      <c r="G878" s="41">
        <v>3</v>
      </c>
      <c r="I878" s="8">
        <v>43474</v>
      </c>
      <c r="J878" s="16" t="s">
        <v>340</v>
      </c>
      <c r="L878" s="10">
        <v>1</v>
      </c>
      <c r="M878" s="10">
        <f t="shared" si="87"/>
        <v>1185</v>
      </c>
      <c r="N878" s="29">
        <f t="shared" ref="N878:N883" si="89">(D878-E878)/(M878*0.17)</f>
        <v>-0.98734177215189911</v>
      </c>
    </row>
    <row r="879" spans="1:14" s="96" customFormat="1" ht="15" hidden="1" customHeight="1" x14ac:dyDescent="0.2">
      <c r="A879" s="90" t="s">
        <v>339</v>
      </c>
      <c r="B879" s="91" t="s">
        <v>38</v>
      </c>
      <c r="C879" s="91">
        <v>1080</v>
      </c>
      <c r="D879" s="92">
        <v>1000</v>
      </c>
      <c r="E879" s="90">
        <f>1070.9</f>
        <v>1070.9000000000001</v>
      </c>
      <c r="F879" s="90" t="s">
        <v>8</v>
      </c>
      <c r="G879" s="93"/>
      <c r="H879" s="90"/>
      <c r="I879" s="94">
        <v>43474</v>
      </c>
      <c r="J879" s="90" t="s">
        <v>340</v>
      </c>
      <c r="K879" s="90"/>
      <c r="L879" s="90">
        <v>1</v>
      </c>
      <c r="M879" s="90">
        <f t="shared" si="87"/>
        <v>1080</v>
      </c>
      <c r="N879" s="95">
        <f t="shared" si="89"/>
        <v>-0.38616557734204837</v>
      </c>
    </row>
    <row r="880" spans="1:14" s="60" customFormat="1" ht="15" hidden="1" customHeight="1" x14ac:dyDescent="0.2">
      <c r="A880" s="55" t="s">
        <v>339</v>
      </c>
      <c r="B880" s="54" t="s">
        <v>38</v>
      </c>
      <c r="C880" s="54">
        <v>960</v>
      </c>
      <c r="D880" s="56">
        <v>850</v>
      </c>
      <c r="E880" s="55">
        <f>469.3+421.1</f>
        <v>890.40000000000009</v>
      </c>
      <c r="F880" s="55" t="s">
        <v>8</v>
      </c>
      <c r="G880" s="57">
        <v>3</v>
      </c>
      <c r="H880" s="55"/>
      <c r="I880" s="58">
        <v>43474</v>
      </c>
      <c r="J880" s="55" t="s">
        <v>340</v>
      </c>
      <c r="K880" s="55"/>
      <c r="L880" s="55">
        <v>1</v>
      </c>
      <c r="M880" s="55">
        <f t="shared" si="87"/>
        <v>960</v>
      </c>
      <c r="N880" s="59">
        <f t="shared" si="89"/>
        <v>-0.24754901960784367</v>
      </c>
    </row>
    <row r="881" spans="1:15" s="60" customFormat="1" ht="15" hidden="1" customHeight="1" x14ac:dyDescent="0.2">
      <c r="A881" s="55" t="s">
        <v>339</v>
      </c>
      <c r="B881" s="54" t="s">
        <v>38</v>
      </c>
      <c r="C881" s="54">
        <v>1200</v>
      </c>
      <c r="D881" s="56">
        <v>1000</v>
      </c>
      <c r="E881" s="55">
        <f>581.7+524.4</f>
        <v>1106.0999999999999</v>
      </c>
      <c r="F881" s="55" t="s">
        <v>8</v>
      </c>
      <c r="G881" s="57">
        <v>3</v>
      </c>
      <c r="H881" s="55"/>
      <c r="I881" s="58">
        <v>43474</v>
      </c>
      <c r="J881" s="55" t="s">
        <v>340</v>
      </c>
      <c r="K881" s="55"/>
      <c r="L881" s="55">
        <v>1</v>
      </c>
      <c r="M881" s="55">
        <f t="shared" si="87"/>
        <v>1200</v>
      </c>
      <c r="N881" s="59">
        <f t="shared" si="89"/>
        <v>-0.52009803921568576</v>
      </c>
    </row>
    <row r="882" spans="1:15" s="60" customFormat="1" ht="15" hidden="1" customHeight="1" x14ac:dyDescent="0.2">
      <c r="A882" s="55" t="s">
        <v>339</v>
      </c>
      <c r="B882" s="54" t="s">
        <v>38</v>
      </c>
      <c r="C882" s="54">
        <v>1050</v>
      </c>
      <c r="D882" s="56">
        <v>500</v>
      </c>
      <c r="E882" s="55">
        <f>510.2</f>
        <v>510.2</v>
      </c>
      <c r="F882" s="55" t="s">
        <v>8</v>
      </c>
      <c r="G882" s="57">
        <v>3</v>
      </c>
      <c r="H882" s="55"/>
      <c r="I882" s="58">
        <v>43474</v>
      </c>
      <c r="J882" s="55" t="s">
        <v>340</v>
      </c>
      <c r="K882" s="55"/>
      <c r="L882" s="55">
        <v>1</v>
      </c>
      <c r="M882" s="55">
        <f t="shared" si="87"/>
        <v>1050</v>
      </c>
      <c r="N882" s="59">
        <f t="shared" si="89"/>
        <v>-5.7142857142857079E-2</v>
      </c>
    </row>
    <row r="883" spans="1:15" s="60" customFormat="1" ht="15" hidden="1" customHeight="1" x14ac:dyDescent="0.2">
      <c r="A883" s="55" t="s">
        <v>339</v>
      </c>
      <c r="B883" s="54" t="s">
        <v>36</v>
      </c>
      <c r="C883" s="54">
        <v>880</v>
      </c>
      <c r="D883" s="56">
        <v>800</v>
      </c>
      <c r="E883" s="55">
        <f>861.7</f>
        <v>861.7</v>
      </c>
      <c r="F883" s="55" t="s">
        <v>8</v>
      </c>
      <c r="G883" s="57" t="s">
        <v>146</v>
      </c>
      <c r="H883" s="55"/>
      <c r="I883" s="58">
        <v>43474</v>
      </c>
      <c r="J883" s="55" t="s">
        <v>340</v>
      </c>
      <c r="K883" s="55"/>
      <c r="L883" s="55">
        <v>1</v>
      </c>
      <c r="M883" s="55">
        <f t="shared" si="87"/>
        <v>880</v>
      </c>
      <c r="N883" s="59">
        <f t="shared" si="89"/>
        <v>-0.41243315508021416</v>
      </c>
    </row>
    <row r="884" spans="1:15" ht="15" hidden="1" customHeight="1" x14ac:dyDescent="0.2">
      <c r="A884" s="1" t="s">
        <v>196</v>
      </c>
      <c r="B884" s="2" t="s">
        <v>39</v>
      </c>
      <c r="C884" s="2">
        <v>410</v>
      </c>
      <c r="D884" s="7">
        <v>1000</v>
      </c>
      <c r="E884" s="1">
        <f>899.7</f>
        <v>899.7</v>
      </c>
      <c r="F884" s="1" t="s">
        <v>8</v>
      </c>
      <c r="H884" s="1" t="s">
        <v>342</v>
      </c>
      <c r="I884" s="8">
        <v>43474</v>
      </c>
      <c r="J884" s="16" t="s">
        <v>197</v>
      </c>
      <c r="L884" s="10">
        <v>1</v>
      </c>
      <c r="M884" s="10">
        <f t="shared" si="87"/>
        <v>410</v>
      </c>
      <c r="N884" s="29">
        <f t="shared" ref="N884:N893" si="90">(D884-E884)/(M884*0.17)</f>
        <v>1.4390243902439017</v>
      </c>
    </row>
    <row r="885" spans="1:15" s="60" customFormat="1" ht="15" hidden="1" customHeight="1" x14ac:dyDescent="0.2">
      <c r="A885" s="55" t="s">
        <v>196</v>
      </c>
      <c r="B885" s="54" t="s">
        <v>39</v>
      </c>
      <c r="C885" s="54">
        <v>430</v>
      </c>
      <c r="D885" s="56">
        <v>1500</v>
      </c>
      <c r="E885" s="55">
        <f>1456.8</f>
        <v>1456.8</v>
      </c>
      <c r="F885" s="55" t="s">
        <v>8</v>
      </c>
      <c r="G885" s="57"/>
      <c r="H885" s="55" t="s">
        <v>342</v>
      </c>
      <c r="I885" s="58">
        <v>43474</v>
      </c>
      <c r="J885" s="55" t="s">
        <v>197</v>
      </c>
      <c r="K885" s="55"/>
      <c r="L885" s="55">
        <v>3</v>
      </c>
      <c r="M885" s="55">
        <f t="shared" si="87"/>
        <v>1290</v>
      </c>
      <c r="N885" s="59">
        <f t="shared" si="90"/>
        <v>0.19699042407660758</v>
      </c>
    </row>
    <row r="886" spans="1:15" s="60" customFormat="1" ht="15" hidden="1" customHeight="1" x14ac:dyDescent="0.2">
      <c r="A886" s="55" t="s">
        <v>196</v>
      </c>
      <c r="B886" s="54" t="s">
        <v>37</v>
      </c>
      <c r="C886" s="54">
        <v>300</v>
      </c>
      <c r="D886" s="56">
        <v>600</v>
      </c>
      <c r="E886" s="55">
        <f>640.5</f>
        <v>640.5</v>
      </c>
      <c r="F886" s="55" t="s">
        <v>8</v>
      </c>
      <c r="G886" s="57"/>
      <c r="H886" s="55" t="s">
        <v>342</v>
      </c>
      <c r="I886" s="58">
        <v>43474</v>
      </c>
      <c r="J886" s="55" t="s">
        <v>197</v>
      </c>
      <c r="K886" s="55"/>
      <c r="L886" s="55">
        <v>4</v>
      </c>
      <c r="M886" s="55">
        <f t="shared" ref="M886:M893" si="91">L886*C886</f>
        <v>1200</v>
      </c>
      <c r="N886" s="59">
        <f t="shared" si="90"/>
        <v>-0.19852941176470584</v>
      </c>
    </row>
    <row r="887" spans="1:15" s="60" customFormat="1" ht="15" hidden="1" customHeight="1" x14ac:dyDescent="0.2">
      <c r="A887" s="55" t="s">
        <v>344</v>
      </c>
      <c r="B887" s="54" t="s">
        <v>37</v>
      </c>
      <c r="C887" s="47">
        <v>395</v>
      </c>
      <c r="D887" s="56" t="s">
        <v>345</v>
      </c>
      <c r="E887" s="55">
        <f>43.8</f>
        <v>43.8</v>
      </c>
      <c r="F887" s="55" t="s">
        <v>8</v>
      </c>
      <c r="G887" s="57"/>
      <c r="H887" s="55"/>
      <c r="I887" s="58">
        <v>43475</v>
      </c>
      <c r="J887" s="55" t="s">
        <v>156</v>
      </c>
      <c r="K887" s="55"/>
      <c r="L887" s="3"/>
      <c r="M887" s="10">
        <f t="shared" si="91"/>
        <v>0</v>
      </c>
      <c r="N887" s="29" t="e">
        <f t="shared" si="90"/>
        <v>#VALUE!</v>
      </c>
    </row>
    <row r="888" spans="1:15" s="138" customFormat="1" ht="15" hidden="1" customHeight="1" x14ac:dyDescent="0.2">
      <c r="A888" s="134" t="s">
        <v>346</v>
      </c>
      <c r="B888" s="107" t="s">
        <v>37</v>
      </c>
      <c r="C888" s="107">
        <v>1110</v>
      </c>
      <c r="D888" s="108">
        <v>4000</v>
      </c>
      <c r="E888" s="134">
        <f>680.4+2758.2+483.9</f>
        <v>3922.5</v>
      </c>
      <c r="F888" s="134" t="s">
        <v>8</v>
      </c>
      <c r="G888" s="135"/>
      <c r="H888" s="134"/>
      <c r="I888" s="136">
        <v>43475</v>
      </c>
      <c r="J888" s="134" t="s">
        <v>234</v>
      </c>
      <c r="K888" s="134"/>
      <c r="L888" s="134">
        <v>1</v>
      </c>
      <c r="M888" s="134">
        <f>L888*C888</f>
        <v>1110</v>
      </c>
      <c r="N888" s="137">
        <f t="shared" si="90"/>
        <v>0.41070482246952833</v>
      </c>
    </row>
    <row r="889" spans="1:15" s="96" customFormat="1" ht="15" hidden="1" customHeight="1" x14ac:dyDescent="0.2">
      <c r="A889" s="90" t="s">
        <v>178</v>
      </c>
      <c r="B889" s="91" t="s">
        <v>39</v>
      </c>
      <c r="C889" s="73">
        <v>350</v>
      </c>
      <c r="D889" s="92">
        <v>1000</v>
      </c>
      <c r="E889" s="90">
        <f>991.8</f>
        <v>991.8</v>
      </c>
      <c r="F889" s="90" t="s">
        <v>8</v>
      </c>
      <c r="G889" s="93" t="s">
        <v>146</v>
      </c>
      <c r="H889" s="90">
        <v>20</v>
      </c>
      <c r="I889" s="94">
        <v>43476</v>
      </c>
      <c r="J889" s="90" t="s">
        <v>5</v>
      </c>
      <c r="K889" s="90"/>
      <c r="L889" s="90">
        <v>4</v>
      </c>
      <c r="M889" s="90">
        <f t="shared" si="91"/>
        <v>1400</v>
      </c>
      <c r="N889" s="95">
        <f t="shared" si="90"/>
        <v>3.4453781512605232E-2</v>
      </c>
    </row>
    <row r="890" spans="1:15" s="60" customFormat="1" ht="15" hidden="1" customHeight="1" x14ac:dyDescent="0.2">
      <c r="A890" s="55" t="s">
        <v>178</v>
      </c>
      <c r="B890" s="54" t="s">
        <v>39</v>
      </c>
      <c r="C890" s="73">
        <v>460</v>
      </c>
      <c r="D890" s="56">
        <v>3000</v>
      </c>
      <c r="E890" s="55">
        <f>864.8+2164.8</f>
        <v>3029.6000000000004</v>
      </c>
      <c r="F890" s="55" t="s">
        <v>8</v>
      </c>
      <c r="G890" s="57" t="s">
        <v>146</v>
      </c>
      <c r="H890" s="55">
        <v>20</v>
      </c>
      <c r="I890" s="58">
        <v>43476</v>
      </c>
      <c r="J890" s="55" t="s">
        <v>5</v>
      </c>
      <c r="K890" s="55"/>
      <c r="L890" s="55">
        <v>2</v>
      </c>
      <c r="M890" s="55">
        <f t="shared" si="91"/>
        <v>920</v>
      </c>
      <c r="N890" s="59">
        <f t="shared" si="90"/>
        <v>-0.18925831202046267</v>
      </c>
    </row>
    <row r="891" spans="1:15" s="96" customFormat="1" ht="15" hidden="1" customHeight="1" x14ac:dyDescent="0.2">
      <c r="A891" s="90" t="s">
        <v>178</v>
      </c>
      <c r="B891" s="91" t="s">
        <v>39</v>
      </c>
      <c r="C891" s="73">
        <v>470</v>
      </c>
      <c r="D891" s="92">
        <v>2000</v>
      </c>
      <c r="E891" s="90">
        <f>2038.6</f>
        <v>2038.6</v>
      </c>
      <c r="F891" s="90" t="s">
        <v>8</v>
      </c>
      <c r="G891" s="93" t="s">
        <v>146</v>
      </c>
      <c r="H891" s="90">
        <v>20</v>
      </c>
      <c r="I891" s="94">
        <v>43476</v>
      </c>
      <c r="J891" s="90" t="s">
        <v>5</v>
      </c>
      <c r="K891" s="90"/>
      <c r="L891" s="90">
        <v>2</v>
      </c>
      <c r="M891" s="90">
        <f t="shared" si="91"/>
        <v>940</v>
      </c>
      <c r="N891" s="95">
        <f t="shared" si="90"/>
        <v>-0.24155193992490553</v>
      </c>
      <c r="O891" s="96">
        <v>13.8</v>
      </c>
    </row>
    <row r="892" spans="1:15" s="96" customFormat="1" ht="15" hidden="1" customHeight="1" x14ac:dyDescent="0.2">
      <c r="A892" s="90" t="s">
        <v>178</v>
      </c>
      <c r="B892" s="91" t="s">
        <v>39</v>
      </c>
      <c r="C892" s="73">
        <v>500</v>
      </c>
      <c r="D892" s="92">
        <v>3000</v>
      </c>
      <c r="E892" s="90">
        <f>1535.2+1446.2</f>
        <v>2981.4</v>
      </c>
      <c r="F892" s="90" t="s">
        <v>8</v>
      </c>
      <c r="G892" s="93" t="s">
        <v>146</v>
      </c>
      <c r="H892" s="90">
        <v>20</v>
      </c>
      <c r="I892" s="94">
        <v>43476</v>
      </c>
      <c r="J892" s="90" t="s">
        <v>5</v>
      </c>
      <c r="K892" s="90"/>
      <c r="L892" s="90">
        <v>2</v>
      </c>
      <c r="M892" s="90">
        <f t="shared" si="91"/>
        <v>1000</v>
      </c>
      <c r="N892" s="95">
        <f t="shared" si="90"/>
        <v>0.10941176470588182</v>
      </c>
    </row>
    <row r="893" spans="1:15" s="96" customFormat="1" ht="15" hidden="1" customHeight="1" x14ac:dyDescent="0.2">
      <c r="A893" s="90" t="s">
        <v>178</v>
      </c>
      <c r="B893" s="91" t="s">
        <v>39</v>
      </c>
      <c r="C893" s="91">
        <v>400</v>
      </c>
      <c r="D893" s="92">
        <v>1500</v>
      </c>
      <c r="E893" s="90">
        <f>798.9+734.4</f>
        <v>1533.3</v>
      </c>
      <c r="F893" s="90" t="s">
        <v>8</v>
      </c>
      <c r="G893" s="93" t="s">
        <v>146</v>
      </c>
      <c r="H893" s="90">
        <v>20</v>
      </c>
      <c r="I893" s="94">
        <v>43476</v>
      </c>
      <c r="J893" s="90" t="s">
        <v>5</v>
      </c>
      <c r="K893" s="90"/>
      <c r="L893" s="90">
        <v>3</v>
      </c>
      <c r="M893" s="90">
        <f t="shared" si="91"/>
        <v>1200</v>
      </c>
      <c r="N893" s="95">
        <f t="shared" si="90"/>
        <v>-0.16323529411764681</v>
      </c>
    </row>
    <row r="894" spans="1:15" s="96" customFormat="1" ht="15" hidden="1" customHeight="1" x14ac:dyDescent="0.2">
      <c r="A894" s="90" t="s">
        <v>178</v>
      </c>
      <c r="B894" s="91" t="s">
        <v>40</v>
      </c>
      <c r="C894" s="91">
        <v>500</v>
      </c>
      <c r="D894" s="92">
        <v>200</v>
      </c>
      <c r="E894" s="90">
        <f>208</f>
        <v>208</v>
      </c>
      <c r="F894" s="90" t="s">
        <v>8</v>
      </c>
      <c r="G894" s="93" t="s">
        <v>146</v>
      </c>
      <c r="H894" s="90">
        <v>20</v>
      </c>
      <c r="I894" s="94">
        <v>43476</v>
      </c>
      <c r="J894" s="90" t="s">
        <v>5</v>
      </c>
      <c r="K894" s="90"/>
      <c r="L894" s="90">
        <v>2</v>
      </c>
      <c r="M894" s="90">
        <f>L894*C894</f>
        <v>1000</v>
      </c>
      <c r="N894" s="95">
        <f t="shared" ref="N894:N900" si="92">(D894-E894)/(M894*0.17)</f>
        <v>-4.7058823529411764E-2</v>
      </c>
    </row>
    <row r="895" spans="1:15" s="60" customFormat="1" ht="15" hidden="1" customHeight="1" x14ac:dyDescent="0.2">
      <c r="A895" s="55" t="s">
        <v>178</v>
      </c>
      <c r="B895" s="54" t="s">
        <v>37</v>
      </c>
      <c r="C895" s="47">
        <v>500</v>
      </c>
      <c r="D895" s="56">
        <v>1000</v>
      </c>
      <c r="E895" s="55">
        <f>1055.4</f>
        <v>1055.4000000000001</v>
      </c>
      <c r="F895" s="55" t="s">
        <v>8</v>
      </c>
      <c r="G895" s="57"/>
      <c r="H895" s="55">
        <v>20</v>
      </c>
      <c r="I895" s="58">
        <v>43476</v>
      </c>
      <c r="J895" s="55" t="s">
        <v>5</v>
      </c>
      <c r="K895" s="55"/>
      <c r="L895" s="55">
        <v>2</v>
      </c>
      <c r="M895" s="55">
        <f t="shared" ref="M895:M900" si="93">L895*C895</f>
        <v>1000</v>
      </c>
      <c r="N895" s="59">
        <f t="shared" si="92"/>
        <v>-0.32588235294117701</v>
      </c>
    </row>
    <row r="896" spans="1:15" s="96" customFormat="1" ht="15" hidden="1" customHeight="1" x14ac:dyDescent="0.2">
      <c r="A896" s="90" t="s">
        <v>178</v>
      </c>
      <c r="B896" s="91" t="s">
        <v>39</v>
      </c>
      <c r="C896" s="73">
        <v>450</v>
      </c>
      <c r="D896" s="92">
        <v>1000</v>
      </c>
      <c r="E896" s="90">
        <f>1892.4</f>
        <v>1892.4</v>
      </c>
      <c r="F896" s="90" t="s">
        <v>8</v>
      </c>
      <c r="G896" s="93" t="s">
        <v>146</v>
      </c>
      <c r="H896" s="90">
        <v>20</v>
      </c>
      <c r="I896" s="94">
        <v>43476</v>
      </c>
      <c r="J896" s="90" t="s">
        <v>5</v>
      </c>
      <c r="K896" s="90"/>
      <c r="L896" s="90">
        <v>3</v>
      </c>
      <c r="M896" s="90">
        <f t="shared" si="93"/>
        <v>1350</v>
      </c>
      <c r="N896" s="95">
        <f t="shared" si="92"/>
        <v>-3.8884531590413944</v>
      </c>
    </row>
    <row r="897" spans="1:14" s="96" customFormat="1" ht="15" hidden="1" customHeight="1" x14ac:dyDescent="0.2">
      <c r="A897" s="90" t="s">
        <v>178</v>
      </c>
      <c r="B897" s="91" t="s">
        <v>39</v>
      </c>
      <c r="C897" s="73">
        <v>380</v>
      </c>
      <c r="D897" s="92">
        <v>400</v>
      </c>
      <c r="E897" s="90">
        <f>446.1</f>
        <v>446.1</v>
      </c>
      <c r="F897" s="90" t="s">
        <v>8</v>
      </c>
      <c r="G897" s="93" t="s">
        <v>146</v>
      </c>
      <c r="H897" s="90">
        <v>20</v>
      </c>
      <c r="I897" s="94">
        <v>43476</v>
      </c>
      <c r="J897" s="90" t="s">
        <v>5</v>
      </c>
      <c r="K897" s="90"/>
      <c r="L897" s="90">
        <v>3</v>
      </c>
      <c r="M897" s="90">
        <f t="shared" si="93"/>
        <v>1140</v>
      </c>
      <c r="N897" s="95">
        <f t="shared" si="92"/>
        <v>-0.23787409700722403</v>
      </c>
    </row>
    <row r="898" spans="1:14" s="96" customFormat="1" ht="15" hidden="1" customHeight="1" x14ac:dyDescent="0.2">
      <c r="A898" s="90" t="s">
        <v>178</v>
      </c>
      <c r="B898" s="91" t="s">
        <v>39</v>
      </c>
      <c r="C898" s="91">
        <v>520</v>
      </c>
      <c r="D898" s="92">
        <v>600</v>
      </c>
      <c r="E898" s="90">
        <f>624.3</f>
        <v>624.29999999999995</v>
      </c>
      <c r="F898" s="90" t="s">
        <v>8</v>
      </c>
      <c r="G898" s="93" t="s">
        <v>146</v>
      </c>
      <c r="H898" s="90">
        <v>20</v>
      </c>
      <c r="I898" s="94">
        <v>43476</v>
      </c>
      <c r="J898" s="90" t="s">
        <v>5</v>
      </c>
      <c r="K898" s="90"/>
      <c r="L898" s="90">
        <v>2</v>
      </c>
      <c r="M898" s="90">
        <f t="shared" si="93"/>
        <v>1040</v>
      </c>
      <c r="N898" s="95">
        <f t="shared" si="92"/>
        <v>-0.13744343891402688</v>
      </c>
    </row>
    <row r="899" spans="1:14" s="60" customFormat="1" ht="15" hidden="1" customHeight="1" x14ac:dyDescent="0.2">
      <c r="A899" s="55" t="s">
        <v>178</v>
      </c>
      <c r="B899" s="54" t="s">
        <v>39</v>
      </c>
      <c r="C899" s="54">
        <v>430</v>
      </c>
      <c r="D899" s="56">
        <v>500</v>
      </c>
      <c r="E899" s="55">
        <f>506.1</f>
        <v>506.1</v>
      </c>
      <c r="F899" s="55" t="s">
        <v>8</v>
      </c>
      <c r="G899" s="57"/>
      <c r="H899" s="55">
        <v>20</v>
      </c>
      <c r="I899" s="58">
        <v>43476</v>
      </c>
      <c r="J899" s="55" t="s">
        <v>5</v>
      </c>
      <c r="K899" s="55"/>
      <c r="L899" s="55">
        <v>3</v>
      </c>
      <c r="M899" s="55">
        <f t="shared" si="93"/>
        <v>1290</v>
      </c>
      <c r="N899" s="59">
        <f t="shared" si="92"/>
        <v>-2.7815777473780313E-2</v>
      </c>
    </row>
    <row r="900" spans="1:14" s="96" customFormat="1" ht="15" hidden="1" customHeight="1" x14ac:dyDescent="0.2">
      <c r="A900" s="90" t="s">
        <v>347</v>
      </c>
      <c r="B900" s="91" t="s">
        <v>39</v>
      </c>
      <c r="C900" s="91">
        <v>185</v>
      </c>
      <c r="D900" s="92">
        <v>500</v>
      </c>
      <c r="E900" s="90">
        <f>503.4</f>
        <v>503.4</v>
      </c>
      <c r="F900" s="90" t="s">
        <v>8</v>
      </c>
      <c r="G900" s="93"/>
      <c r="H900" s="90"/>
      <c r="I900" s="94">
        <v>43476</v>
      </c>
      <c r="J900" s="90" t="s">
        <v>348</v>
      </c>
      <c r="K900" s="90"/>
      <c r="L900" s="90">
        <v>6</v>
      </c>
      <c r="M900" s="90">
        <f t="shared" si="93"/>
        <v>1110</v>
      </c>
      <c r="N900" s="95">
        <f t="shared" si="92"/>
        <v>-1.8018018018017896E-2</v>
      </c>
    </row>
    <row r="901" spans="1:14" s="60" customFormat="1" ht="15" hidden="1" customHeight="1" x14ac:dyDescent="0.2">
      <c r="A901" s="55" t="s">
        <v>349</v>
      </c>
      <c r="B901" s="54" t="s">
        <v>36</v>
      </c>
      <c r="C901" s="47">
        <v>330</v>
      </c>
      <c r="D901" s="56">
        <v>3000</v>
      </c>
      <c r="E901" s="55">
        <f>2219.4+810.8</f>
        <v>3030.2</v>
      </c>
      <c r="F901" s="55" t="s">
        <v>8</v>
      </c>
      <c r="G901" s="57" t="s">
        <v>146</v>
      </c>
      <c r="H901" s="55"/>
      <c r="I901" s="55">
        <v>11.01</v>
      </c>
      <c r="J901" s="55" t="s">
        <v>350</v>
      </c>
      <c r="K901" s="55"/>
      <c r="L901" s="55">
        <v>4</v>
      </c>
      <c r="M901" s="55">
        <f t="shared" ref="M901:M928" si="94">L901*C901</f>
        <v>1320</v>
      </c>
      <c r="N901" s="59">
        <f t="shared" ref="N901:N928" si="95">(D901-E901)/(M901*0.17)</f>
        <v>-0.13458110516933966</v>
      </c>
    </row>
    <row r="902" spans="1:14" s="60" customFormat="1" ht="15" hidden="1" customHeight="1" x14ac:dyDescent="0.2">
      <c r="A902" s="55" t="s">
        <v>352</v>
      </c>
      <c r="B902" s="54" t="s">
        <v>37</v>
      </c>
      <c r="C902" s="54">
        <v>395</v>
      </c>
      <c r="D902" s="56" t="s">
        <v>351</v>
      </c>
      <c r="E902" s="55">
        <f>88.2</f>
        <v>88.2</v>
      </c>
      <c r="F902" s="55" t="s">
        <v>8</v>
      </c>
      <c r="G902" s="57"/>
      <c r="H902" s="55"/>
      <c r="I902" s="58">
        <v>43476</v>
      </c>
      <c r="J902" s="55" t="s">
        <v>156</v>
      </c>
      <c r="K902" s="55"/>
      <c r="L902" s="3"/>
      <c r="M902" s="10">
        <f t="shared" si="94"/>
        <v>0</v>
      </c>
      <c r="N902" s="29" t="e">
        <f>(D902-E902)/(M902*0.17)</f>
        <v>#VALUE!</v>
      </c>
    </row>
    <row r="903" spans="1:14" ht="15" hidden="1" customHeight="1" x14ac:dyDescent="0.2">
      <c r="A903" s="1" t="s">
        <v>353</v>
      </c>
      <c r="B903" s="2" t="s">
        <v>36</v>
      </c>
      <c r="C903" s="2">
        <v>520</v>
      </c>
      <c r="D903" s="7">
        <v>60</v>
      </c>
      <c r="E903" s="1">
        <f>66</f>
        <v>66</v>
      </c>
      <c r="F903" s="1" t="s">
        <v>8</v>
      </c>
      <c r="H903" s="1" t="s">
        <v>354</v>
      </c>
      <c r="I903" s="8">
        <v>43476</v>
      </c>
      <c r="J903" s="16" t="s">
        <v>355</v>
      </c>
      <c r="L903" s="10">
        <v>1</v>
      </c>
      <c r="M903" s="10">
        <f t="shared" si="94"/>
        <v>520</v>
      </c>
      <c r="N903" s="29">
        <f t="shared" si="95"/>
        <v>-6.7873303167420809E-2</v>
      </c>
    </row>
    <row r="904" spans="1:14" s="60" customFormat="1" ht="15" hidden="1" customHeight="1" x14ac:dyDescent="0.2">
      <c r="A904" s="55" t="s">
        <v>357</v>
      </c>
      <c r="B904" s="54" t="s">
        <v>37</v>
      </c>
      <c r="C904" s="47">
        <v>300</v>
      </c>
      <c r="D904" s="56">
        <v>100</v>
      </c>
      <c r="E904" s="55">
        <f>107</f>
        <v>107</v>
      </c>
      <c r="F904" s="55" t="s">
        <v>8</v>
      </c>
      <c r="G904" s="57"/>
      <c r="H904" s="55"/>
      <c r="I904" s="55">
        <v>11.01</v>
      </c>
      <c r="J904" s="55" t="s">
        <v>358</v>
      </c>
      <c r="K904" s="55"/>
      <c r="L904" s="55">
        <v>4</v>
      </c>
      <c r="M904" s="55">
        <f t="shared" si="94"/>
        <v>1200</v>
      </c>
      <c r="N904" s="59">
        <f>(D904-E904)/(M904*0.17)</f>
        <v>-3.4313725490196074E-2</v>
      </c>
    </row>
    <row r="905" spans="1:14" s="60" customFormat="1" ht="15" hidden="1" customHeight="1" x14ac:dyDescent="0.2">
      <c r="A905" s="55" t="s">
        <v>359</v>
      </c>
      <c r="B905" s="54" t="s">
        <v>38</v>
      </c>
      <c r="C905" s="54">
        <v>880</v>
      </c>
      <c r="D905" s="56">
        <v>1600</v>
      </c>
      <c r="E905" s="55">
        <f>853.7+767.2</f>
        <v>1620.9</v>
      </c>
      <c r="F905" s="55" t="s">
        <v>8</v>
      </c>
      <c r="G905" s="57">
        <v>3</v>
      </c>
      <c r="H905" s="55"/>
      <c r="I905" s="55">
        <v>11.01</v>
      </c>
      <c r="J905" s="55" t="s">
        <v>360</v>
      </c>
      <c r="K905" s="55"/>
      <c r="L905" s="55">
        <v>1</v>
      </c>
      <c r="M905" s="55">
        <f t="shared" si="94"/>
        <v>880</v>
      </c>
      <c r="N905" s="59">
        <f t="shared" si="95"/>
        <v>-0.13970588235294176</v>
      </c>
    </row>
    <row r="906" spans="1:14" s="52" customFormat="1" ht="15" hidden="1" customHeight="1" x14ac:dyDescent="0.2">
      <c r="A906" s="46" t="s">
        <v>206</v>
      </c>
      <c r="B906" s="47" t="s">
        <v>36</v>
      </c>
      <c r="C906" s="47">
        <v>1020</v>
      </c>
      <c r="D906" s="48">
        <v>1000</v>
      </c>
      <c r="E906" s="46">
        <f>1036.1</f>
        <v>1036.0999999999999</v>
      </c>
      <c r="F906" s="46" t="s">
        <v>8</v>
      </c>
      <c r="G906" s="49" t="s">
        <v>146</v>
      </c>
      <c r="H906" s="46"/>
      <c r="I906" s="50">
        <v>43476</v>
      </c>
      <c r="J906" s="46" t="s">
        <v>207</v>
      </c>
      <c r="K906" s="46"/>
      <c r="L906" s="46">
        <v>1</v>
      </c>
      <c r="M906" s="46">
        <f t="shared" si="94"/>
        <v>1020</v>
      </c>
      <c r="N906" s="51">
        <f t="shared" si="95"/>
        <v>-0.2081891580161471</v>
      </c>
    </row>
    <row r="907" spans="1:14" s="96" customFormat="1" ht="15" hidden="1" customHeight="1" x14ac:dyDescent="0.2">
      <c r="A907" s="90" t="s">
        <v>184</v>
      </c>
      <c r="B907" s="91" t="s">
        <v>40</v>
      </c>
      <c r="C907" s="91">
        <v>880</v>
      </c>
      <c r="D907" s="92">
        <v>2200</v>
      </c>
      <c r="E907" s="90">
        <f>2159.2</f>
        <v>2159.1999999999998</v>
      </c>
      <c r="F907" s="90" t="s">
        <v>8</v>
      </c>
      <c r="G907" s="93"/>
      <c r="H907" s="90"/>
      <c r="I907" s="94">
        <v>43476</v>
      </c>
      <c r="J907" s="90" t="s">
        <v>185</v>
      </c>
      <c r="K907" s="90"/>
      <c r="L907" s="90">
        <v>1</v>
      </c>
      <c r="M907" s="90">
        <f t="shared" si="94"/>
        <v>880</v>
      </c>
      <c r="N907" s="95">
        <f t="shared" si="95"/>
        <v>0.27272727272727393</v>
      </c>
    </row>
    <row r="908" spans="1:14" s="60" customFormat="1" ht="15" hidden="1" customHeight="1" x14ac:dyDescent="0.2">
      <c r="A908" s="55" t="s">
        <v>184</v>
      </c>
      <c r="B908" s="54" t="s">
        <v>40</v>
      </c>
      <c r="C908" s="54">
        <v>900</v>
      </c>
      <c r="D908" s="56">
        <v>600</v>
      </c>
      <c r="E908" s="55">
        <f>563</f>
        <v>563</v>
      </c>
      <c r="F908" s="55" t="s">
        <v>8</v>
      </c>
      <c r="G908" s="57" t="s">
        <v>146</v>
      </c>
      <c r="H908" s="55"/>
      <c r="I908" s="58">
        <v>43476</v>
      </c>
      <c r="J908" s="55" t="s">
        <v>185</v>
      </c>
      <c r="K908" s="55"/>
      <c r="L908" s="55">
        <v>1</v>
      </c>
      <c r="M908" s="55">
        <f t="shared" si="94"/>
        <v>900</v>
      </c>
      <c r="N908" s="59">
        <f t="shared" si="95"/>
        <v>0.24183006535947713</v>
      </c>
    </row>
    <row r="909" spans="1:14" ht="15" hidden="1" customHeight="1" x14ac:dyDescent="0.2">
      <c r="A909" s="1" t="s">
        <v>184</v>
      </c>
      <c r="B909" s="2" t="s">
        <v>40</v>
      </c>
      <c r="C909" s="2">
        <v>840</v>
      </c>
      <c r="D909" s="7">
        <v>600</v>
      </c>
      <c r="E909" s="1">
        <f>356.5+380.6+385.2-568.6</f>
        <v>553.69999999999993</v>
      </c>
      <c r="F909" s="1" t="s">
        <v>8</v>
      </c>
      <c r="I909" s="8">
        <v>43476</v>
      </c>
      <c r="J909" s="16" t="s">
        <v>185</v>
      </c>
      <c r="M909" s="10">
        <f t="shared" si="94"/>
        <v>0</v>
      </c>
      <c r="N909" s="29" t="e">
        <f t="shared" si="95"/>
        <v>#DIV/0!</v>
      </c>
    </row>
    <row r="910" spans="1:14" s="60" customFormat="1" ht="15" hidden="1" customHeight="1" x14ac:dyDescent="0.2">
      <c r="A910" s="55" t="s">
        <v>184</v>
      </c>
      <c r="B910" s="54" t="s">
        <v>40</v>
      </c>
      <c r="C910" s="54">
        <v>940</v>
      </c>
      <c r="D910" s="56">
        <v>1100</v>
      </c>
      <c r="E910" s="55">
        <f>1324.9</f>
        <v>1324.9</v>
      </c>
      <c r="F910" s="55" t="s">
        <v>8</v>
      </c>
      <c r="G910" s="57" t="s">
        <v>146</v>
      </c>
      <c r="H910" s="55"/>
      <c r="I910" s="58">
        <v>43476</v>
      </c>
      <c r="J910" s="55" t="s">
        <v>185</v>
      </c>
      <c r="K910" s="55"/>
      <c r="L910" s="55">
        <v>1</v>
      </c>
      <c r="M910" s="55">
        <f t="shared" si="94"/>
        <v>940</v>
      </c>
      <c r="N910" s="59">
        <f t="shared" si="95"/>
        <v>-1.4073842302878603</v>
      </c>
    </row>
    <row r="911" spans="1:14" s="96" customFormat="1" ht="15" hidden="1" customHeight="1" x14ac:dyDescent="0.2">
      <c r="A911" s="90" t="s">
        <v>361</v>
      </c>
      <c r="B911" s="91" t="s">
        <v>39</v>
      </c>
      <c r="C911" s="91">
        <v>760</v>
      </c>
      <c r="D911" s="92">
        <v>2000</v>
      </c>
      <c r="E911" s="90">
        <f>683.8+1339.7</f>
        <v>2023.5</v>
      </c>
      <c r="F911" s="90" t="s">
        <v>8</v>
      </c>
      <c r="G911" s="93" t="s">
        <v>146</v>
      </c>
      <c r="H911" s="90"/>
      <c r="I911" s="94">
        <v>43476</v>
      </c>
      <c r="J911" s="90" t="s">
        <v>307</v>
      </c>
      <c r="K911" s="90"/>
      <c r="L911" s="90">
        <v>1</v>
      </c>
      <c r="M911" s="90">
        <f t="shared" si="94"/>
        <v>760</v>
      </c>
      <c r="N911" s="95">
        <f t="shared" si="95"/>
        <v>-0.18188854489164083</v>
      </c>
    </row>
    <row r="912" spans="1:14" ht="15" hidden="1" customHeight="1" x14ac:dyDescent="0.2">
      <c r="A912" s="1" t="s">
        <v>362</v>
      </c>
      <c r="B912" s="2" t="s">
        <v>36</v>
      </c>
      <c r="C912" s="2">
        <v>1020</v>
      </c>
      <c r="E912" s="1">
        <f>500</f>
        <v>500</v>
      </c>
      <c r="F912" s="1" t="s">
        <v>8</v>
      </c>
      <c r="L912" s="10">
        <v>1</v>
      </c>
      <c r="M912" s="10">
        <f t="shared" si="94"/>
        <v>1020</v>
      </c>
      <c r="N912" s="29">
        <f t="shared" si="95"/>
        <v>-2.8835063437139561</v>
      </c>
    </row>
    <row r="913" spans="1:14" ht="15" hidden="1" customHeight="1" x14ac:dyDescent="0.2">
      <c r="A913" s="1" t="s">
        <v>363</v>
      </c>
      <c r="B913" s="2" t="s">
        <v>40</v>
      </c>
      <c r="C913" s="2">
        <v>920</v>
      </c>
      <c r="D913" s="7">
        <v>700</v>
      </c>
      <c r="E913" s="1">
        <f>743.2</f>
        <v>743.2</v>
      </c>
      <c r="F913" s="1" t="s">
        <v>8</v>
      </c>
      <c r="I913" s="8">
        <v>43480</v>
      </c>
      <c r="J913" s="16" t="s">
        <v>137</v>
      </c>
      <c r="L913" s="10">
        <v>1</v>
      </c>
      <c r="M913" s="10">
        <f t="shared" si="94"/>
        <v>920</v>
      </c>
      <c r="N913" s="29">
        <f t="shared" si="95"/>
        <v>-0.27621483375959105</v>
      </c>
    </row>
    <row r="914" spans="1:14" s="60" customFormat="1" ht="15" hidden="1" customHeight="1" x14ac:dyDescent="0.2">
      <c r="A914" s="55" t="s">
        <v>363</v>
      </c>
      <c r="B914" s="54" t="s">
        <v>40</v>
      </c>
      <c r="C914" s="54">
        <v>1280</v>
      </c>
      <c r="D914" s="56">
        <v>2000</v>
      </c>
      <c r="E914" s="55">
        <f>853.8+1164.1</f>
        <v>2017.8999999999999</v>
      </c>
      <c r="F914" s="55" t="s">
        <v>8</v>
      </c>
      <c r="G914" s="57"/>
      <c r="H914" s="55"/>
      <c r="I914" s="58">
        <v>43480</v>
      </c>
      <c r="J914" s="55" t="s">
        <v>137</v>
      </c>
      <c r="K914" s="55"/>
      <c r="L914" s="55">
        <v>1</v>
      </c>
      <c r="M914" s="55">
        <f t="shared" si="94"/>
        <v>1280</v>
      </c>
      <c r="N914" s="59">
        <f t="shared" si="95"/>
        <v>-8.2261029411764067E-2</v>
      </c>
    </row>
    <row r="915" spans="1:14" s="96" customFormat="1" ht="15" hidden="1" customHeight="1" x14ac:dyDescent="0.2">
      <c r="A915" s="90" t="s">
        <v>363</v>
      </c>
      <c r="B915" s="91" t="s">
        <v>39</v>
      </c>
      <c r="C915" s="91">
        <v>630</v>
      </c>
      <c r="D915" s="92">
        <v>1300</v>
      </c>
      <c r="E915" s="90">
        <f>1285.6</f>
        <v>1285.5999999999999</v>
      </c>
      <c r="F915" s="90" t="s">
        <v>8</v>
      </c>
      <c r="G915" s="93" t="s">
        <v>146</v>
      </c>
      <c r="H915" s="90"/>
      <c r="I915" s="94">
        <v>43480</v>
      </c>
      <c r="J915" s="90" t="s">
        <v>137</v>
      </c>
      <c r="K915" s="90"/>
      <c r="L915" s="90">
        <v>2</v>
      </c>
      <c r="M915" s="90">
        <f t="shared" si="94"/>
        <v>1260</v>
      </c>
      <c r="N915" s="95">
        <f t="shared" si="95"/>
        <v>6.7226890756302934E-2</v>
      </c>
    </row>
    <row r="916" spans="1:14" s="96" customFormat="1" ht="15" hidden="1" customHeight="1" x14ac:dyDescent="0.2">
      <c r="A916" s="90" t="s">
        <v>363</v>
      </c>
      <c r="B916" s="91" t="s">
        <v>39</v>
      </c>
      <c r="C916" s="91">
        <v>700</v>
      </c>
      <c r="D916" s="92">
        <v>2000</v>
      </c>
      <c r="E916" s="90">
        <f>2089.6</f>
        <v>2089.6</v>
      </c>
      <c r="F916" s="90" t="s">
        <v>8</v>
      </c>
      <c r="G916" s="93" t="s">
        <v>146</v>
      </c>
      <c r="H916" s="90"/>
      <c r="I916" s="94">
        <v>43480</v>
      </c>
      <c r="J916" s="90" t="s">
        <v>137</v>
      </c>
      <c r="K916" s="90"/>
      <c r="L916" s="90">
        <v>1</v>
      </c>
      <c r="M916" s="90">
        <f t="shared" si="94"/>
        <v>700</v>
      </c>
      <c r="N916" s="95">
        <f t="shared" si="95"/>
        <v>-0.75294117647058734</v>
      </c>
    </row>
    <row r="917" spans="1:14" s="96" customFormat="1" ht="15" hidden="1" customHeight="1" x14ac:dyDescent="0.2">
      <c r="A917" s="90" t="s">
        <v>363</v>
      </c>
      <c r="B917" s="91" t="s">
        <v>39</v>
      </c>
      <c r="C917" s="91">
        <v>900</v>
      </c>
      <c r="D917" s="92">
        <v>3000</v>
      </c>
      <c r="E917" s="90">
        <f>1849.4+1241</f>
        <v>3090.4</v>
      </c>
      <c r="F917" s="90" t="s">
        <v>8</v>
      </c>
      <c r="G917" s="93" t="s">
        <v>146</v>
      </c>
      <c r="H917" s="90"/>
      <c r="I917" s="94">
        <v>43480</v>
      </c>
      <c r="J917" s="90" t="s">
        <v>137</v>
      </c>
      <c r="K917" s="90"/>
      <c r="L917" s="90">
        <v>1</v>
      </c>
      <c r="M917" s="90">
        <f t="shared" si="94"/>
        <v>900</v>
      </c>
      <c r="N917" s="95">
        <f t="shared" si="95"/>
        <v>-0.59084967320261494</v>
      </c>
    </row>
    <row r="918" spans="1:14" s="96" customFormat="1" ht="15" hidden="1" customHeight="1" x14ac:dyDescent="0.2">
      <c r="A918" s="90" t="s">
        <v>363</v>
      </c>
      <c r="B918" s="91" t="s">
        <v>39</v>
      </c>
      <c r="C918" s="91">
        <v>1000</v>
      </c>
      <c r="D918" s="92">
        <v>4000</v>
      </c>
      <c r="E918" s="90">
        <f>1063.7+675.8+1842.5+461.9</f>
        <v>4043.9</v>
      </c>
      <c r="F918" s="90" t="s">
        <v>8</v>
      </c>
      <c r="G918" s="93" t="s">
        <v>146</v>
      </c>
      <c r="H918" s="90" t="s">
        <v>356</v>
      </c>
      <c r="I918" s="94">
        <v>43480</v>
      </c>
      <c r="J918" s="90" t="s">
        <v>137</v>
      </c>
      <c r="K918" s="90"/>
      <c r="L918" s="90">
        <v>1</v>
      </c>
      <c r="M918" s="90">
        <f t="shared" si="94"/>
        <v>1000</v>
      </c>
      <c r="N918" s="95">
        <f t="shared" si="95"/>
        <v>-0.25823529411764762</v>
      </c>
    </row>
    <row r="919" spans="1:14" s="96" customFormat="1" ht="15" hidden="1" customHeight="1" x14ac:dyDescent="0.2">
      <c r="A919" s="90" t="s">
        <v>363</v>
      </c>
      <c r="B919" s="91" t="s">
        <v>39</v>
      </c>
      <c r="C919" s="91">
        <v>1050</v>
      </c>
      <c r="D919" s="92">
        <v>2000</v>
      </c>
      <c r="E919" s="90">
        <f>1020.4+1031.6</f>
        <v>2052</v>
      </c>
      <c r="F919" s="90" t="s">
        <v>8</v>
      </c>
      <c r="G919" s="93"/>
      <c r="H919" s="90"/>
      <c r="I919" s="94">
        <v>43480</v>
      </c>
      <c r="J919" s="90" t="s">
        <v>137</v>
      </c>
      <c r="K919" s="90"/>
      <c r="L919" s="90">
        <v>1</v>
      </c>
      <c r="M919" s="90">
        <f t="shared" si="94"/>
        <v>1050</v>
      </c>
      <c r="N919" s="95">
        <f t="shared" si="95"/>
        <v>-0.29131652661064428</v>
      </c>
    </row>
    <row r="920" spans="1:14" s="96" customFormat="1" ht="15" hidden="1" customHeight="1" x14ac:dyDescent="0.2">
      <c r="A920" s="90" t="s">
        <v>363</v>
      </c>
      <c r="B920" s="91" t="s">
        <v>39</v>
      </c>
      <c r="C920" s="91">
        <v>1085</v>
      </c>
      <c r="D920" s="92">
        <v>2000</v>
      </c>
      <c r="E920" s="90">
        <f>2106.6</f>
        <v>2106.6</v>
      </c>
      <c r="F920" s="90" t="s">
        <v>8</v>
      </c>
      <c r="G920" s="93"/>
      <c r="H920" s="90"/>
      <c r="I920" s="94">
        <v>43480</v>
      </c>
      <c r="J920" s="90" t="s">
        <v>137</v>
      </c>
      <c r="K920" s="90"/>
      <c r="L920" s="90">
        <v>1</v>
      </c>
      <c r="M920" s="90">
        <f t="shared" si="94"/>
        <v>1085</v>
      </c>
      <c r="N920" s="95">
        <f t="shared" si="95"/>
        <v>-0.57793439956627757</v>
      </c>
    </row>
    <row r="921" spans="1:14" s="96" customFormat="1" ht="15" hidden="1" customHeight="1" x14ac:dyDescent="0.2">
      <c r="A921" s="90" t="s">
        <v>363</v>
      </c>
      <c r="B921" s="91" t="s">
        <v>39</v>
      </c>
      <c r="C921" s="91">
        <v>1100</v>
      </c>
      <c r="D921" s="92">
        <v>2000</v>
      </c>
      <c r="E921" s="90">
        <f>2132.1</f>
        <v>2132.1</v>
      </c>
      <c r="F921" s="90" t="s">
        <v>8</v>
      </c>
      <c r="G921" s="93"/>
      <c r="H921" s="90"/>
      <c r="I921" s="94">
        <v>43480</v>
      </c>
      <c r="J921" s="90" t="s">
        <v>137</v>
      </c>
      <c r="K921" s="90"/>
      <c r="L921" s="90">
        <v>1</v>
      </c>
      <c r="M921" s="90">
        <f t="shared" si="94"/>
        <v>1100</v>
      </c>
      <c r="N921" s="95">
        <f t="shared" si="95"/>
        <v>-0.7064171122994648</v>
      </c>
    </row>
    <row r="922" spans="1:14" s="60" customFormat="1" ht="15" hidden="1" customHeight="1" x14ac:dyDescent="0.2">
      <c r="A922" s="55" t="s">
        <v>363</v>
      </c>
      <c r="B922" s="54" t="s">
        <v>39</v>
      </c>
      <c r="C922" s="54">
        <v>1320</v>
      </c>
      <c r="D922" s="56">
        <v>1000</v>
      </c>
      <c r="E922" s="55">
        <f>315.8+712.7</f>
        <v>1028.5</v>
      </c>
      <c r="F922" s="55" t="s">
        <v>8</v>
      </c>
      <c r="G922" s="57"/>
      <c r="H922" s="55"/>
      <c r="I922" s="58">
        <v>43480</v>
      </c>
      <c r="J922" s="55" t="s">
        <v>137</v>
      </c>
      <c r="K922" s="55"/>
      <c r="L922" s="55">
        <v>1</v>
      </c>
      <c r="M922" s="55">
        <f t="shared" si="94"/>
        <v>1320</v>
      </c>
      <c r="N922" s="59">
        <f t="shared" si="95"/>
        <v>-0.1270053475935829</v>
      </c>
    </row>
    <row r="923" spans="1:14" ht="15" hidden="1" customHeight="1" x14ac:dyDescent="0.2">
      <c r="A923" s="1" t="s">
        <v>363</v>
      </c>
      <c r="B923" s="2" t="s">
        <v>36</v>
      </c>
      <c r="C923" s="2">
        <v>1050</v>
      </c>
      <c r="D923" s="7">
        <v>500</v>
      </c>
      <c r="E923" s="1">
        <f>506.6</f>
        <v>506.6</v>
      </c>
      <c r="F923" s="1" t="s">
        <v>8</v>
      </c>
      <c r="G923" s="41">
        <v>1</v>
      </c>
      <c r="I923" s="8">
        <v>43480</v>
      </c>
      <c r="J923" s="16" t="s">
        <v>137</v>
      </c>
      <c r="L923" s="10">
        <v>1</v>
      </c>
      <c r="M923" s="10">
        <f t="shared" si="94"/>
        <v>1050</v>
      </c>
      <c r="N923" s="29">
        <f t="shared" si="95"/>
        <v>-3.6974789915966512E-2</v>
      </c>
    </row>
    <row r="924" spans="1:14" s="118" customFormat="1" ht="15" hidden="1" customHeight="1" x14ac:dyDescent="0.2">
      <c r="A924" s="112" t="s">
        <v>364</v>
      </c>
      <c r="B924" s="113" t="s">
        <v>36</v>
      </c>
      <c r="C924" s="113">
        <v>210</v>
      </c>
      <c r="D924" s="114">
        <v>500</v>
      </c>
      <c r="E924" s="112">
        <f>453.6</f>
        <v>453.6</v>
      </c>
      <c r="F924" s="112" t="s">
        <v>8</v>
      </c>
      <c r="G924" s="115"/>
      <c r="H924" s="112">
        <v>300</v>
      </c>
      <c r="I924" s="116">
        <v>43480</v>
      </c>
      <c r="J924" s="112" t="s">
        <v>43</v>
      </c>
      <c r="K924" s="112"/>
      <c r="L924" s="112">
        <v>1</v>
      </c>
      <c r="M924" s="112"/>
      <c r="N924" s="117"/>
    </row>
    <row r="925" spans="1:14" s="60" customFormat="1" ht="15" hidden="1" customHeight="1" x14ac:dyDescent="0.2">
      <c r="A925" s="55" t="s">
        <v>364</v>
      </c>
      <c r="B925" s="54" t="s">
        <v>39</v>
      </c>
      <c r="C925" s="54">
        <v>420</v>
      </c>
      <c r="D925" s="56">
        <v>400</v>
      </c>
      <c r="E925" s="55">
        <f>446.8</f>
        <v>446.8</v>
      </c>
      <c r="F925" s="55" t="s">
        <v>8</v>
      </c>
      <c r="G925" s="57" t="s">
        <v>146</v>
      </c>
      <c r="H925" s="55">
        <v>300</v>
      </c>
      <c r="I925" s="58">
        <v>43480</v>
      </c>
      <c r="J925" s="55" t="s">
        <v>43</v>
      </c>
      <c r="K925" s="55"/>
      <c r="L925" s="10">
        <v>1</v>
      </c>
      <c r="M925" s="55">
        <f t="shared" si="94"/>
        <v>420</v>
      </c>
      <c r="N925" s="59">
        <f t="shared" si="95"/>
        <v>-0.65546218487394969</v>
      </c>
    </row>
    <row r="926" spans="1:14" s="60" customFormat="1" ht="15" hidden="1" customHeight="1" x14ac:dyDescent="0.2">
      <c r="A926" s="55" t="s">
        <v>364</v>
      </c>
      <c r="B926" s="54" t="s">
        <v>39</v>
      </c>
      <c r="C926" s="54">
        <v>250</v>
      </c>
      <c r="D926" s="56">
        <v>500</v>
      </c>
      <c r="E926" s="55">
        <f>539.6</f>
        <v>539.6</v>
      </c>
      <c r="F926" s="55" t="s">
        <v>8</v>
      </c>
      <c r="G926" s="57"/>
      <c r="H926" s="55">
        <v>300</v>
      </c>
      <c r="I926" s="58">
        <v>43480</v>
      </c>
      <c r="J926" s="55" t="s">
        <v>43</v>
      </c>
      <c r="K926" s="55"/>
      <c r="L926" s="55">
        <v>4</v>
      </c>
      <c r="M926" s="55">
        <f t="shared" si="94"/>
        <v>1000</v>
      </c>
      <c r="N926" s="59">
        <f t="shared" si="95"/>
        <v>-0.23294117647058837</v>
      </c>
    </row>
    <row r="927" spans="1:14" s="60" customFormat="1" ht="15" hidden="1" customHeight="1" x14ac:dyDescent="0.2">
      <c r="A927" s="55" t="s">
        <v>364</v>
      </c>
      <c r="B927" s="54" t="s">
        <v>39</v>
      </c>
      <c r="C927" s="54">
        <v>205</v>
      </c>
      <c r="D927" s="56">
        <v>300</v>
      </c>
      <c r="E927" s="55">
        <f>333.9</f>
        <v>333.9</v>
      </c>
      <c r="F927" s="55" t="s">
        <v>8</v>
      </c>
      <c r="G927" s="57" t="s">
        <v>146</v>
      </c>
      <c r="H927" s="55">
        <v>300</v>
      </c>
      <c r="I927" s="58">
        <v>43480</v>
      </c>
      <c r="J927" s="55" t="s">
        <v>43</v>
      </c>
      <c r="K927" s="55"/>
      <c r="L927" s="10">
        <v>1</v>
      </c>
      <c r="M927" s="55">
        <f t="shared" si="94"/>
        <v>205</v>
      </c>
      <c r="N927" s="59">
        <f t="shared" si="95"/>
        <v>-0.97274031563844976</v>
      </c>
    </row>
    <row r="928" spans="1:14" s="60" customFormat="1" ht="15" hidden="1" customHeight="1" x14ac:dyDescent="0.2">
      <c r="A928" s="55" t="s">
        <v>364</v>
      </c>
      <c r="B928" s="54" t="s">
        <v>39</v>
      </c>
      <c r="C928" s="54">
        <v>300</v>
      </c>
      <c r="D928" s="56">
        <v>500</v>
      </c>
      <c r="E928" s="55">
        <f>480.6</f>
        <v>480.6</v>
      </c>
      <c r="F928" s="55" t="s">
        <v>8</v>
      </c>
      <c r="G928" s="57" t="s">
        <v>146</v>
      </c>
      <c r="H928" s="55">
        <v>300</v>
      </c>
      <c r="I928" s="58">
        <v>43480</v>
      </c>
      <c r="J928" s="55" t="s">
        <v>43</v>
      </c>
      <c r="K928" s="55"/>
      <c r="L928" s="10">
        <v>1</v>
      </c>
      <c r="M928" s="55">
        <f t="shared" si="94"/>
        <v>300</v>
      </c>
      <c r="N928" s="59">
        <f t="shared" si="95"/>
        <v>0.38039215686274458</v>
      </c>
    </row>
    <row r="929" spans="1:14" s="118" customFormat="1" ht="15" hidden="1" customHeight="1" x14ac:dyDescent="0.2">
      <c r="A929" s="112" t="s">
        <v>364</v>
      </c>
      <c r="B929" s="113" t="s">
        <v>36</v>
      </c>
      <c r="C929" s="113">
        <v>320</v>
      </c>
      <c r="D929" s="114">
        <v>200</v>
      </c>
      <c r="E929" s="112">
        <f>119.2</f>
        <v>119.2</v>
      </c>
      <c r="F929" s="112" t="s">
        <v>8</v>
      </c>
      <c r="G929" s="115"/>
      <c r="H929" s="112">
        <v>300</v>
      </c>
      <c r="I929" s="116">
        <v>43480</v>
      </c>
      <c r="J929" s="112" t="s">
        <v>43</v>
      </c>
      <c r="K929" s="112"/>
      <c r="L929" s="112">
        <v>1</v>
      </c>
      <c r="M929" s="112"/>
      <c r="N929" s="117"/>
    </row>
    <row r="930" spans="1:14" s="118" customFormat="1" ht="15" hidden="1" customHeight="1" x14ac:dyDescent="0.2">
      <c r="A930" s="112" t="s">
        <v>364</v>
      </c>
      <c r="B930" s="113" t="s">
        <v>36</v>
      </c>
      <c r="C930" s="113">
        <v>330</v>
      </c>
      <c r="D930" s="114">
        <v>400</v>
      </c>
      <c r="E930" s="112">
        <f>315</f>
        <v>315</v>
      </c>
      <c r="F930" s="112" t="s">
        <v>8</v>
      </c>
      <c r="G930" s="115"/>
      <c r="H930" s="112">
        <v>300</v>
      </c>
      <c r="I930" s="116">
        <v>43480</v>
      </c>
      <c r="J930" s="112" t="s">
        <v>43</v>
      </c>
      <c r="K930" s="112"/>
      <c r="L930" s="112">
        <v>1</v>
      </c>
      <c r="M930" s="112"/>
      <c r="N930" s="117"/>
    </row>
    <row r="931" spans="1:14" s="118" customFormat="1" ht="15" hidden="1" customHeight="1" x14ac:dyDescent="0.2">
      <c r="A931" s="112" t="s">
        <v>364</v>
      </c>
      <c r="B931" s="113" t="s">
        <v>36</v>
      </c>
      <c r="C931" s="113">
        <v>500</v>
      </c>
      <c r="D931" s="114">
        <v>200</v>
      </c>
      <c r="E931" s="112">
        <f>283.2</f>
        <v>283.2</v>
      </c>
      <c r="F931" s="112" t="s">
        <v>8</v>
      </c>
      <c r="G931" s="115"/>
      <c r="H931" s="112">
        <v>300</v>
      </c>
      <c r="I931" s="116">
        <v>43480</v>
      </c>
      <c r="J931" s="112" t="s">
        <v>43</v>
      </c>
      <c r="K931" s="112"/>
      <c r="L931" s="112"/>
      <c r="M931" s="112"/>
      <c r="N931" s="117"/>
    </row>
    <row r="932" spans="1:14" s="96" customFormat="1" ht="15" hidden="1" customHeight="1" x14ac:dyDescent="0.2">
      <c r="A932" s="90" t="s">
        <v>178</v>
      </c>
      <c r="B932" s="91" t="s">
        <v>39</v>
      </c>
      <c r="C932" s="73">
        <v>450</v>
      </c>
      <c r="D932" s="92">
        <v>1000</v>
      </c>
      <c r="E932" s="90"/>
      <c r="F932" s="90" t="s">
        <v>201</v>
      </c>
      <c r="G932" s="93" t="s">
        <v>146</v>
      </c>
      <c r="H932" s="90"/>
      <c r="I932" s="94">
        <v>43480</v>
      </c>
      <c r="J932" s="90" t="s">
        <v>5</v>
      </c>
      <c r="K932" s="90"/>
      <c r="L932" s="90">
        <v>3</v>
      </c>
      <c r="M932" s="90">
        <f>L932*C932</f>
        <v>1350</v>
      </c>
      <c r="N932" s="95">
        <f>(D932-E932)/(M932*0.17)</f>
        <v>4.3572984749455328</v>
      </c>
    </row>
    <row r="933" spans="1:14" s="96" customFormat="1" ht="15" hidden="1" customHeight="1" x14ac:dyDescent="0.2">
      <c r="A933" s="90" t="s">
        <v>178</v>
      </c>
      <c r="B933" s="91" t="s">
        <v>39</v>
      </c>
      <c r="C933" s="73">
        <v>500</v>
      </c>
      <c r="D933" s="92">
        <v>1000</v>
      </c>
      <c r="E933" s="90">
        <f>999.8</f>
        <v>999.8</v>
      </c>
      <c r="F933" s="90" t="s">
        <v>8</v>
      </c>
      <c r="G933" s="93" t="s">
        <v>146</v>
      </c>
      <c r="H933" s="90"/>
      <c r="I933" s="94">
        <v>43480</v>
      </c>
      <c r="J933" s="90" t="s">
        <v>5</v>
      </c>
      <c r="K933" s="90"/>
      <c r="L933" s="90">
        <v>2</v>
      </c>
      <c r="M933" s="90">
        <f>L933*C933</f>
        <v>1000</v>
      </c>
      <c r="N933" s="95">
        <f>(D933-E933)/(M933*0.17)</f>
        <v>1.1764705882355616E-3</v>
      </c>
    </row>
    <row r="934" spans="1:14" ht="15" hidden="1" customHeight="1" x14ac:dyDescent="0.2">
      <c r="A934" s="1" t="s">
        <v>178</v>
      </c>
      <c r="B934" s="2" t="s">
        <v>37</v>
      </c>
      <c r="C934" s="2">
        <v>430</v>
      </c>
      <c r="D934" s="7">
        <v>1000</v>
      </c>
      <c r="E934" s="1">
        <f>932.8</f>
        <v>932.8</v>
      </c>
      <c r="F934" s="1" t="s">
        <v>8</v>
      </c>
      <c r="I934" s="8">
        <v>43480</v>
      </c>
      <c r="J934" s="16" t="s">
        <v>5</v>
      </c>
    </row>
    <row r="935" spans="1:14" s="52" customFormat="1" ht="15" hidden="1" customHeight="1" x14ac:dyDescent="0.2">
      <c r="A935" s="46" t="s">
        <v>178</v>
      </c>
      <c r="B935" s="47" t="s">
        <v>38</v>
      </c>
      <c r="C935" s="54">
        <v>400</v>
      </c>
      <c r="D935" s="48">
        <v>1000</v>
      </c>
      <c r="E935" s="46">
        <f>981.6</f>
        <v>981.6</v>
      </c>
      <c r="F935" s="46" t="s">
        <v>8</v>
      </c>
      <c r="G935" s="49">
        <v>1</v>
      </c>
      <c r="H935" s="46"/>
      <c r="I935" s="50">
        <v>43480</v>
      </c>
      <c r="J935" s="46" t="s">
        <v>5</v>
      </c>
      <c r="K935" s="46"/>
      <c r="L935" s="46">
        <v>3</v>
      </c>
      <c r="M935" s="46">
        <f t="shared" ref="M935" si="96">L935*C935</f>
        <v>1200</v>
      </c>
      <c r="N935" s="51">
        <f t="shared" ref="N935" si="97">(D935-E935)/(M935*0.17)</f>
        <v>9.0196078431372423E-2</v>
      </c>
    </row>
    <row r="936" spans="1:14" s="96" customFormat="1" ht="15" hidden="1" customHeight="1" x14ac:dyDescent="0.2">
      <c r="A936" s="90" t="s">
        <v>365</v>
      </c>
      <c r="B936" s="91" t="s">
        <v>39</v>
      </c>
      <c r="C936" s="91">
        <v>720</v>
      </c>
      <c r="D936" s="92">
        <v>320</v>
      </c>
      <c r="E936" s="90">
        <f>318.7</f>
        <v>318.7</v>
      </c>
      <c r="F936" s="90" t="s">
        <v>8</v>
      </c>
      <c r="G936" s="93" t="s">
        <v>146</v>
      </c>
      <c r="H936" s="90" t="s">
        <v>366</v>
      </c>
      <c r="I936" s="94">
        <v>43480</v>
      </c>
      <c r="J936" s="90" t="s">
        <v>175</v>
      </c>
      <c r="K936" s="90"/>
      <c r="L936" s="90">
        <v>2</v>
      </c>
      <c r="M936" s="90">
        <f>L936*C936</f>
        <v>1440</v>
      </c>
      <c r="N936" s="95">
        <f>(D936-E936)/(M936*0.17)</f>
        <v>5.3104575163399155E-3</v>
      </c>
    </row>
    <row r="937" spans="1:14" s="96" customFormat="1" ht="15" hidden="1" customHeight="1" x14ac:dyDescent="0.2">
      <c r="A937" s="90" t="s">
        <v>365</v>
      </c>
      <c r="B937" s="91" t="s">
        <v>39</v>
      </c>
      <c r="C937" s="91">
        <v>800</v>
      </c>
      <c r="D937" s="92">
        <v>180</v>
      </c>
      <c r="E937" s="90">
        <f>182.6</f>
        <v>182.6</v>
      </c>
      <c r="F937" s="90" t="s">
        <v>8</v>
      </c>
      <c r="G937" s="93"/>
      <c r="H937" s="90"/>
      <c r="I937" s="94">
        <v>43480</v>
      </c>
      <c r="J937" s="90" t="s">
        <v>175</v>
      </c>
      <c r="K937" s="90"/>
      <c r="L937" s="90">
        <v>1</v>
      </c>
      <c r="M937" s="90">
        <f>L937*C937</f>
        <v>800</v>
      </c>
      <c r="N937" s="95">
        <f>(D937-E937)/(M937*0.17)</f>
        <v>-1.9117647058823489E-2</v>
      </c>
    </row>
    <row r="938" spans="1:14" ht="15" hidden="1" customHeight="1" x14ac:dyDescent="0.2">
      <c r="A938" s="1" t="s">
        <v>367</v>
      </c>
      <c r="B938" s="2" t="s">
        <v>39</v>
      </c>
      <c r="C938" s="2">
        <v>195</v>
      </c>
      <c r="D938" s="7">
        <v>500</v>
      </c>
      <c r="E938" s="1">
        <f>514</f>
        <v>514</v>
      </c>
      <c r="F938" s="1" t="s">
        <v>8</v>
      </c>
      <c r="I938" s="8">
        <v>43480</v>
      </c>
      <c r="J938" s="16" t="s">
        <v>368</v>
      </c>
      <c r="L938" s="10">
        <v>4</v>
      </c>
      <c r="M938" s="10">
        <f>L938*C938</f>
        <v>780</v>
      </c>
      <c r="N938" s="29">
        <f>(D938-E938)/(M938*0.17)</f>
        <v>-0.10558069381598792</v>
      </c>
    </row>
    <row r="939" spans="1:14" s="60" customFormat="1" ht="15" hidden="1" customHeight="1" x14ac:dyDescent="0.2">
      <c r="A939" s="55" t="s">
        <v>367</v>
      </c>
      <c r="B939" s="54" t="s">
        <v>39</v>
      </c>
      <c r="C939" s="54">
        <v>215</v>
      </c>
      <c r="D939" s="56">
        <v>300</v>
      </c>
      <c r="E939" s="55">
        <f>363.6</f>
        <v>363.6</v>
      </c>
      <c r="F939" s="55" t="s">
        <v>8</v>
      </c>
      <c r="G939" s="57"/>
      <c r="H939" s="55"/>
      <c r="I939" s="58">
        <v>43480</v>
      </c>
      <c r="J939" s="55" t="s">
        <v>368</v>
      </c>
      <c r="K939" s="55"/>
      <c r="L939" s="55"/>
      <c r="M939" s="55"/>
      <c r="N939" s="59"/>
    </row>
    <row r="940" spans="1:14" s="60" customFormat="1" ht="15" hidden="1" customHeight="1" x14ac:dyDescent="0.2">
      <c r="A940" s="55" t="s">
        <v>369</v>
      </c>
      <c r="B940" s="54" t="s">
        <v>36</v>
      </c>
      <c r="C940" s="54">
        <v>380</v>
      </c>
      <c r="D940" s="56">
        <v>400</v>
      </c>
      <c r="E940" s="55" t="s">
        <v>316</v>
      </c>
      <c r="F940" s="55" t="s">
        <v>316</v>
      </c>
      <c r="G940" s="57"/>
      <c r="H940" s="55"/>
      <c r="I940" s="58">
        <v>43480</v>
      </c>
      <c r="J940" s="55" t="s">
        <v>212</v>
      </c>
      <c r="K940" s="55"/>
      <c r="L940" s="55"/>
      <c r="M940" s="55"/>
      <c r="N940" s="59"/>
    </row>
    <row r="941" spans="1:14" ht="15" hidden="1" customHeight="1" x14ac:dyDescent="0.2">
      <c r="A941" s="1" t="s">
        <v>370</v>
      </c>
      <c r="B941" s="2" t="s">
        <v>38</v>
      </c>
      <c r="C941" s="54">
        <v>143</v>
      </c>
      <c r="D941" s="7">
        <v>1200</v>
      </c>
      <c r="E941" s="1">
        <v>1230.5</v>
      </c>
      <c r="F941" s="1" t="s">
        <v>8</v>
      </c>
      <c r="G941" s="41">
        <v>1</v>
      </c>
      <c r="H941" s="1" t="s">
        <v>372</v>
      </c>
      <c r="I941" s="8">
        <v>43480</v>
      </c>
      <c r="J941" s="16" t="s">
        <v>371</v>
      </c>
      <c r="L941" s="3">
        <v>8</v>
      </c>
      <c r="M941" s="10">
        <f t="shared" ref="M941" si="98">L941*C941</f>
        <v>1144</v>
      </c>
      <c r="N941" s="32">
        <f t="shared" ref="N941:N942" si="99">(D941-E941)/(M941*0.17)</f>
        <v>-0.15682846565199504</v>
      </c>
    </row>
    <row r="942" spans="1:14" s="138" customFormat="1" ht="15" hidden="1" customHeight="1" x14ac:dyDescent="0.2">
      <c r="A942" s="134" t="s">
        <v>373</v>
      </c>
      <c r="B942" s="107" t="s">
        <v>37</v>
      </c>
      <c r="C942" s="107">
        <v>880</v>
      </c>
      <c r="D942" s="108">
        <v>2000</v>
      </c>
      <c r="E942" s="134">
        <f>181.1+1800.7</f>
        <v>1981.8</v>
      </c>
      <c r="F942" s="134" t="s">
        <v>8</v>
      </c>
      <c r="G942" s="135"/>
      <c r="H942" s="134"/>
      <c r="I942" s="136">
        <v>43480</v>
      </c>
      <c r="J942" s="134" t="s">
        <v>13</v>
      </c>
      <c r="K942" s="134"/>
      <c r="L942" s="134">
        <v>1</v>
      </c>
      <c r="M942" s="134">
        <f>L942*C942</f>
        <v>880</v>
      </c>
      <c r="N942" s="137">
        <f t="shared" si="99"/>
        <v>0.12165775401069548</v>
      </c>
    </row>
    <row r="943" spans="1:14" s="52" customFormat="1" ht="15" hidden="1" customHeight="1" x14ac:dyDescent="0.2">
      <c r="A943" s="46" t="s">
        <v>374</v>
      </c>
      <c r="B943" s="47" t="s">
        <v>38</v>
      </c>
      <c r="C943" s="54">
        <v>420</v>
      </c>
      <c r="D943" s="48">
        <v>500</v>
      </c>
      <c r="E943" s="46">
        <f>512.8</f>
        <v>512.79999999999995</v>
      </c>
      <c r="F943" s="46" t="s">
        <v>8</v>
      </c>
      <c r="G943" s="49">
        <v>1</v>
      </c>
      <c r="H943" s="46"/>
      <c r="I943" s="50">
        <v>43481</v>
      </c>
      <c r="J943" s="46" t="s">
        <v>230</v>
      </c>
      <c r="K943" s="46"/>
      <c r="L943" s="46">
        <v>3</v>
      </c>
      <c r="M943" s="46">
        <f t="shared" ref="M943" si="100">L943*C943</f>
        <v>1260</v>
      </c>
      <c r="N943" s="51">
        <f t="shared" ref="N943" si="101">(D943-E943)/(M943*0.17)</f>
        <v>-5.9757236227824244E-2</v>
      </c>
    </row>
    <row r="944" spans="1:14" s="52" customFormat="1" ht="14.25" hidden="1" customHeight="1" x14ac:dyDescent="0.2">
      <c r="A944" s="46" t="s">
        <v>375</v>
      </c>
      <c r="B944" s="47" t="s">
        <v>36</v>
      </c>
      <c r="C944" s="54">
        <v>200</v>
      </c>
      <c r="D944" s="48">
        <v>200</v>
      </c>
      <c r="E944" s="46">
        <f>206.4</f>
        <v>206.4</v>
      </c>
      <c r="F944" s="46" t="s">
        <v>8</v>
      </c>
      <c r="G944" s="49" t="s">
        <v>146</v>
      </c>
      <c r="H944" s="46">
        <v>300</v>
      </c>
      <c r="I944" s="50">
        <v>43481</v>
      </c>
      <c r="J944" s="46" t="s">
        <v>376</v>
      </c>
      <c r="K944" s="46"/>
      <c r="L944" s="46">
        <v>5</v>
      </c>
      <c r="M944" s="46">
        <f t="shared" ref="M944:M947" si="102">L944*C944</f>
        <v>1000</v>
      </c>
      <c r="N944" s="51">
        <f t="shared" ref="N944:N947" si="103">(D944-E944)/(M944*0.17)</f>
        <v>-3.7647058823529443E-2</v>
      </c>
    </row>
    <row r="945" spans="1:14" ht="15" hidden="1" customHeight="1" x14ac:dyDescent="0.2">
      <c r="A945" s="1" t="s">
        <v>377</v>
      </c>
      <c r="B945" s="2" t="s">
        <v>36</v>
      </c>
      <c r="C945" s="54">
        <v>370</v>
      </c>
      <c r="D945" s="7">
        <v>1000</v>
      </c>
      <c r="E945" s="1">
        <f>1056.6</f>
        <v>1056.5999999999999</v>
      </c>
      <c r="F945" s="1" t="s">
        <v>8</v>
      </c>
      <c r="G945" s="41">
        <v>1</v>
      </c>
      <c r="I945" s="8">
        <v>43481</v>
      </c>
      <c r="J945" s="16" t="s">
        <v>378</v>
      </c>
      <c r="L945" s="10">
        <v>3</v>
      </c>
      <c r="M945" s="10">
        <f t="shared" si="102"/>
        <v>1110</v>
      </c>
      <c r="N945" s="29">
        <f t="shared" si="103"/>
        <v>-0.29994700582935824</v>
      </c>
    </row>
    <row r="946" spans="1:14" ht="15" hidden="1" customHeight="1" x14ac:dyDescent="0.2">
      <c r="A946" s="1" t="s">
        <v>377</v>
      </c>
      <c r="B946" s="2" t="s">
        <v>36</v>
      </c>
      <c r="C946" s="54">
        <v>440</v>
      </c>
      <c r="D946" s="7">
        <v>400</v>
      </c>
      <c r="E946" s="1">
        <f>389.2</f>
        <v>389.2</v>
      </c>
      <c r="F946" s="1" t="s">
        <v>8</v>
      </c>
      <c r="G946" s="41">
        <v>1</v>
      </c>
      <c r="I946" s="8">
        <v>43481</v>
      </c>
      <c r="J946" s="16" t="s">
        <v>378</v>
      </c>
      <c r="L946" s="10">
        <v>2</v>
      </c>
      <c r="M946" s="10">
        <f t="shared" si="102"/>
        <v>880</v>
      </c>
      <c r="N946" s="29">
        <f t="shared" si="103"/>
        <v>7.2192513368984024E-2</v>
      </c>
    </row>
    <row r="947" spans="1:14" s="52" customFormat="1" ht="15" hidden="1" customHeight="1" x14ac:dyDescent="0.2">
      <c r="A947" s="46" t="s">
        <v>379</v>
      </c>
      <c r="B947" s="47" t="s">
        <v>38</v>
      </c>
      <c r="C947" s="54">
        <v>420</v>
      </c>
      <c r="D947" s="48">
        <v>300</v>
      </c>
      <c r="E947" s="46">
        <f>294.5</f>
        <v>294.5</v>
      </c>
      <c r="F947" s="46" t="s">
        <v>8</v>
      </c>
      <c r="G947" s="49">
        <v>1</v>
      </c>
      <c r="H947" s="46"/>
      <c r="I947" s="50">
        <v>43481</v>
      </c>
      <c r="J947" s="46" t="s">
        <v>19</v>
      </c>
      <c r="K947" s="46"/>
      <c r="L947" s="46">
        <v>3</v>
      </c>
      <c r="M947" s="46">
        <f t="shared" si="102"/>
        <v>1260</v>
      </c>
      <c r="N947" s="51">
        <f t="shared" si="103"/>
        <v>2.5676937441643323E-2</v>
      </c>
    </row>
    <row r="948" spans="1:14" s="52" customFormat="1" ht="15" hidden="1" customHeight="1" x14ac:dyDescent="0.2">
      <c r="A948" s="46" t="s">
        <v>380</v>
      </c>
      <c r="B948" s="47" t="s">
        <v>36</v>
      </c>
      <c r="C948" s="54">
        <v>360</v>
      </c>
      <c r="D948" s="48">
        <v>200</v>
      </c>
      <c r="E948" s="46">
        <f>202</f>
        <v>202</v>
      </c>
      <c r="F948" s="46" t="s">
        <v>8</v>
      </c>
      <c r="G948" s="49" t="s">
        <v>146</v>
      </c>
      <c r="H948" s="46"/>
      <c r="I948" s="50">
        <v>43481</v>
      </c>
      <c r="J948" s="46" t="s">
        <v>42</v>
      </c>
      <c r="K948" s="46"/>
      <c r="L948" s="46">
        <v>3</v>
      </c>
      <c r="M948" s="46">
        <f t="shared" ref="M948" si="104">L948*C948</f>
        <v>1080</v>
      </c>
      <c r="N948" s="51">
        <f t="shared" ref="N948" si="105">(D948-E948)/(M948*0.17)</f>
        <v>-1.0893246187363833E-2</v>
      </c>
    </row>
    <row r="949" spans="1:14" s="96" customFormat="1" ht="15" hidden="1" customHeight="1" x14ac:dyDescent="0.2">
      <c r="A949" s="90" t="s">
        <v>299</v>
      </c>
      <c r="B949" s="91" t="s">
        <v>40</v>
      </c>
      <c r="C949" s="91">
        <v>920</v>
      </c>
      <c r="D949" s="92">
        <v>2000</v>
      </c>
      <c r="E949" s="90">
        <f>427.3+1671.9</f>
        <v>2099.2000000000003</v>
      </c>
      <c r="F949" s="90" t="s">
        <v>8</v>
      </c>
      <c r="G949" s="93" t="s">
        <v>146</v>
      </c>
      <c r="H949" s="90"/>
      <c r="I949" s="94">
        <v>43481</v>
      </c>
      <c r="J949" s="90" t="s">
        <v>266</v>
      </c>
      <c r="K949" s="90"/>
      <c r="L949" s="90">
        <v>1</v>
      </c>
      <c r="M949" s="90">
        <f t="shared" ref="M949:M959" si="106">L949*C949</f>
        <v>920</v>
      </c>
      <c r="N949" s="95">
        <f t="shared" ref="N949:N959" si="107">(D949-E949)/(M949*0.17)</f>
        <v>-0.63427109974424722</v>
      </c>
    </row>
    <row r="950" spans="1:14" s="96" customFormat="1" ht="15" hidden="1" customHeight="1" x14ac:dyDescent="0.2">
      <c r="A950" s="90" t="s">
        <v>299</v>
      </c>
      <c r="B950" s="91" t="s">
        <v>40</v>
      </c>
      <c r="C950" s="91">
        <v>1040</v>
      </c>
      <c r="D950" s="92">
        <v>2060</v>
      </c>
      <c r="E950" s="90">
        <f>896.8+1182.1</f>
        <v>2078.8999999999996</v>
      </c>
      <c r="F950" s="1" t="s">
        <v>8</v>
      </c>
      <c r="G950" s="93"/>
      <c r="H950" s="90"/>
      <c r="I950" s="94">
        <v>43481</v>
      </c>
      <c r="J950" s="90" t="s">
        <v>266</v>
      </c>
      <c r="K950" s="90"/>
      <c r="L950" s="90">
        <v>1</v>
      </c>
      <c r="M950" s="90">
        <f t="shared" si="106"/>
        <v>1040</v>
      </c>
      <c r="N950" s="95">
        <f t="shared" si="107"/>
        <v>-0.10690045248868572</v>
      </c>
    </row>
    <row r="951" spans="1:14" ht="15" hidden="1" customHeight="1" x14ac:dyDescent="0.2">
      <c r="A951" s="1" t="s">
        <v>299</v>
      </c>
      <c r="B951" s="2" t="s">
        <v>40</v>
      </c>
      <c r="C951" s="2">
        <v>1070</v>
      </c>
      <c r="D951" s="7">
        <v>2900</v>
      </c>
      <c r="E951" s="1">
        <f>921.2+1207.2+854.9</f>
        <v>2983.3</v>
      </c>
      <c r="F951" s="1" t="s">
        <v>8</v>
      </c>
      <c r="I951" s="8">
        <v>43481</v>
      </c>
      <c r="J951" s="16" t="s">
        <v>266</v>
      </c>
      <c r="L951" s="10">
        <v>1</v>
      </c>
      <c r="M951" s="10">
        <f t="shared" si="106"/>
        <v>1070</v>
      </c>
      <c r="N951" s="29">
        <f t="shared" si="107"/>
        <v>-0.45794392523364585</v>
      </c>
    </row>
    <row r="952" spans="1:14" s="96" customFormat="1" ht="15" hidden="1" customHeight="1" x14ac:dyDescent="0.2">
      <c r="A952" s="90" t="s">
        <v>299</v>
      </c>
      <c r="B952" s="91" t="s">
        <v>40</v>
      </c>
      <c r="C952" s="91">
        <v>1160</v>
      </c>
      <c r="D952" s="92">
        <v>3500</v>
      </c>
      <c r="E952" s="90">
        <f>1040.6+2600.3</f>
        <v>3640.9</v>
      </c>
      <c r="F952" s="90" t="s">
        <v>8</v>
      </c>
      <c r="G952" s="93" t="s">
        <v>146</v>
      </c>
      <c r="H952" s="90"/>
      <c r="I952" s="94">
        <v>43481</v>
      </c>
      <c r="J952" s="90" t="s">
        <v>266</v>
      </c>
      <c r="K952" s="90"/>
      <c r="L952" s="90">
        <v>1</v>
      </c>
      <c r="M952" s="90">
        <f t="shared" si="106"/>
        <v>1160</v>
      </c>
      <c r="N952" s="95">
        <f t="shared" si="107"/>
        <v>-0.71450304259634934</v>
      </c>
    </row>
    <row r="953" spans="1:14" ht="15" hidden="1" customHeight="1" x14ac:dyDescent="0.2">
      <c r="A953" s="1" t="s">
        <v>299</v>
      </c>
      <c r="B953" s="2" t="s">
        <v>40</v>
      </c>
      <c r="C953" s="2">
        <v>1270</v>
      </c>
      <c r="D953" s="7">
        <v>3000</v>
      </c>
      <c r="E953" s="1">
        <f>1097.2+1439.5+489.4</f>
        <v>3026.1</v>
      </c>
      <c r="F953" s="1" t="s">
        <v>8</v>
      </c>
      <c r="I953" s="8">
        <v>43481</v>
      </c>
      <c r="J953" s="16" t="s">
        <v>266</v>
      </c>
      <c r="L953" s="10">
        <v>1</v>
      </c>
      <c r="M953" s="10">
        <f t="shared" si="106"/>
        <v>1270</v>
      </c>
      <c r="N953" s="29">
        <f t="shared" si="107"/>
        <v>-0.1208893006021302</v>
      </c>
    </row>
    <row r="954" spans="1:14" s="96" customFormat="1" ht="15" hidden="1" customHeight="1" x14ac:dyDescent="0.2">
      <c r="A954" s="90" t="s">
        <v>299</v>
      </c>
      <c r="B954" s="91" t="s">
        <v>39</v>
      </c>
      <c r="C954" s="91">
        <v>1000</v>
      </c>
      <c r="D954" s="92">
        <v>1050</v>
      </c>
      <c r="E954" s="90">
        <f>211.4+837.5</f>
        <v>1048.9000000000001</v>
      </c>
      <c r="F954" s="90" t="s">
        <v>8</v>
      </c>
      <c r="G954" s="93" t="s">
        <v>146</v>
      </c>
      <c r="H954" s="90"/>
      <c r="I954" s="94">
        <v>43481</v>
      </c>
      <c r="J954" s="90" t="s">
        <v>266</v>
      </c>
      <c r="K954" s="90"/>
      <c r="L954" s="90">
        <v>1</v>
      </c>
      <c r="M954" s="90">
        <f t="shared" si="106"/>
        <v>1000</v>
      </c>
      <c r="N954" s="95">
        <f t="shared" si="107"/>
        <v>6.4705882352935826E-3</v>
      </c>
    </row>
    <row r="955" spans="1:14" s="96" customFormat="1" ht="15" hidden="1" customHeight="1" x14ac:dyDescent="0.2">
      <c r="A955" s="90" t="s">
        <v>299</v>
      </c>
      <c r="B955" s="91" t="s">
        <v>39</v>
      </c>
      <c r="C955" s="91">
        <v>1010</v>
      </c>
      <c r="D955" s="92">
        <v>1200</v>
      </c>
      <c r="E955" s="90">
        <f>1266.6</f>
        <v>1266.5999999999999</v>
      </c>
      <c r="F955" s="90" t="s">
        <v>8</v>
      </c>
      <c r="G955" s="93" t="s">
        <v>146</v>
      </c>
      <c r="H955" s="90"/>
      <c r="I955" s="94">
        <v>43481</v>
      </c>
      <c r="J955" s="90" t="s">
        <v>266</v>
      </c>
      <c r="K955" s="90"/>
      <c r="L955" s="90">
        <v>1</v>
      </c>
      <c r="M955" s="90">
        <f t="shared" si="106"/>
        <v>1010</v>
      </c>
      <c r="N955" s="95">
        <f t="shared" si="107"/>
        <v>-0.38788584740826965</v>
      </c>
    </row>
    <row r="956" spans="1:14" s="96" customFormat="1" ht="15" hidden="1" customHeight="1" x14ac:dyDescent="0.2">
      <c r="A956" s="90" t="s">
        <v>299</v>
      </c>
      <c r="B956" s="91" t="s">
        <v>37</v>
      </c>
      <c r="C956" s="91">
        <v>940</v>
      </c>
      <c r="D956" s="92">
        <v>300</v>
      </c>
      <c r="E956" s="90">
        <f>363.2</f>
        <v>363.2</v>
      </c>
      <c r="F956" s="90" t="s">
        <v>8</v>
      </c>
      <c r="G956" s="93" t="s">
        <v>146</v>
      </c>
      <c r="H956" s="90"/>
      <c r="I956" s="94">
        <v>43481</v>
      </c>
      <c r="J956" s="90" t="s">
        <v>266</v>
      </c>
      <c r="K956" s="90"/>
      <c r="L956" s="90">
        <v>1</v>
      </c>
      <c r="M956" s="90">
        <f t="shared" si="106"/>
        <v>940</v>
      </c>
      <c r="N956" s="95">
        <f t="shared" si="107"/>
        <v>-0.39549436795994986</v>
      </c>
    </row>
    <row r="957" spans="1:14" s="138" customFormat="1" ht="15" hidden="1" customHeight="1" x14ac:dyDescent="0.2">
      <c r="A957" s="134" t="s">
        <v>299</v>
      </c>
      <c r="B957" s="107" t="s">
        <v>37</v>
      </c>
      <c r="C957" s="107">
        <v>1040</v>
      </c>
      <c r="D957" s="108">
        <v>1100</v>
      </c>
      <c r="E957" s="134">
        <f>240.7+932.3</f>
        <v>1173</v>
      </c>
      <c r="F957" s="134" t="s">
        <v>8</v>
      </c>
      <c r="G957" s="135"/>
      <c r="H957" s="134"/>
      <c r="I957" s="136">
        <v>43481</v>
      </c>
      <c r="J957" s="134" t="s">
        <v>266</v>
      </c>
      <c r="K957" s="134"/>
      <c r="L957" s="134">
        <v>1</v>
      </c>
      <c r="M957" s="134">
        <f t="shared" si="106"/>
        <v>1040</v>
      </c>
      <c r="N957" s="137">
        <f t="shared" si="107"/>
        <v>-0.41289592760180993</v>
      </c>
    </row>
    <row r="958" spans="1:14" s="96" customFormat="1" ht="15" hidden="1" customHeight="1" x14ac:dyDescent="0.2">
      <c r="A958" s="90" t="s">
        <v>299</v>
      </c>
      <c r="B958" s="91" t="s">
        <v>37</v>
      </c>
      <c r="C958" s="91">
        <v>1010</v>
      </c>
      <c r="D958" s="92">
        <v>2150</v>
      </c>
      <c r="E958" s="90">
        <f>2199.8</f>
        <v>2199.8000000000002</v>
      </c>
      <c r="F958" s="90" t="s">
        <v>8</v>
      </c>
      <c r="G958" s="93" t="s">
        <v>146</v>
      </c>
      <c r="H958" s="90"/>
      <c r="I958" s="94">
        <v>43482</v>
      </c>
      <c r="J958" s="90" t="s">
        <v>266</v>
      </c>
      <c r="K958" s="90"/>
      <c r="L958" s="90">
        <v>1</v>
      </c>
      <c r="M958" s="90">
        <f t="shared" si="106"/>
        <v>1010</v>
      </c>
      <c r="N958" s="95">
        <f t="shared" si="107"/>
        <v>-0.29004076878276164</v>
      </c>
    </row>
    <row r="959" spans="1:14" s="138" customFormat="1" ht="15" hidden="1" customHeight="1" x14ac:dyDescent="0.2">
      <c r="A959" s="134" t="s">
        <v>299</v>
      </c>
      <c r="B959" s="107" t="s">
        <v>37</v>
      </c>
      <c r="C959" s="107">
        <v>1200</v>
      </c>
      <c r="D959" s="108">
        <v>700</v>
      </c>
      <c r="E959" s="134">
        <f>719.9</f>
        <v>719.9</v>
      </c>
      <c r="F959" s="134" t="s">
        <v>8</v>
      </c>
      <c r="G959" s="135"/>
      <c r="H959" s="134"/>
      <c r="I959" s="136">
        <v>43482</v>
      </c>
      <c r="J959" s="134" t="s">
        <v>266</v>
      </c>
      <c r="K959" s="134"/>
      <c r="L959" s="134">
        <v>1</v>
      </c>
      <c r="M959" s="134">
        <f t="shared" si="106"/>
        <v>1200</v>
      </c>
      <c r="N959" s="137">
        <f t="shared" si="107"/>
        <v>-9.7549019607843013E-2</v>
      </c>
    </row>
    <row r="960" spans="1:14" ht="15" hidden="1" customHeight="1" x14ac:dyDescent="0.2">
      <c r="A960" s="1" t="s">
        <v>381</v>
      </c>
      <c r="B960" s="2" t="s">
        <v>37</v>
      </c>
      <c r="C960" s="2">
        <v>138</v>
      </c>
      <c r="D960" s="7">
        <v>600</v>
      </c>
      <c r="E960" s="1">
        <f>220.7+218.4+423.3</f>
        <v>862.40000000000009</v>
      </c>
      <c r="F960" s="1" t="s">
        <v>8</v>
      </c>
      <c r="I960" s="8">
        <v>43482</v>
      </c>
      <c r="J960" s="16" t="s">
        <v>382</v>
      </c>
    </row>
    <row r="961" spans="1:14" s="96" customFormat="1" ht="15" hidden="1" customHeight="1" x14ac:dyDescent="0.2">
      <c r="A961" s="90" t="s">
        <v>259</v>
      </c>
      <c r="B961" s="91" t="s">
        <v>40</v>
      </c>
      <c r="C961" s="91">
        <v>920</v>
      </c>
      <c r="D961" s="92">
        <f>500+500</f>
        <v>1000</v>
      </c>
      <c r="E961" s="90">
        <f>211.2+824.6</f>
        <v>1035.8</v>
      </c>
      <c r="F961" s="90" t="s">
        <v>8</v>
      </c>
      <c r="G961" s="93" t="s">
        <v>146</v>
      </c>
      <c r="H961" s="90"/>
      <c r="I961" s="94">
        <v>43482</v>
      </c>
      <c r="J961" s="90" t="s">
        <v>16</v>
      </c>
      <c r="K961" s="90"/>
      <c r="L961" s="90">
        <v>1</v>
      </c>
      <c r="M961" s="90">
        <f>L961*C961</f>
        <v>920</v>
      </c>
      <c r="N961" s="95">
        <f>(D961-E961)/(M961*0.17)</f>
        <v>-0.2289002557544754</v>
      </c>
    </row>
    <row r="962" spans="1:14" s="96" customFormat="1" ht="15" hidden="1" customHeight="1" x14ac:dyDescent="0.2">
      <c r="A962" s="90" t="s">
        <v>259</v>
      </c>
      <c r="B962" s="91" t="s">
        <v>40</v>
      </c>
      <c r="C962" s="91">
        <v>736</v>
      </c>
      <c r="D962" s="92">
        <v>200</v>
      </c>
      <c r="E962" s="90">
        <f>249.2</f>
        <v>249.2</v>
      </c>
      <c r="F962" s="1" t="s">
        <v>8</v>
      </c>
      <c r="G962" s="93"/>
      <c r="H962" s="90"/>
      <c r="I962" s="94">
        <v>43482</v>
      </c>
      <c r="J962" s="90" t="s">
        <v>16</v>
      </c>
      <c r="K962" s="90"/>
      <c r="L962" s="90">
        <v>1</v>
      </c>
      <c r="M962" s="10">
        <f>L962*C962</f>
        <v>736</v>
      </c>
      <c r="N962" s="95">
        <f>(D962-E962)/(M962*0.17)</f>
        <v>-0.3932225063938618</v>
      </c>
    </row>
    <row r="963" spans="1:14" ht="15" hidden="1" customHeight="1" x14ac:dyDescent="0.2">
      <c r="A963" s="1" t="s">
        <v>383</v>
      </c>
      <c r="B963" s="2" t="s">
        <v>38</v>
      </c>
      <c r="C963" s="54">
        <v>450</v>
      </c>
      <c r="D963" s="7">
        <v>700</v>
      </c>
      <c r="E963" s="1">
        <f>745.6</f>
        <v>745.6</v>
      </c>
      <c r="F963" s="1" t="s">
        <v>8</v>
      </c>
      <c r="G963" s="41">
        <v>1</v>
      </c>
      <c r="H963" s="1">
        <v>300</v>
      </c>
      <c r="I963" s="8">
        <v>43482</v>
      </c>
      <c r="J963" s="16" t="s">
        <v>384</v>
      </c>
      <c r="L963" s="3">
        <v>2</v>
      </c>
      <c r="M963" s="10">
        <f t="shared" ref="M963" si="108">L963*C963</f>
        <v>900</v>
      </c>
      <c r="N963" s="32">
        <f t="shared" ref="N963" si="109">(D963-E963)/(M963*0.17)</f>
        <v>-0.29803921568627467</v>
      </c>
    </row>
    <row r="964" spans="1:14" ht="15" hidden="1" customHeight="1" x14ac:dyDescent="0.2">
      <c r="A964" s="1" t="s">
        <v>383</v>
      </c>
      <c r="B964" s="2" t="s">
        <v>37</v>
      </c>
      <c r="C964" s="2">
        <v>450</v>
      </c>
      <c r="D964" s="7">
        <v>2000</v>
      </c>
      <c r="F964" s="1" t="s">
        <v>415</v>
      </c>
      <c r="H964" s="1">
        <v>300</v>
      </c>
      <c r="I964" s="8">
        <v>43482</v>
      </c>
      <c r="J964" s="16" t="s">
        <v>385</v>
      </c>
    </row>
    <row r="965" spans="1:14" ht="15" hidden="1" customHeight="1" x14ac:dyDescent="0.2">
      <c r="A965" s="1" t="s">
        <v>386</v>
      </c>
      <c r="B965" s="2" t="s">
        <v>39</v>
      </c>
      <c r="C965" s="73">
        <v>145</v>
      </c>
      <c r="D965" s="7">
        <v>10000</v>
      </c>
      <c r="E965" s="1">
        <f>3970.1+3496.3+1300.7+1313.7</f>
        <v>10080.800000000001</v>
      </c>
      <c r="F965" s="1" t="s">
        <v>8</v>
      </c>
      <c r="G965" s="41">
        <v>1</v>
      </c>
      <c r="I965" s="8">
        <v>43482</v>
      </c>
      <c r="J965" s="16" t="s">
        <v>13</v>
      </c>
      <c r="L965" s="10">
        <v>6</v>
      </c>
      <c r="M965" s="10">
        <f>L965*C965</f>
        <v>870</v>
      </c>
      <c r="N965" s="29">
        <f>(D965-E965)/(M965*0.17)</f>
        <v>-0.54631507775524735</v>
      </c>
    </row>
    <row r="966" spans="1:14" s="52" customFormat="1" ht="15" hidden="1" customHeight="1" x14ac:dyDescent="0.2">
      <c r="A966" s="46" t="s">
        <v>387</v>
      </c>
      <c r="B966" s="47" t="s">
        <v>36</v>
      </c>
      <c r="C966" s="47">
        <v>720</v>
      </c>
      <c r="D966" s="48">
        <v>500</v>
      </c>
      <c r="E966" s="46">
        <f>522.8</f>
        <v>522.79999999999995</v>
      </c>
      <c r="F966" s="46" t="s">
        <v>8</v>
      </c>
      <c r="G966" s="49" t="s">
        <v>146</v>
      </c>
      <c r="H966" s="46">
        <v>600</v>
      </c>
      <c r="I966" s="50">
        <v>43482</v>
      </c>
      <c r="J966" s="46" t="s">
        <v>133</v>
      </c>
      <c r="K966" s="46"/>
      <c r="L966" s="46">
        <v>1</v>
      </c>
      <c r="M966" s="46">
        <f t="shared" ref="M966" si="110">L966*C966</f>
        <v>720</v>
      </c>
      <c r="N966" s="51">
        <f t="shared" ref="N966" si="111">(D966-E966)/(M966*0.17)</f>
        <v>-0.18627450980392118</v>
      </c>
    </row>
    <row r="967" spans="1:14" s="96" customFormat="1" ht="15" hidden="1" customHeight="1" x14ac:dyDescent="0.2">
      <c r="A967" s="90" t="s">
        <v>388</v>
      </c>
      <c r="B967" s="91" t="s">
        <v>39</v>
      </c>
      <c r="C967" s="91">
        <v>480</v>
      </c>
      <c r="D967" s="92">
        <v>250</v>
      </c>
      <c r="E967" s="90">
        <f>200.1</f>
        <v>200.1</v>
      </c>
      <c r="F967" s="90" t="s">
        <v>8</v>
      </c>
      <c r="G967" s="93"/>
      <c r="H967" s="90">
        <v>600</v>
      </c>
      <c r="I967" s="94">
        <v>43482</v>
      </c>
      <c r="J967" s="90" t="s">
        <v>133</v>
      </c>
      <c r="K967" s="90"/>
      <c r="L967" s="10"/>
      <c r="M967" s="10">
        <f>L967*C967</f>
        <v>0</v>
      </c>
      <c r="N967" s="29" t="e">
        <f>(D967-E967)/(M967*0.17)</f>
        <v>#DIV/0!</v>
      </c>
    </row>
    <row r="968" spans="1:14" s="96" customFormat="1" ht="15" hidden="1" customHeight="1" x14ac:dyDescent="0.2">
      <c r="A968" s="90" t="s">
        <v>389</v>
      </c>
      <c r="B968" s="91" t="s">
        <v>40</v>
      </c>
      <c r="C968" s="91">
        <v>1000</v>
      </c>
      <c r="D968" s="92">
        <v>650</v>
      </c>
      <c r="E968" s="90">
        <f>678.7</f>
        <v>678.7</v>
      </c>
      <c r="F968" s="90" t="s">
        <v>8</v>
      </c>
      <c r="G968" s="93" t="s">
        <v>146</v>
      </c>
      <c r="H968" s="90"/>
      <c r="I968" s="94">
        <v>43482</v>
      </c>
      <c r="J968" s="90" t="s">
        <v>133</v>
      </c>
      <c r="K968" s="90"/>
      <c r="L968" s="90">
        <v>1</v>
      </c>
      <c r="M968" s="90">
        <f>L968*C968</f>
        <v>1000</v>
      </c>
      <c r="N968" s="95">
        <f>(D968-E968)/(M968*0.17)</f>
        <v>-0.16882352941176498</v>
      </c>
    </row>
    <row r="969" spans="1:14" s="96" customFormat="1" ht="15" hidden="1" customHeight="1" x14ac:dyDescent="0.2">
      <c r="A969" s="90" t="s">
        <v>184</v>
      </c>
      <c r="B969" s="91" t="s">
        <v>39</v>
      </c>
      <c r="C969" s="91">
        <v>860</v>
      </c>
      <c r="D969" s="92">
        <v>1200</v>
      </c>
      <c r="E969" s="90">
        <f>927.3+184.5</f>
        <v>1111.8</v>
      </c>
      <c r="F969" s="90" t="s">
        <v>8</v>
      </c>
      <c r="G969" s="93" t="s">
        <v>146</v>
      </c>
      <c r="H969" s="90"/>
      <c r="I969" s="94">
        <v>43483</v>
      </c>
      <c r="J969" s="90" t="s">
        <v>185</v>
      </c>
      <c r="K969" s="90"/>
      <c r="L969" s="90">
        <v>1</v>
      </c>
      <c r="M969" s="90">
        <f t="shared" ref="M969:M986" si="112">L969*C969</f>
        <v>860</v>
      </c>
      <c r="N969" s="95">
        <f t="shared" ref="N969:N976" si="113">(D969-E969)/(M969*0.17)</f>
        <v>0.60328317373461038</v>
      </c>
    </row>
    <row r="970" spans="1:14" s="96" customFormat="1" ht="15" hidden="1" customHeight="1" x14ac:dyDescent="0.2">
      <c r="A970" s="90" t="s">
        <v>363</v>
      </c>
      <c r="B970" s="91" t="s">
        <v>40</v>
      </c>
      <c r="C970" s="91">
        <v>850</v>
      </c>
      <c r="D970" s="92">
        <v>500</v>
      </c>
      <c r="E970" s="90">
        <f>185.2+350.8</f>
        <v>536</v>
      </c>
      <c r="F970" s="90" t="s">
        <v>8</v>
      </c>
      <c r="G970" s="93" t="s">
        <v>146</v>
      </c>
      <c r="H970" s="90"/>
      <c r="I970" s="94">
        <v>43483</v>
      </c>
      <c r="J970" s="90" t="s">
        <v>137</v>
      </c>
      <c r="K970" s="90"/>
      <c r="L970" s="90">
        <v>1</v>
      </c>
      <c r="M970" s="90">
        <f t="shared" si="112"/>
        <v>850</v>
      </c>
      <c r="N970" s="95">
        <f t="shared" si="113"/>
        <v>-0.2491349480968858</v>
      </c>
    </row>
    <row r="971" spans="1:14" ht="15" hidden="1" customHeight="1" x14ac:dyDescent="0.2">
      <c r="A971" s="1" t="s">
        <v>363</v>
      </c>
      <c r="B971" s="2" t="s">
        <v>37</v>
      </c>
      <c r="C971" s="2">
        <v>1680</v>
      </c>
      <c r="D971" s="7">
        <v>350</v>
      </c>
      <c r="F971" s="1" t="s">
        <v>316</v>
      </c>
      <c r="I971" s="8">
        <v>43483</v>
      </c>
      <c r="J971" s="16" t="s">
        <v>137</v>
      </c>
      <c r="L971" s="3">
        <v>1</v>
      </c>
      <c r="M971" s="10">
        <f>L971*C971</f>
        <v>1680</v>
      </c>
      <c r="N971" s="29">
        <f t="shared" si="113"/>
        <v>1.2254901960784312</v>
      </c>
    </row>
    <row r="972" spans="1:14" s="52" customFormat="1" ht="15" hidden="1" customHeight="1" x14ac:dyDescent="0.2">
      <c r="A972" s="46" t="s">
        <v>390</v>
      </c>
      <c r="B972" s="47" t="s">
        <v>38</v>
      </c>
      <c r="C972" s="47">
        <v>1260</v>
      </c>
      <c r="D972" s="48">
        <v>690</v>
      </c>
      <c r="E972" s="46">
        <f>697.9</f>
        <v>697.9</v>
      </c>
      <c r="F972" s="46" t="s">
        <v>8</v>
      </c>
      <c r="G972" s="49">
        <v>1</v>
      </c>
      <c r="H972" s="46"/>
      <c r="I972" s="50">
        <v>43483</v>
      </c>
      <c r="J972" s="46" t="s">
        <v>49</v>
      </c>
      <c r="K972" s="46"/>
      <c r="L972" s="46">
        <v>1</v>
      </c>
      <c r="M972" s="46">
        <f t="shared" si="112"/>
        <v>1260</v>
      </c>
      <c r="N972" s="51">
        <f t="shared" si="113"/>
        <v>-3.6881419234360301E-2</v>
      </c>
    </row>
    <row r="973" spans="1:14" ht="15" hidden="1" customHeight="1" x14ac:dyDescent="0.2">
      <c r="A973" s="1" t="s">
        <v>390</v>
      </c>
      <c r="B973" s="2" t="s">
        <v>38</v>
      </c>
      <c r="C973" s="2">
        <v>750</v>
      </c>
      <c r="D973" s="7">
        <v>530</v>
      </c>
      <c r="E973" s="1">
        <f>545.5</f>
        <v>545.5</v>
      </c>
      <c r="F973" s="1" t="s">
        <v>8</v>
      </c>
      <c r="G973" s="41">
        <v>1</v>
      </c>
      <c r="I973" s="8">
        <v>43483</v>
      </c>
      <c r="J973" s="16" t="s">
        <v>49</v>
      </c>
      <c r="L973" s="3">
        <v>1</v>
      </c>
      <c r="M973" s="10">
        <f t="shared" si="112"/>
        <v>750</v>
      </c>
      <c r="N973" s="32">
        <f t="shared" si="113"/>
        <v>-0.12156862745098038</v>
      </c>
    </row>
    <row r="974" spans="1:14" s="96" customFormat="1" ht="15" hidden="1" customHeight="1" x14ac:dyDescent="0.2">
      <c r="A974" s="90" t="s">
        <v>299</v>
      </c>
      <c r="B974" s="91" t="s">
        <v>40</v>
      </c>
      <c r="C974" s="91">
        <v>1250</v>
      </c>
      <c r="D974" s="92">
        <v>4750</v>
      </c>
      <c r="E974" s="90">
        <f>540.2+3827.9+423</f>
        <v>4791.1000000000004</v>
      </c>
      <c r="F974" s="1" t="s">
        <v>8</v>
      </c>
      <c r="G974" s="93"/>
      <c r="H974" s="90"/>
      <c r="I974" s="90" t="s">
        <v>391</v>
      </c>
      <c r="J974" s="90" t="s">
        <v>266</v>
      </c>
      <c r="K974" s="90"/>
      <c r="L974" s="90">
        <v>1</v>
      </c>
      <c r="M974" s="10">
        <f t="shared" si="112"/>
        <v>1250</v>
      </c>
      <c r="N974" s="95">
        <f t="shared" si="113"/>
        <v>-0.19341176470588403</v>
      </c>
    </row>
    <row r="975" spans="1:14" s="104" customFormat="1" ht="15" hidden="1" customHeight="1" x14ac:dyDescent="0.2">
      <c r="A975" s="98" t="s">
        <v>392</v>
      </c>
      <c r="B975" s="99" t="s">
        <v>39</v>
      </c>
      <c r="C975" s="73">
        <v>410</v>
      </c>
      <c r="D975" s="100">
        <v>1200</v>
      </c>
      <c r="E975" s="98">
        <f>1254</f>
        <v>1254</v>
      </c>
      <c r="F975" s="98" t="s">
        <v>8</v>
      </c>
      <c r="G975" s="101" t="s">
        <v>146</v>
      </c>
      <c r="H975" s="98"/>
      <c r="I975" s="102">
        <v>43483</v>
      </c>
      <c r="J975" s="98" t="s">
        <v>393</v>
      </c>
      <c r="K975" s="98"/>
      <c r="L975" s="98">
        <v>3</v>
      </c>
      <c r="M975" s="98">
        <f t="shared" si="112"/>
        <v>1230</v>
      </c>
      <c r="N975" s="103">
        <f t="shared" si="113"/>
        <v>-0.2582496413199426</v>
      </c>
    </row>
    <row r="976" spans="1:14" s="52" customFormat="1" ht="15" hidden="1" customHeight="1" x14ac:dyDescent="0.2">
      <c r="A976" s="46" t="s">
        <v>223</v>
      </c>
      <c r="B976" s="47" t="s">
        <v>36</v>
      </c>
      <c r="C976" s="54">
        <v>244</v>
      </c>
      <c r="D976" s="48">
        <f>2000+1000+1000</f>
        <v>4000</v>
      </c>
      <c r="E976" s="46">
        <f>1186+2732</f>
        <v>3918</v>
      </c>
      <c r="F976" s="46" t="s">
        <v>8</v>
      </c>
      <c r="G976" s="49" t="s">
        <v>146</v>
      </c>
      <c r="H976" s="46"/>
      <c r="I976" s="50">
        <v>43483</v>
      </c>
      <c r="J976" s="46" t="s">
        <v>394</v>
      </c>
      <c r="K976" s="46"/>
      <c r="L976" s="46">
        <v>4</v>
      </c>
      <c r="M976" s="46">
        <f t="shared" si="112"/>
        <v>976</v>
      </c>
      <c r="N976" s="51">
        <f t="shared" si="113"/>
        <v>0.49421407907425258</v>
      </c>
    </row>
    <row r="977" spans="1:14" s="96" customFormat="1" ht="15" hidden="1" customHeight="1" x14ac:dyDescent="0.2">
      <c r="A977" s="90" t="s">
        <v>395</v>
      </c>
      <c r="B977" s="91" t="s">
        <v>39</v>
      </c>
      <c r="C977" s="91">
        <v>200</v>
      </c>
      <c r="D977" s="92">
        <v>80</v>
      </c>
      <c r="E977" s="90">
        <f>84.8</f>
        <v>84.8</v>
      </c>
      <c r="F977" s="90" t="s">
        <v>8</v>
      </c>
      <c r="G977" s="93" t="s">
        <v>146</v>
      </c>
      <c r="H977" s="90">
        <v>250</v>
      </c>
      <c r="I977" s="94">
        <v>43483</v>
      </c>
      <c r="J977" s="90" t="s">
        <v>396</v>
      </c>
      <c r="K977" s="90"/>
      <c r="L977" s="90"/>
      <c r="M977" s="90">
        <f t="shared" si="112"/>
        <v>0</v>
      </c>
      <c r="N977" s="95"/>
    </row>
    <row r="978" spans="1:14" s="96" customFormat="1" ht="15" hidden="1" customHeight="1" x14ac:dyDescent="0.2">
      <c r="A978" s="90" t="s">
        <v>319</v>
      </c>
      <c r="B978" s="91" t="s">
        <v>39</v>
      </c>
      <c r="C978" s="91">
        <v>200</v>
      </c>
      <c r="D978" s="92" t="s">
        <v>397</v>
      </c>
      <c r="E978" s="90">
        <f>965</f>
        <v>965</v>
      </c>
      <c r="F978" s="90" t="s">
        <v>8</v>
      </c>
      <c r="G978" s="93" t="s">
        <v>146</v>
      </c>
      <c r="H978" s="90" t="s">
        <v>398</v>
      </c>
      <c r="I978" s="94">
        <v>43483</v>
      </c>
      <c r="J978" s="90" t="s">
        <v>399</v>
      </c>
      <c r="K978" s="90"/>
      <c r="L978" s="90"/>
      <c r="M978" s="90">
        <f t="shared" si="112"/>
        <v>0</v>
      </c>
      <c r="N978" s="95"/>
    </row>
    <row r="979" spans="1:14" ht="15" hidden="1" customHeight="1" x14ac:dyDescent="0.2">
      <c r="A979" s="1" t="s">
        <v>259</v>
      </c>
      <c r="B979" s="2" t="s">
        <v>40</v>
      </c>
      <c r="C979" s="2">
        <v>920</v>
      </c>
      <c r="D979" s="7">
        <v>500</v>
      </c>
      <c r="F979" s="1" t="s">
        <v>201</v>
      </c>
      <c r="I979" s="8">
        <v>43483</v>
      </c>
      <c r="J979" s="16" t="s">
        <v>16</v>
      </c>
      <c r="L979" s="10">
        <v>1</v>
      </c>
      <c r="M979" s="10">
        <f t="shared" si="112"/>
        <v>920</v>
      </c>
      <c r="N979" s="29">
        <f t="shared" ref="N979:N984" si="114">(D979-E979)/(M979*0.17)</f>
        <v>3.1969309462915598</v>
      </c>
    </row>
    <row r="980" spans="1:14" s="96" customFormat="1" ht="15" hidden="1" customHeight="1" x14ac:dyDescent="0.2">
      <c r="A980" s="90" t="s">
        <v>400</v>
      </c>
      <c r="B980" s="91" t="s">
        <v>39</v>
      </c>
      <c r="C980" s="91">
        <v>300</v>
      </c>
      <c r="D980" s="92">
        <v>100</v>
      </c>
      <c r="E980" s="90">
        <f>101.6</f>
        <v>101.6</v>
      </c>
      <c r="F980" s="90" t="s">
        <v>8</v>
      </c>
      <c r="G980" s="93" t="s">
        <v>146</v>
      </c>
      <c r="H980" s="90"/>
      <c r="I980" s="94">
        <v>43483</v>
      </c>
      <c r="J980" s="90" t="s">
        <v>14</v>
      </c>
      <c r="K980" s="90"/>
      <c r="L980" s="90">
        <v>4</v>
      </c>
      <c r="M980" s="90">
        <f t="shared" si="112"/>
        <v>1200</v>
      </c>
      <c r="N980" s="95">
        <f t="shared" si="114"/>
        <v>-7.8431372549019312E-3</v>
      </c>
    </row>
    <row r="981" spans="1:14" s="96" customFormat="1" ht="15" hidden="1" customHeight="1" x14ac:dyDescent="0.2">
      <c r="A981" s="90" t="s">
        <v>400</v>
      </c>
      <c r="B981" s="91" t="s">
        <v>39</v>
      </c>
      <c r="C981" s="73">
        <v>380</v>
      </c>
      <c r="D981" s="92">
        <v>200</v>
      </c>
      <c r="E981" s="90">
        <f>250.5</f>
        <v>250.5</v>
      </c>
      <c r="F981" s="90" t="s">
        <v>8</v>
      </c>
      <c r="G981" s="93" t="s">
        <v>146</v>
      </c>
      <c r="H981" s="90"/>
      <c r="I981" s="94">
        <v>43483</v>
      </c>
      <c r="J981" s="90" t="s">
        <v>14</v>
      </c>
      <c r="K981" s="90"/>
      <c r="L981" s="90">
        <v>3</v>
      </c>
      <c r="M981" s="90">
        <f t="shared" si="112"/>
        <v>1140</v>
      </c>
      <c r="N981" s="95">
        <f t="shared" si="114"/>
        <v>-0.26057791537667696</v>
      </c>
    </row>
    <row r="982" spans="1:14" s="96" customFormat="1" ht="15" hidden="1" customHeight="1" x14ac:dyDescent="0.2">
      <c r="A982" s="90" t="s">
        <v>400</v>
      </c>
      <c r="B982" s="91" t="s">
        <v>39</v>
      </c>
      <c r="C982" s="91">
        <v>400</v>
      </c>
      <c r="D982" s="92">
        <v>200</v>
      </c>
      <c r="E982" s="90">
        <f>227.7</f>
        <v>227.7</v>
      </c>
      <c r="F982" s="90" t="s">
        <v>8</v>
      </c>
      <c r="G982" s="93" t="s">
        <v>146</v>
      </c>
      <c r="H982" s="90"/>
      <c r="I982" s="94">
        <v>43483</v>
      </c>
      <c r="J982" s="90" t="s">
        <v>14</v>
      </c>
      <c r="K982" s="90"/>
      <c r="L982" s="90">
        <v>3</v>
      </c>
      <c r="M982" s="90">
        <f t="shared" si="112"/>
        <v>1200</v>
      </c>
      <c r="N982" s="95">
        <f t="shared" si="114"/>
        <v>-0.13578431372549013</v>
      </c>
    </row>
    <row r="983" spans="1:14" s="96" customFormat="1" ht="15" hidden="1" customHeight="1" x14ac:dyDescent="0.2">
      <c r="A983" s="90" t="s">
        <v>400</v>
      </c>
      <c r="B983" s="91" t="s">
        <v>39</v>
      </c>
      <c r="C983" s="91">
        <v>430</v>
      </c>
      <c r="D983" s="92">
        <v>700</v>
      </c>
      <c r="E983" s="90">
        <f>715.2</f>
        <v>715.2</v>
      </c>
      <c r="F983" s="90" t="s">
        <v>8</v>
      </c>
      <c r="G983" s="93" t="s">
        <v>146</v>
      </c>
      <c r="H983" s="90"/>
      <c r="I983" s="94">
        <v>43483</v>
      </c>
      <c r="J983" s="90" t="s">
        <v>14</v>
      </c>
      <c r="K983" s="90"/>
      <c r="L983" s="90">
        <v>3</v>
      </c>
      <c r="M983" s="90">
        <f t="shared" si="112"/>
        <v>1290</v>
      </c>
      <c r="N983" s="95">
        <f t="shared" si="114"/>
        <v>-6.931144550843614E-2</v>
      </c>
    </row>
    <row r="984" spans="1:14" s="96" customFormat="1" ht="15" hidden="1" customHeight="1" x14ac:dyDescent="0.2">
      <c r="A984" s="90" t="s">
        <v>400</v>
      </c>
      <c r="B984" s="91" t="s">
        <v>39</v>
      </c>
      <c r="C984" s="73">
        <v>470</v>
      </c>
      <c r="D984" s="90">
        <v>200</v>
      </c>
      <c r="E984" s="90">
        <f>204.8</f>
        <v>204.8</v>
      </c>
      <c r="F984" s="90" t="s">
        <v>8</v>
      </c>
      <c r="G984" s="93" t="s">
        <v>146</v>
      </c>
      <c r="H984" s="90"/>
      <c r="I984" s="94">
        <v>43483</v>
      </c>
      <c r="J984" s="90" t="s">
        <v>14</v>
      </c>
      <c r="K984" s="90"/>
      <c r="L984" s="90">
        <v>2</v>
      </c>
      <c r="M984" s="90">
        <f t="shared" si="112"/>
        <v>940</v>
      </c>
      <c r="N984" s="29">
        <f t="shared" si="114"/>
        <v>-3.0037546933667152E-2</v>
      </c>
    </row>
    <row r="985" spans="1:14" s="96" customFormat="1" ht="15" hidden="1" customHeight="1" x14ac:dyDescent="0.2">
      <c r="A985" s="90" t="s">
        <v>401</v>
      </c>
      <c r="B985" s="91" t="s">
        <v>40</v>
      </c>
      <c r="C985" s="91">
        <v>125</v>
      </c>
      <c r="D985" s="92">
        <v>200</v>
      </c>
      <c r="E985" s="90">
        <f>216.8</f>
        <v>216.8</v>
      </c>
      <c r="F985" s="90" t="s">
        <v>8</v>
      </c>
      <c r="G985" s="93" t="s">
        <v>146</v>
      </c>
      <c r="H985" s="90" t="s">
        <v>402</v>
      </c>
      <c r="I985" s="94">
        <v>43483</v>
      </c>
      <c r="J985" s="90" t="s">
        <v>403</v>
      </c>
      <c r="K985" s="90"/>
      <c r="L985" s="90"/>
      <c r="M985" s="90">
        <f t="shared" si="112"/>
        <v>0</v>
      </c>
      <c r="N985" s="95" t="e">
        <f t="shared" ref="N985:N1001" si="115">(D985-E985)/(M985*0.17)</f>
        <v>#DIV/0!</v>
      </c>
    </row>
    <row r="986" spans="1:14" s="96" customFormat="1" ht="15" hidden="1" customHeight="1" x14ac:dyDescent="0.2">
      <c r="A986" s="90" t="s">
        <v>365</v>
      </c>
      <c r="B986" s="91" t="s">
        <v>36</v>
      </c>
      <c r="C986" s="91">
        <v>760</v>
      </c>
      <c r="D986" s="92">
        <v>50</v>
      </c>
      <c r="E986" s="90">
        <f>52</f>
        <v>52</v>
      </c>
      <c r="F986" s="90" t="s">
        <v>8</v>
      </c>
      <c r="G986" s="93">
        <v>1</v>
      </c>
      <c r="H986" s="90" t="s">
        <v>25</v>
      </c>
      <c r="I986" s="94">
        <v>43486</v>
      </c>
      <c r="J986" s="90" t="s">
        <v>175</v>
      </c>
      <c r="K986" s="90"/>
      <c r="L986" s="90">
        <v>1</v>
      </c>
      <c r="M986" s="90">
        <f t="shared" si="112"/>
        <v>760</v>
      </c>
      <c r="N986" s="95">
        <f t="shared" si="115"/>
        <v>-1.547987616099071E-2</v>
      </c>
    </row>
    <row r="987" spans="1:14" ht="15" hidden="1" customHeight="1" x14ac:dyDescent="0.2">
      <c r="A987" s="1" t="s">
        <v>404</v>
      </c>
      <c r="B987" s="2" t="s">
        <v>40</v>
      </c>
      <c r="C987" s="2">
        <v>640</v>
      </c>
      <c r="D987" s="7">
        <v>500</v>
      </c>
      <c r="I987" s="8">
        <v>43486</v>
      </c>
      <c r="J987" s="16" t="s">
        <v>133</v>
      </c>
      <c r="L987" s="10">
        <v>1</v>
      </c>
      <c r="M987" s="10">
        <f t="shared" ref="M987:M1001" si="116">L987*C987</f>
        <v>640</v>
      </c>
      <c r="N987" s="29">
        <f t="shared" si="115"/>
        <v>4.5955882352941169</v>
      </c>
    </row>
    <row r="988" spans="1:14" ht="15" hidden="1" customHeight="1" x14ac:dyDescent="0.2">
      <c r="A988" s="1" t="s">
        <v>404</v>
      </c>
      <c r="B988" s="2" t="s">
        <v>40</v>
      </c>
      <c r="C988" s="2">
        <v>650</v>
      </c>
      <c r="D988" s="7">
        <v>500</v>
      </c>
      <c r="I988" s="8">
        <v>43486</v>
      </c>
      <c r="J988" s="16" t="s">
        <v>133</v>
      </c>
      <c r="L988" s="10">
        <v>1</v>
      </c>
      <c r="M988" s="10">
        <f t="shared" si="116"/>
        <v>650</v>
      </c>
      <c r="N988" s="29">
        <f t="shared" si="115"/>
        <v>4.5248868778280533</v>
      </c>
    </row>
    <row r="989" spans="1:14" s="96" customFormat="1" ht="15" hidden="1" customHeight="1" x14ac:dyDescent="0.2">
      <c r="A989" s="90" t="s">
        <v>404</v>
      </c>
      <c r="B989" s="91" t="s">
        <v>40</v>
      </c>
      <c r="C989" s="91">
        <v>710</v>
      </c>
      <c r="D989" s="92">
        <v>1000</v>
      </c>
      <c r="E989" s="90">
        <f>565.1+486.8</f>
        <v>1051.9000000000001</v>
      </c>
      <c r="F989" s="90" t="s">
        <v>8</v>
      </c>
      <c r="G989" s="93"/>
      <c r="H989" s="90"/>
      <c r="I989" s="94">
        <v>43486</v>
      </c>
      <c r="J989" s="90" t="s">
        <v>133</v>
      </c>
      <c r="K989" s="90"/>
      <c r="L989" s="90">
        <v>1</v>
      </c>
      <c r="M989" s="90">
        <f t="shared" si="116"/>
        <v>710</v>
      </c>
      <c r="N989" s="95">
        <f t="shared" si="115"/>
        <v>-0.42999171499585825</v>
      </c>
    </row>
    <row r="990" spans="1:14" ht="15" hidden="1" customHeight="1" x14ac:dyDescent="0.2">
      <c r="A990" s="1" t="s">
        <v>404</v>
      </c>
      <c r="B990" s="2" t="s">
        <v>40</v>
      </c>
      <c r="C990" s="2">
        <v>830</v>
      </c>
      <c r="D990" s="7">
        <v>1000</v>
      </c>
      <c r="I990" s="8">
        <v>43486</v>
      </c>
      <c r="J990" s="16" t="s">
        <v>133</v>
      </c>
      <c r="L990" s="10">
        <v>1</v>
      </c>
      <c r="M990" s="10">
        <f t="shared" si="116"/>
        <v>830</v>
      </c>
      <c r="N990" s="29">
        <f t="shared" si="115"/>
        <v>7.0871722182849028</v>
      </c>
    </row>
    <row r="991" spans="1:14" ht="15" hidden="1" customHeight="1" x14ac:dyDescent="0.2">
      <c r="A991" s="1" t="s">
        <v>404</v>
      </c>
      <c r="B991" s="2" t="s">
        <v>40</v>
      </c>
      <c r="C991" s="2">
        <v>1000</v>
      </c>
      <c r="D991" s="7">
        <v>700</v>
      </c>
      <c r="F991" s="1" t="s">
        <v>200</v>
      </c>
      <c r="I991" s="8">
        <v>43486</v>
      </c>
      <c r="J991" s="16" t="s">
        <v>133</v>
      </c>
      <c r="L991" s="10">
        <v>1</v>
      </c>
      <c r="M991" s="10">
        <f t="shared" si="116"/>
        <v>1000</v>
      </c>
      <c r="N991" s="29">
        <f t="shared" si="115"/>
        <v>4.117647058823529</v>
      </c>
    </row>
    <row r="992" spans="1:14" ht="15" hidden="1" customHeight="1" x14ac:dyDescent="0.2">
      <c r="A992" s="1" t="s">
        <v>299</v>
      </c>
      <c r="B992" s="2" t="s">
        <v>40</v>
      </c>
      <c r="C992" s="2">
        <v>1100</v>
      </c>
      <c r="D992" s="7">
        <v>2400</v>
      </c>
      <c r="E992" s="1">
        <f>1993</f>
        <v>1993</v>
      </c>
      <c r="H992" s="1" t="s">
        <v>407</v>
      </c>
      <c r="I992" s="8">
        <v>43486</v>
      </c>
      <c r="J992" s="16" t="s">
        <v>266</v>
      </c>
      <c r="K992" s="1" t="s">
        <v>405</v>
      </c>
      <c r="L992" s="10">
        <v>1</v>
      </c>
      <c r="M992" s="10">
        <f t="shared" si="116"/>
        <v>1100</v>
      </c>
      <c r="N992" s="29">
        <f t="shared" si="115"/>
        <v>2.1764705882352939</v>
      </c>
    </row>
    <row r="993" spans="1:14" s="96" customFormat="1" ht="15" hidden="1" customHeight="1" x14ac:dyDescent="0.2">
      <c r="A993" s="90" t="s">
        <v>299</v>
      </c>
      <c r="B993" s="91" t="s">
        <v>39</v>
      </c>
      <c r="C993" s="91">
        <v>920</v>
      </c>
      <c r="D993" s="92">
        <v>1550</v>
      </c>
      <c r="E993" s="90">
        <f>1595.1</f>
        <v>1595.1</v>
      </c>
      <c r="F993" s="90" t="s">
        <v>8</v>
      </c>
      <c r="G993" s="93" t="s">
        <v>146</v>
      </c>
      <c r="H993" s="90" t="s">
        <v>407</v>
      </c>
      <c r="I993" s="94">
        <v>43486</v>
      </c>
      <c r="J993" s="90" t="s">
        <v>266</v>
      </c>
      <c r="K993" s="90" t="s">
        <v>405</v>
      </c>
      <c r="L993" s="90">
        <v>1</v>
      </c>
      <c r="M993" s="90">
        <f t="shared" si="116"/>
        <v>920</v>
      </c>
      <c r="N993" s="95">
        <f t="shared" si="115"/>
        <v>-0.2883631713554981</v>
      </c>
    </row>
    <row r="994" spans="1:14" s="96" customFormat="1" ht="15" hidden="1" customHeight="1" x14ac:dyDescent="0.2">
      <c r="A994" s="90" t="s">
        <v>299</v>
      </c>
      <c r="B994" s="91" t="s">
        <v>39</v>
      </c>
      <c r="C994" s="91">
        <v>1010</v>
      </c>
      <c r="D994" s="92">
        <v>1000</v>
      </c>
      <c r="E994" s="90">
        <f>211.6+836.6</f>
        <v>1048.2</v>
      </c>
      <c r="F994" s="90" t="s">
        <v>8</v>
      </c>
      <c r="G994" s="93" t="s">
        <v>146</v>
      </c>
      <c r="H994" s="90" t="s">
        <v>407</v>
      </c>
      <c r="I994" s="94">
        <v>43486</v>
      </c>
      <c r="J994" s="90" t="s">
        <v>266</v>
      </c>
      <c r="K994" s="90" t="s">
        <v>405</v>
      </c>
      <c r="L994" s="90">
        <v>1</v>
      </c>
      <c r="M994" s="90">
        <f t="shared" si="116"/>
        <v>1010</v>
      </c>
      <c r="N994" s="95">
        <f t="shared" si="115"/>
        <v>-0.28072218986604569</v>
      </c>
    </row>
    <row r="995" spans="1:14" s="96" customFormat="1" ht="15" hidden="1" customHeight="1" x14ac:dyDescent="0.2">
      <c r="A995" s="90" t="s">
        <v>299</v>
      </c>
      <c r="B995" s="91" t="s">
        <v>39</v>
      </c>
      <c r="C995" s="91">
        <v>1140</v>
      </c>
      <c r="D995" s="92">
        <v>1500</v>
      </c>
      <c r="E995" s="90">
        <f>1223.8+243.4</f>
        <v>1467.2</v>
      </c>
      <c r="F995" s="90" t="s">
        <v>8</v>
      </c>
      <c r="G995" s="93" t="s">
        <v>146</v>
      </c>
      <c r="H995" s="90" t="s">
        <v>407</v>
      </c>
      <c r="I995" s="94">
        <v>43486</v>
      </c>
      <c r="J995" s="90" t="s">
        <v>266</v>
      </c>
      <c r="K995" s="90" t="s">
        <v>405</v>
      </c>
      <c r="L995" s="90">
        <v>1</v>
      </c>
      <c r="M995" s="90">
        <f t="shared" si="116"/>
        <v>1140</v>
      </c>
      <c r="N995" s="95">
        <f t="shared" si="115"/>
        <v>0.16924664602683154</v>
      </c>
    </row>
    <row r="996" spans="1:14" ht="15" hidden="1" customHeight="1" x14ac:dyDescent="0.2">
      <c r="A996" s="1" t="s">
        <v>299</v>
      </c>
      <c r="B996" s="2" t="s">
        <v>37</v>
      </c>
      <c r="C996" s="2">
        <v>1010</v>
      </c>
      <c r="D996" s="7">
        <v>6450</v>
      </c>
      <c r="E996" s="1">
        <f>232.2+1099.4+1248.8</f>
        <v>2580.4</v>
      </c>
      <c r="G996" s="41">
        <v>1</v>
      </c>
      <c r="H996" s="1" t="s">
        <v>407</v>
      </c>
      <c r="I996" s="8">
        <v>43486</v>
      </c>
      <c r="J996" s="16" t="s">
        <v>266</v>
      </c>
      <c r="K996" s="1" t="s">
        <v>405</v>
      </c>
      <c r="L996" s="3">
        <v>1</v>
      </c>
      <c r="M996" s="10">
        <f t="shared" si="116"/>
        <v>1010</v>
      </c>
      <c r="N996" s="29">
        <f t="shared" si="115"/>
        <v>22.53698311007571</v>
      </c>
    </row>
    <row r="997" spans="1:14" ht="15" hidden="1" customHeight="1" x14ac:dyDescent="0.2">
      <c r="A997" s="1" t="s">
        <v>299</v>
      </c>
      <c r="B997" s="2" t="s">
        <v>37</v>
      </c>
      <c r="C997" s="2">
        <v>1140</v>
      </c>
      <c r="D997" s="7">
        <v>350</v>
      </c>
      <c r="G997" s="41">
        <v>1</v>
      </c>
      <c r="H997" s="1" t="s">
        <v>407</v>
      </c>
      <c r="I997" s="8">
        <v>43486</v>
      </c>
      <c r="J997" s="16" t="s">
        <v>266</v>
      </c>
      <c r="K997" s="1" t="s">
        <v>405</v>
      </c>
      <c r="L997" s="3">
        <v>1</v>
      </c>
      <c r="M997" s="10">
        <f t="shared" si="116"/>
        <v>1140</v>
      </c>
      <c r="N997" s="29">
        <f t="shared" si="115"/>
        <v>1.805985552115583</v>
      </c>
    </row>
    <row r="998" spans="1:14" ht="15" hidden="1" customHeight="1" x14ac:dyDescent="0.2">
      <c r="A998" s="1" t="s">
        <v>299</v>
      </c>
      <c r="B998" s="2" t="s">
        <v>37</v>
      </c>
      <c r="C998" s="2">
        <v>1160</v>
      </c>
      <c r="D998" s="61">
        <f>13850-9100</f>
        <v>4750</v>
      </c>
      <c r="E998" s="1">
        <f>2153.4</f>
        <v>2153.4</v>
      </c>
      <c r="G998" s="41">
        <v>1</v>
      </c>
      <c r="H998" s="1" t="s">
        <v>407</v>
      </c>
      <c r="I998" s="8">
        <v>43486</v>
      </c>
      <c r="J998" s="16" t="s">
        <v>266</v>
      </c>
      <c r="K998" s="1" t="s">
        <v>405</v>
      </c>
      <c r="L998" s="3">
        <v>1</v>
      </c>
      <c r="M998" s="10">
        <f t="shared" si="116"/>
        <v>1160</v>
      </c>
      <c r="N998" s="29">
        <f t="shared" si="115"/>
        <v>13.16734279918864</v>
      </c>
    </row>
    <row r="999" spans="1:14" ht="15" hidden="1" customHeight="1" x14ac:dyDescent="0.2">
      <c r="A999" s="1" t="s">
        <v>299</v>
      </c>
      <c r="B999" s="2" t="s">
        <v>37</v>
      </c>
      <c r="C999" s="2">
        <v>1250</v>
      </c>
      <c r="D999" s="7">
        <v>2600</v>
      </c>
      <c r="E999" s="1">
        <f>2033.6</f>
        <v>2033.6</v>
      </c>
      <c r="G999" s="41">
        <v>1</v>
      </c>
      <c r="H999" s="1" t="s">
        <v>407</v>
      </c>
      <c r="I999" s="8">
        <v>43486</v>
      </c>
      <c r="J999" s="16" t="s">
        <v>266</v>
      </c>
      <c r="K999" s="1" t="s">
        <v>405</v>
      </c>
      <c r="L999" s="3">
        <v>1</v>
      </c>
      <c r="M999" s="10">
        <f t="shared" si="116"/>
        <v>1250</v>
      </c>
      <c r="N999" s="29">
        <f t="shared" si="115"/>
        <v>2.6654117647058824</v>
      </c>
    </row>
    <row r="1000" spans="1:14" s="96" customFormat="1" ht="15" hidden="1" customHeight="1" x14ac:dyDescent="0.2">
      <c r="A1000" s="90" t="s">
        <v>299</v>
      </c>
      <c r="B1000" s="91" t="s">
        <v>37</v>
      </c>
      <c r="C1000" s="91">
        <v>940</v>
      </c>
      <c r="D1000" s="92">
        <v>2750</v>
      </c>
      <c r="E1000" s="90">
        <f>774.4+2023.6</f>
        <v>2798</v>
      </c>
      <c r="F1000" s="90" t="s">
        <v>8</v>
      </c>
      <c r="G1000" s="93" t="s">
        <v>146</v>
      </c>
      <c r="H1000" s="90" t="s">
        <v>407</v>
      </c>
      <c r="I1000" s="94">
        <v>43486</v>
      </c>
      <c r="J1000" s="90" t="s">
        <v>266</v>
      </c>
      <c r="K1000" s="90" t="s">
        <v>406</v>
      </c>
      <c r="L1000" s="90">
        <v>1</v>
      </c>
      <c r="M1000" s="90">
        <f t="shared" si="116"/>
        <v>940</v>
      </c>
      <c r="N1000" s="95">
        <f t="shared" si="115"/>
        <v>-0.30037546933667081</v>
      </c>
    </row>
    <row r="1001" spans="1:14" s="96" customFormat="1" ht="15" hidden="1" customHeight="1" x14ac:dyDescent="0.2">
      <c r="A1001" s="90" t="s">
        <v>299</v>
      </c>
      <c r="B1001" s="91" t="s">
        <v>37</v>
      </c>
      <c r="C1001" s="91">
        <v>1060</v>
      </c>
      <c r="D1001" s="92">
        <v>650</v>
      </c>
      <c r="E1001" s="90">
        <f>215.6+432.7</f>
        <v>648.29999999999995</v>
      </c>
      <c r="F1001" s="90" t="s">
        <v>8</v>
      </c>
      <c r="G1001" s="93" t="s">
        <v>146</v>
      </c>
      <c r="H1001" s="90" t="s">
        <v>407</v>
      </c>
      <c r="I1001" s="94">
        <v>43486</v>
      </c>
      <c r="J1001" s="90" t="s">
        <v>266</v>
      </c>
      <c r="K1001" s="90" t="s">
        <v>406</v>
      </c>
      <c r="L1001" s="90">
        <v>1</v>
      </c>
      <c r="M1001" s="90">
        <f t="shared" si="116"/>
        <v>1060</v>
      </c>
      <c r="N1001" s="95">
        <f t="shared" si="115"/>
        <v>9.4339622641511946E-3</v>
      </c>
    </row>
    <row r="1002" spans="1:14" s="104" customFormat="1" ht="15" hidden="1" customHeight="1" x14ac:dyDescent="0.2">
      <c r="A1002" s="98" t="s">
        <v>362</v>
      </c>
      <c r="B1002" s="99" t="s">
        <v>40</v>
      </c>
      <c r="C1002" s="99">
        <v>600</v>
      </c>
      <c r="D1002" s="100">
        <v>600</v>
      </c>
      <c r="E1002" s="98">
        <f>254.5</f>
        <v>254.5</v>
      </c>
      <c r="F1002" s="98"/>
      <c r="G1002" s="101"/>
      <c r="H1002" s="98"/>
      <c r="I1002" s="98"/>
      <c r="J1002" s="98" t="s">
        <v>408</v>
      </c>
      <c r="K1002" s="98"/>
      <c r="L1002" s="98">
        <v>2</v>
      </c>
      <c r="M1002" s="98">
        <f t="shared" ref="M1002:M1020" si="117">L1002*C1002</f>
        <v>1200</v>
      </c>
      <c r="N1002" s="103">
        <f>(D1002-E1002)/(M1002*0.17)</f>
        <v>1.6936274509803919</v>
      </c>
    </row>
    <row r="1003" spans="1:14" ht="15" hidden="1" customHeight="1" x14ac:dyDescent="0.2">
      <c r="A1003" s="1" t="s">
        <v>362</v>
      </c>
      <c r="B1003" s="2" t="s">
        <v>40</v>
      </c>
      <c r="C1003" s="2">
        <v>900</v>
      </c>
      <c r="D1003" s="7">
        <v>1000</v>
      </c>
      <c r="E1003" s="1">
        <f>1635.4</f>
        <v>1635.4</v>
      </c>
      <c r="F1003" s="1" t="s">
        <v>8</v>
      </c>
      <c r="J1003" s="16" t="s">
        <v>408</v>
      </c>
      <c r="L1003" s="10">
        <v>1</v>
      </c>
      <c r="M1003" s="10">
        <f t="shared" si="117"/>
        <v>900</v>
      </c>
      <c r="N1003" s="29">
        <f>(D1003-E1003)/(M1003*0.17)</f>
        <v>-4.1529411764705886</v>
      </c>
    </row>
    <row r="1004" spans="1:14" ht="15" hidden="1" customHeight="1" x14ac:dyDescent="0.2">
      <c r="A1004" s="1" t="s">
        <v>362</v>
      </c>
      <c r="B1004" s="2" t="s">
        <v>40</v>
      </c>
      <c r="C1004" s="2">
        <v>940</v>
      </c>
      <c r="D1004" s="7">
        <v>1100</v>
      </c>
      <c r="E1004" s="1">
        <f>1709.2</f>
        <v>1709.2</v>
      </c>
      <c r="F1004" s="1" t="s">
        <v>8</v>
      </c>
      <c r="J1004" s="16" t="s">
        <v>408</v>
      </c>
      <c r="L1004" s="10">
        <v>1</v>
      </c>
      <c r="M1004" s="10">
        <f t="shared" si="117"/>
        <v>940</v>
      </c>
      <c r="N1004" s="29">
        <f>(D1004-E1004)/(M1004*0.17)</f>
        <v>-3.8122653316645807</v>
      </c>
    </row>
    <row r="1005" spans="1:14" s="138" customFormat="1" ht="15" hidden="1" customHeight="1" x14ac:dyDescent="0.2">
      <c r="A1005" s="134" t="s">
        <v>409</v>
      </c>
      <c r="B1005" s="107" t="s">
        <v>37</v>
      </c>
      <c r="C1005" s="107">
        <v>760</v>
      </c>
      <c r="D1005" s="108">
        <v>600</v>
      </c>
      <c r="E1005" s="134">
        <f>628.1</f>
        <v>628.1</v>
      </c>
      <c r="F1005" s="134" t="s">
        <v>8</v>
      </c>
      <c r="G1005" s="135"/>
      <c r="H1005" s="134"/>
      <c r="I1005" s="136">
        <v>43486</v>
      </c>
      <c r="J1005" s="134" t="s">
        <v>133</v>
      </c>
      <c r="K1005" s="134"/>
      <c r="L1005" s="134">
        <v>1</v>
      </c>
      <c r="M1005" s="134">
        <f>L1005*C1005</f>
        <v>760</v>
      </c>
      <c r="N1005" s="137">
        <f t="shared" ref="N1005" si="118">(D1005-E1005)/(M1005*0.17)</f>
        <v>-0.21749226006191966</v>
      </c>
    </row>
    <row r="1006" spans="1:14" s="52" customFormat="1" ht="15" hidden="1" customHeight="1" x14ac:dyDescent="0.2">
      <c r="A1006" s="46" t="s">
        <v>410</v>
      </c>
      <c r="B1006" s="47" t="s">
        <v>38</v>
      </c>
      <c r="C1006" s="54">
        <v>400</v>
      </c>
      <c r="D1006" s="48">
        <v>200</v>
      </c>
      <c r="E1006" s="46">
        <f>217.2</f>
        <v>217.2</v>
      </c>
      <c r="F1006" s="46" t="s">
        <v>8</v>
      </c>
      <c r="G1006" s="49">
        <v>1</v>
      </c>
      <c r="H1006" s="46" t="s">
        <v>35</v>
      </c>
      <c r="I1006" s="50">
        <v>43486</v>
      </c>
      <c r="J1006" s="46" t="s">
        <v>411</v>
      </c>
      <c r="K1006" s="46"/>
      <c r="L1006" s="46">
        <v>3</v>
      </c>
      <c r="M1006" s="46">
        <f t="shared" si="117"/>
        <v>1200</v>
      </c>
      <c r="N1006" s="51">
        <f t="shared" ref="N1006" si="119">(D1006-E1006)/(M1006*0.17)</f>
        <v>-8.4313725490196015E-2</v>
      </c>
    </row>
    <row r="1007" spans="1:14" s="96" customFormat="1" ht="15" hidden="1" customHeight="1" x14ac:dyDescent="0.2">
      <c r="A1007" s="90" t="s">
        <v>412</v>
      </c>
      <c r="B1007" s="91" t="s">
        <v>39</v>
      </c>
      <c r="C1007" s="91">
        <v>600</v>
      </c>
      <c r="D1007" s="92">
        <v>300</v>
      </c>
      <c r="E1007" s="90">
        <f>315</f>
        <v>315</v>
      </c>
      <c r="F1007" s="90" t="s">
        <v>8</v>
      </c>
      <c r="G1007" s="93" t="s">
        <v>146</v>
      </c>
      <c r="H1007" s="90"/>
      <c r="I1007" s="94">
        <v>43486</v>
      </c>
      <c r="J1007" s="90" t="s">
        <v>189</v>
      </c>
      <c r="K1007" s="90"/>
      <c r="L1007" s="90">
        <v>2</v>
      </c>
      <c r="M1007" s="90">
        <f t="shared" si="117"/>
        <v>1200</v>
      </c>
      <c r="N1007" s="95">
        <f>(D1007-E1007)/(M1007*0.17)</f>
        <v>-7.3529411764705871E-2</v>
      </c>
    </row>
    <row r="1008" spans="1:14" s="52" customFormat="1" ht="15" hidden="1" customHeight="1" x14ac:dyDescent="0.2">
      <c r="A1008" s="46" t="s">
        <v>413</v>
      </c>
      <c r="B1008" s="47" t="s">
        <v>36</v>
      </c>
      <c r="C1008" s="54">
        <v>360</v>
      </c>
      <c r="D1008" s="48">
        <v>2000</v>
      </c>
      <c r="E1008" s="46">
        <f>1984.4</f>
        <v>1984.4</v>
      </c>
      <c r="F1008" s="46" t="s">
        <v>8</v>
      </c>
      <c r="G1008" s="49" t="s">
        <v>146</v>
      </c>
      <c r="H1008" s="46">
        <v>300</v>
      </c>
      <c r="I1008" s="50">
        <v>43486</v>
      </c>
      <c r="J1008" s="46" t="s">
        <v>414</v>
      </c>
      <c r="K1008" s="46"/>
      <c r="L1008" s="46">
        <v>3</v>
      </c>
      <c r="M1008" s="46">
        <f t="shared" si="117"/>
        <v>1080</v>
      </c>
      <c r="N1008" s="51">
        <f t="shared" ref="N1008" si="120">(D1008-E1008)/(M1008*0.17)</f>
        <v>8.4967320261437398E-2</v>
      </c>
    </row>
    <row r="1009" spans="1:14" s="96" customFormat="1" ht="15" hidden="1" customHeight="1" x14ac:dyDescent="0.2">
      <c r="A1009" s="90" t="s">
        <v>416</v>
      </c>
      <c r="B1009" s="91" t="s">
        <v>39</v>
      </c>
      <c r="C1009" s="91">
        <v>1050</v>
      </c>
      <c r="D1009" s="92">
        <v>3000</v>
      </c>
      <c r="E1009" s="90">
        <f>465.8+1424+1245.2</f>
        <v>3135</v>
      </c>
      <c r="F1009" s="90" t="s">
        <v>8</v>
      </c>
      <c r="G1009" s="93" t="s">
        <v>146</v>
      </c>
      <c r="H1009" s="90" t="s">
        <v>28</v>
      </c>
      <c r="I1009" s="94">
        <v>43487</v>
      </c>
      <c r="J1009" s="90" t="s">
        <v>57</v>
      </c>
      <c r="K1009" s="90"/>
      <c r="L1009" s="90">
        <v>1</v>
      </c>
      <c r="M1009" s="90">
        <f t="shared" si="117"/>
        <v>1050</v>
      </c>
      <c r="N1009" s="29">
        <f t="shared" ref="N1009:N1016" si="121">(D1009-E1009)/(M1009*0.17)</f>
        <v>-0.75630252100840334</v>
      </c>
    </row>
    <row r="1010" spans="1:14" s="96" customFormat="1" ht="15" hidden="1" customHeight="1" x14ac:dyDescent="0.2">
      <c r="A1010" s="90" t="s">
        <v>416</v>
      </c>
      <c r="B1010" s="91" t="s">
        <v>39</v>
      </c>
      <c r="C1010" s="91">
        <v>900</v>
      </c>
      <c r="D1010" s="92">
        <v>3000</v>
      </c>
      <c r="E1010" s="90">
        <f>1089+1282.7+726.3</f>
        <v>3098</v>
      </c>
      <c r="F1010" s="90" t="s">
        <v>8</v>
      </c>
      <c r="G1010" s="93" t="s">
        <v>146</v>
      </c>
      <c r="H1010" s="90" t="s">
        <v>28</v>
      </c>
      <c r="I1010" s="94">
        <v>43487</v>
      </c>
      <c r="J1010" s="90" t="s">
        <v>57</v>
      </c>
      <c r="K1010" s="90"/>
      <c r="L1010" s="90">
        <v>1</v>
      </c>
      <c r="M1010" s="90">
        <f t="shared" si="117"/>
        <v>900</v>
      </c>
      <c r="N1010" s="29">
        <f t="shared" si="121"/>
        <v>-0.64052287581699341</v>
      </c>
    </row>
    <row r="1011" spans="1:14" s="52" customFormat="1" ht="15" hidden="1" customHeight="1" x14ac:dyDescent="0.2">
      <c r="A1011" s="46" t="s">
        <v>416</v>
      </c>
      <c r="B1011" s="47" t="s">
        <v>39</v>
      </c>
      <c r="C1011" s="47">
        <v>1000</v>
      </c>
      <c r="D1011" s="48">
        <v>3000</v>
      </c>
      <c r="E1011" s="46">
        <f>439+1764.7+834.2</f>
        <v>3037.8999999999996</v>
      </c>
      <c r="F1011" s="46" t="s">
        <v>8</v>
      </c>
      <c r="G1011" s="49" t="s">
        <v>146</v>
      </c>
      <c r="H1011" s="46" t="s">
        <v>28</v>
      </c>
      <c r="I1011" s="50">
        <v>43487</v>
      </c>
      <c r="J1011" s="46" t="s">
        <v>57</v>
      </c>
      <c r="K1011" s="46"/>
      <c r="L1011" s="46">
        <v>1</v>
      </c>
      <c r="M1011" s="46">
        <f t="shared" si="117"/>
        <v>1000</v>
      </c>
      <c r="N1011" s="51">
        <f t="shared" si="121"/>
        <v>-0.22294117647058609</v>
      </c>
    </row>
    <row r="1012" spans="1:14" s="96" customFormat="1" ht="15" hidden="1" customHeight="1" x14ac:dyDescent="0.2">
      <c r="A1012" s="90" t="s">
        <v>416</v>
      </c>
      <c r="B1012" s="91" t="s">
        <v>39</v>
      </c>
      <c r="C1012" s="91">
        <v>1200</v>
      </c>
      <c r="D1012" s="92">
        <v>4000</v>
      </c>
      <c r="E1012" s="90">
        <f>1642.3+2433.3</f>
        <v>4075.6000000000004</v>
      </c>
      <c r="F1012" s="90" t="s">
        <v>8</v>
      </c>
      <c r="G1012" s="93" t="s">
        <v>146</v>
      </c>
      <c r="H1012" s="90" t="s">
        <v>28</v>
      </c>
      <c r="I1012" s="94">
        <v>43487</v>
      </c>
      <c r="J1012" s="90" t="s">
        <v>57</v>
      </c>
      <c r="K1012" s="90"/>
      <c r="L1012" s="90">
        <v>1</v>
      </c>
      <c r="M1012" s="90">
        <f t="shared" si="117"/>
        <v>1200</v>
      </c>
      <c r="N1012" s="95">
        <f t="shared" si="121"/>
        <v>-0.37058823529411938</v>
      </c>
    </row>
    <row r="1013" spans="1:14" s="60" customFormat="1" ht="15" hidden="1" customHeight="1" x14ac:dyDescent="0.2">
      <c r="A1013" s="55" t="s">
        <v>416</v>
      </c>
      <c r="B1013" s="54" t="s">
        <v>39</v>
      </c>
      <c r="C1013" s="54">
        <v>1140</v>
      </c>
      <c r="D1013" s="56">
        <v>3000</v>
      </c>
      <c r="E1013" s="55">
        <f>2021.4+1011.8</f>
        <v>3033.2</v>
      </c>
      <c r="F1013" s="55" t="s">
        <v>8</v>
      </c>
      <c r="G1013" s="57" t="s">
        <v>146</v>
      </c>
      <c r="H1013" s="55" t="s">
        <v>28</v>
      </c>
      <c r="I1013" s="58">
        <v>43487</v>
      </c>
      <c r="J1013" s="55" t="s">
        <v>57</v>
      </c>
      <c r="K1013" s="55"/>
      <c r="L1013" s="55">
        <v>1</v>
      </c>
      <c r="M1013" s="55">
        <f t="shared" si="117"/>
        <v>1140</v>
      </c>
      <c r="N1013" s="59">
        <f t="shared" si="121"/>
        <v>-0.17131062951496293</v>
      </c>
    </row>
    <row r="1014" spans="1:14" s="96" customFormat="1" ht="15" hidden="1" customHeight="1" x14ac:dyDescent="0.2">
      <c r="A1014" s="90" t="s">
        <v>416</v>
      </c>
      <c r="B1014" s="91" t="s">
        <v>39</v>
      </c>
      <c r="C1014" s="91">
        <v>1290</v>
      </c>
      <c r="D1014" s="92">
        <v>3000</v>
      </c>
      <c r="E1014" s="90">
        <f>1549.8+1545.9</f>
        <v>3095.7</v>
      </c>
      <c r="F1014" s="90" t="s">
        <v>8</v>
      </c>
      <c r="G1014" s="93" t="s">
        <v>146</v>
      </c>
      <c r="H1014" s="90" t="s">
        <v>28</v>
      </c>
      <c r="I1014" s="94">
        <v>43487</v>
      </c>
      <c r="J1014" s="90" t="s">
        <v>57</v>
      </c>
      <c r="K1014" s="90"/>
      <c r="L1014" s="90">
        <v>1</v>
      </c>
      <c r="M1014" s="10">
        <f t="shared" si="117"/>
        <v>1290</v>
      </c>
      <c r="N1014" s="29">
        <f t="shared" si="121"/>
        <v>-0.43638850889192804</v>
      </c>
    </row>
    <row r="1015" spans="1:14" s="60" customFormat="1" ht="15" hidden="1" customHeight="1" x14ac:dyDescent="0.2">
      <c r="A1015" s="55" t="s">
        <v>417</v>
      </c>
      <c r="B1015" s="54" t="s">
        <v>39</v>
      </c>
      <c r="C1015" s="54">
        <v>1160</v>
      </c>
      <c r="D1015" s="56">
        <v>300</v>
      </c>
      <c r="E1015" s="55">
        <f>281.7</f>
        <v>281.7</v>
      </c>
      <c r="F1015" s="55" t="s">
        <v>8</v>
      </c>
      <c r="G1015" s="57" t="s">
        <v>146</v>
      </c>
      <c r="H1015" s="55" t="s">
        <v>419</v>
      </c>
      <c r="I1015" s="58">
        <v>43487</v>
      </c>
      <c r="J1015" s="55" t="s">
        <v>13</v>
      </c>
      <c r="K1015" s="55"/>
      <c r="L1015" s="55">
        <v>1</v>
      </c>
      <c r="M1015" s="55">
        <f t="shared" si="117"/>
        <v>1160</v>
      </c>
      <c r="N1015" s="59">
        <f t="shared" si="121"/>
        <v>9.2799188640973682E-2</v>
      </c>
    </row>
    <row r="1016" spans="1:14" s="60" customFormat="1" ht="15" hidden="1" customHeight="1" x14ac:dyDescent="0.2">
      <c r="A1016" s="55" t="s">
        <v>417</v>
      </c>
      <c r="B1016" s="54" t="s">
        <v>39</v>
      </c>
      <c r="C1016" s="54">
        <v>720</v>
      </c>
      <c r="D1016" s="56">
        <v>300</v>
      </c>
      <c r="E1016" s="55">
        <f>346.8</f>
        <v>346.8</v>
      </c>
      <c r="F1016" s="55" t="s">
        <v>8</v>
      </c>
      <c r="G1016" s="57" t="s">
        <v>146</v>
      </c>
      <c r="H1016" s="55" t="s">
        <v>418</v>
      </c>
      <c r="I1016" s="58">
        <v>43487</v>
      </c>
      <c r="J1016" s="55" t="s">
        <v>13</v>
      </c>
      <c r="K1016" s="55"/>
      <c r="L1016" s="55">
        <v>1</v>
      </c>
      <c r="M1016" s="55">
        <f t="shared" si="117"/>
        <v>720</v>
      </c>
      <c r="N1016" s="59">
        <f t="shared" si="121"/>
        <v>-0.38235294117647067</v>
      </c>
    </row>
    <row r="1017" spans="1:14" ht="15" hidden="1" customHeight="1" x14ac:dyDescent="0.2">
      <c r="A1017" s="1" t="s">
        <v>161</v>
      </c>
      <c r="B1017" s="2" t="s">
        <v>38</v>
      </c>
      <c r="C1017" s="2">
        <v>760</v>
      </c>
      <c r="D1017" s="7">
        <v>1000</v>
      </c>
      <c r="E1017" s="1" t="s">
        <v>423</v>
      </c>
      <c r="H1017" s="1" t="s">
        <v>162</v>
      </c>
      <c r="I1017" s="8">
        <v>43487</v>
      </c>
      <c r="J1017" s="16" t="s">
        <v>163</v>
      </c>
      <c r="L1017" s="3">
        <v>1</v>
      </c>
      <c r="M1017" s="10">
        <f t="shared" si="117"/>
        <v>760</v>
      </c>
      <c r="N1017" s="29" t="e">
        <f>(D1017-E1017)/(M1017*0.17)</f>
        <v>#VALUE!</v>
      </c>
    </row>
    <row r="1018" spans="1:14" ht="15" hidden="1" customHeight="1" x14ac:dyDescent="0.2">
      <c r="A1018" s="1" t="s">
        <v>410</v>
      </c>
      <c r="B1018" s="2" t="s">
        <v>36</v>
      </c>
      <c r="C1018" s="54">
        <v>400</v>
      </c>
      <c r="D1018" s="7">
        <v>30</v>
      </c>
      <c r="E1018" s="1">
        <f>30.3</f>
        <v>30.3</v>
      </c>
      <c r="F1018" s="1" t="s">
        <v>8</v>
      </c>
      <c r="G1018" s="41">
        <v>1</v>
      </c>
      <c r="H1018" s="1" t="s">
        <v>420</v>
      </c>
      <c r="I1018" s="8">
        <v>43487</v>
      </c>
      <c r="J1018" s="16" t="s">
        <v>421</v>
      </c>
      <c r="L1018" s="10">
        <v>3</v>
      </c>
      <c r="M1018" s="10">
        <f t="shared" si="117"/>
        <v>1200</v>
      </c>
      <c r="N1018" s="29">
        <f t="shared" ref="N1018:N1020" si="122">(D1018-E1018)/(M1018*0.17)</f>
        <v>-1.4705882352941209E-3</v>
      </c>
    </row>
    <row r="1019" spans="1:14" s="52" customFormat="1" ht="15" hidden="1" customHeight="1" x14ac:dyDescent="0.2">
      <c r="A1019" s="46" t="s">
        <v>410</v>
      </c>
      <c r="B1019" s="47" t="s">
        <v>36</v>
      </c>
      <c r="C1019" s="54">
        <v>500</v>
      </c>
      <c r="D1019" s="48">
        <v>100</v>
      </c>
      <c r="E1019" s="46">
        <f>99.6</f>
        <v>99.6</v>
      </c>
      <c r="F1019" s="46" t="s">
        <v>8</v>
      </c>
      <c r="G1019" s="49" t="s">
        <v>146</v>
      </c>
      <c r="H1019" s="46" t="s">
        <v>420</v>
      </c>
      <c r="I1019" s="50">
        <v>43487</v>
      </c>
      <c r="J1019" s="46" t="s">
        <v>421</v>
      </c>
      <c r="K1019" s="46"/>
      <c r="L1019" s="46">
        <v>2</v>
      </c>
      <c r="M1019" s="46">
        <f t="shared" si="117"/>
        <v>1000</v>
      </c>
      <c r="N1019" s="51">
        <f t="shared" si="122"/>
        <v>2.3529411764706219E-3</v>
      </c>
    </row>
    <row r="1020" spans="1:14" ht="15" hidden="1" customHeight="1" x14ac:dyDescent="0.2">
      <c r="A1020" s="1" t="s">
        <v>410</v>
      </c>
      <c r="B1020" s="2" t="s">
        <v>36</v>
      </c>
      <c r="C1020" s="54">
        <v>600</v>
      </c>
      <c r="D1020" s="7">
        <v>30</v>
      </c>
      <c r="E1020" s="1">
        <f>40</f>
        <v>40</v>
      </c>
      <c r="F1020" s="1" t="s">
        <v>8</v>
      </c>
      <c r="G1020" s="41">
        <v>1</v>
      </c>
      <c r="H1020" s="1" t="s">
        <v>420</v>
      </c>
      <c r="I1020" s="8">
        <v>43487</v>
      </c>
      <c r="J1020" s="16" t="s">
        <v>421</v>
      </c>
      <c r="L1020" s="10">
        <v>2</v>
      </c>
      <c r="M1020" s="10">
        <f t="shared" si="117"/>
        <v>1200</v>
      </c>
      <c r="N1020" s="29">
        <f t="shared" si="122"/>
        <v>-4.9019607843137247E-2</v>
      </c>
    </row>
    <row r="1021" spans="1:14" s="96" customFormat="1" ht="15" hidden="1" customHeight="1" x14ac:dyDescent="0.2">
      <c r="A1021" s="90" t="s">
        <v>229</v>
      </c>
      <c r="B1021" s="91" t="s">
        <v>39</v>
      </c>
      <c r="C1021" s="73">
        <v>440</v>
      </c>
      <c r="D1021" s="92">
        <v>150</v>
      </c>
      <c r="E1021" s="90">
        <f>200.2</f>
        <v>200.2</v>
      </c>
      <c r="F1021" s="90" t="s">
        <v>8</v>
      </c>
      <c r="G1021" s="93" t="s">
        <v>146</v>
      </c>
      <c r="H1021" s="90" t="s">
        <v>422</v>
      </c>
      <c r="I1021" s="94">
        <v>43487</v>
      </c>
      <c r="J1021" s="90" t="s">
        <v>230</v>
      </c>
      <c r="K1021" s="90"/>
      <c r="L1021" s="90">
        <v>2</v>
      </c>
      <c r="M1021" s="10">
        <f>L1021*C1021</f>
        <v>880</v>
      </c>
      <c r="N1021" s="29">
        <f>(D1021-E1021)/(M1021*0.17)</f>
        <v>-0.33556149732620311</v>
      </c>
    </row>
    <row r="1022" spans="1:14" ht="15" hidden="1" customHeight="1" x14ac:dyDescent="0.2">
      <c r="A1022" s="1" t="s">
        <v>184</v>
      </c>
      <c r="B1022" s="2" t="s">
        <v>38</v>
      </c>
      <c r="C1022" s="2">
        <v>900</v>
      </c>
      <c r="D1022" s="7">
        <v>600</v>
      </c>
      <c r="E1022" s="1">
        <f>801.6</f>
        <v>801.6</v>
      </c>
      <c r="F1022" s="1" t="s">
        <v>8</v>
      </c>
      <c r="G1022" s="41">
        <v>1</v>
      </c>
      <c r="I1022" s="8">
        <v>43488</v>
      </c>
      <c r="J1022" s="16" t="s">
        <v>424</v>
      </c>
      <c r="L1022" s="3">
        <v>1</v>
      </c>
      <c r="M1022" s="10">
        <f t="shared" ref="M1022:M1025" si="123">L1022*C1022</f>
        <v>900</v>
      </c>
      <c r="N1022" s="32">
        <f t="shared" ref="N1022:N1025" si="124">(D1022-E1022)/(M1022*0.17)</f>
        <v>-1.3176470588235296</v>
      </c>
    </row>
    <row r="1023" spans="1:14" ht="15" hidden="1" customHeight="1" x14ac:dyDescent="0.2">
      <c r="A1023" s="1" t="s">
        <v>184</v>
      </c>
      <c r="B1023" s="2" t="s">
        <v>38</v>
      </c>
      <c r="C1023" s="54">
        <v>540</v>
      </c>
      <c r="D1023" s="7">
        <v>1100</v>
      </c>
      <c r="E1023" s="1">
        <f>1162.8</f>
        <v>1162.8</v>
      </c>
      <c r="F1023" s="1" t="s">
        <v>8</v>
      </c>
      <c r="G1023" s="41">
        <v>1</v>
      </c>
      <c r="I1023" s="8">
        <v>43488</v>
      </c>
      <c r="J1023" s="16" t="s">
        <v>424</v>
      </c>
      <c r="L1023" s="3">
        <v>2</v>
      </c>
      <c r="M1023" s="10">
        <f t="shared" si="123"/>
        <v>1080</v>
      </c>
      <c r="N1023" s="32">
        <f t="shared" si="124"/>
        <v>-0.34204793028322411</v>
      </c>
    </row>
    <row r="1024" spans="1:14" s="52" customFormat="1" ht="15" hidden="1" customHeight="1" x14ac:dyDescent="0.2">
      <c r="A1024" s="46" t="s">
        <v>184</v>
      </c>
      <c r="B1024" s="47" t="s">
        <v>38</v>
      </c>
      <c r="C1024" s="54">
        <v>600</v>
      </c>
      <c r="D1024" s="48">
        <v>1100</v>
      </c>
      <c r="E1024" s="46">
        <f>1105.7</f>
        <v>1105.7</v>
      </c>
      <c r="F1024" s="46" t="s">
        <v>8</v>
      </c>
      <c r="G1024" s="49">
        <v>1</v>
      </c>
      <c r="H1024" s="46"/>
      <c r="I1024" s="50">
        <v>43488</v>
      </c>
      <c r="J1024" s="46" t="s">
        <v>424</v>
      </c>
      <c r="K1024" s="46"/>
      <c r="L1024" s="46">
        <v>2</v>
      </c>
      <c r="M1024" s="46">
        <f t="shared" si="123"/>
        <v>1200</v>
      </c>
      <c r="N1024" s="51">
        <f t="shared" si="124"/>
        <v>-2.7941176470588455E-2</v>
      </c>
    </row>
    <row r="1025" spans="1:14" ht="15" hidden="1" customHeight="1" x14ac:dyDescent="0.2">
      <c r="A1025" s="1" t="s">
        <v>425</v>
      </c>
      <c r="B1025" s="2" t="s">
        <v>38</v>
      </c>
      <c r="C1025" s="54">
        <v>700</v>
      </c>
      <c r="D1025" s="7">
        <v>700</v>
      </c>
      <c r="E1025" s="1">
        <f>723.1</f>
        <v>723.1</v>
      </c>
      <c r="F1025" s="1" t="s">
        <v>8</v>
      </c>
      <c r="G1025" s="41">
        <v>1</v>
      </c>
      <c r="H1025" s="1" t="s">
        <v>426</v>
      </c>
      <c r="I1025" s="8">
        <v>43488</v>
      </c>
      <c r="J1025" s="16" t="s">
        <v>34</v>
      </c>
      <c r="L1025" s="3">
        <v>2</v>
      </c>
      <c r="M1025" s="10">
        <f t="shared" si="123"/>
        <v>1400</v>
      </c>
      <c r="N1025" s="32">
        <f t="shared" si="124"/>
        <v>-9.705882352941185E-2</v>
      </c>
    </row>
    <row r="1026" spans="1:14" ht="15" hidden="1" customHeight="1" x14ac:dyDescent="0.2">
      <c r="A1026" s="1" t="s">
        <v>425</v>
      </c>
      <c r="B1026" s="2" t="s">
        <v>36</v>
      </c>
      <c r="C1026" s="54">
        <v>700</v>
      </c>
      <c r="D1026" s="7">
        <v>1000</v>
      </c>
      <c r="E1026" s="1">
        <f>1023.1</f>
        <v>1023.1</v>
      </c>
      <c r="F1026" s="1" t="s">
        <v>8</v>
      </c>
      <c r="G1026" s="41">
        <v>1</v>
      </c>
      <c r="H1026" s="1" t="s">
        <v>426</v>
      </c>
      <c r="I1026" s="8">
        <v>43488</v>
      </c>
      <c r="J1026" s="16" t="s">
        <v>34</v>
      </c>
      <c r="L1026" s="10">
        <v>1</v>
      </c>
      <c r="M1026" s="10">
        <f t="shared" ref="M1026:M1028" si="125">L1026*C1026</f>
        <v>700</v>
      </c>
      <c r="N1026" s="29">
        <f t="shared" ref="N1026:N1028" si="126">(D1026-E1026)/(M1026*0.17)</f>
        <v>-0.1941176470588237</v>
      </c>
    </row>
    <row r="1027" spans="1:14" ht="15" hidden="1" customHeight="1" x14ac:dyDescent="0.2">
      <c r="A1027" s="1" t="s">
        <v>425</v>
      </c>
      <c r="B1027" s="2" t="s">
        <v>36</v>
      </c>
      <c r="C1027" s="54">
        <v>600</v>
      </c>
      <c r="D1027" s="7">
        <v>500</v>
      </c>
      <c r="E1027" s="1">
        <f>512.3</f>
        <v>512.29999999999995</v>
      </c>
      <c r="F1027" s="1" t="s">
        <v>8</v>
      </c>
      <c r="G1027" s="41">
        <v>1</v>
      </c>
      <c r="H1027" s="1" t="s">
        <v>426</v>
      </c>
      <c r="I1027" s="8">
        <v>43488</v>
      </c>
      <c r="J1027" s="16" t="s">
        <v>34</v>
      </c>
      <c r="L1027" s="10">
        <v>2</v>
      </c>
      <c r="M1027" s="10">
        <f t="shared" si="125"/>
        <v>1200</v>
      </c>
      <c r="N1027" s="29">
        <f t="shared" si="126"/>
        <v>-6.0294117647058595E-2</v>
      </c>
    </row>
    <row r="1028" spans="1:14" s="52" customFormat="1" ht="15" hidden="1" customHeight="1" x14ac:dyDescent="0.2">
      <c r="A1028" s="46" t="s">
        <v>427</v>
      </c>
      <c r="B1028" s="47" t="s">
        <v>38</v>
      </c>
      <c r="C1028" s="47">
        <v>740</v>
      </c>
      <c r="D1028" s="48">
        <v>4800</v>
      </c>
      <c r="E1028" s="46">
        <f>2087.7+1380+1424.8</f>
        <v>4892.5</v>
      </c>
      <c r="F1028" s="46" t="s">
        <v>8</v>
      </c>
      <c r="G1028" s="49">
        <v>1</v>
      </c>
      <c r="H1028" s="46"/>
      <c r="I1028" s="50">
        <v>43488</v>
      </c>
      <c r="J1028" s="46" t="s">
        <v>31</v>
      </c>
      <c r="K1028" s="46"/>
      <c r="L1028" s="46">
        <v>1</v>
      </c>
      <c r="M1028" s="46">
        <f t="shared" si="125"/>
        <v>740</v>
      </c>
      <c r="N1028" s="51">
        <f t="shared" si="126"/>
        <v>-0.73529411764705876</v>
      </c>
    </row>
    <row r="1029" spans="1:14" ht="15" hidden="1" customHeight="1" x14ac:dyDescent="0.2">
      <c r="A1029" s="1" t="s">
        <v>428</v>
      </c>
      <c r="B1029" s="2" t="s">
        <v>36</v>
      </c>
      <c r="C1029" s="54">
        <v>245</v>
      </c>
      <c r="D1029" s="7">
        <v>500</v>
      </c>
      <c r="E1029" s="1">
        <f>467.2</f>
        <v>467.2</v>
      </c>
      <c r="F1029" s="1" t="s">
        <v>8</v>
      </c>
      <c r="G1029" s="41">
        <v>1</v>
      </c>
      <c r="I1029" s="8">
        <v>43488</v>
      </c>
      <c r="J1029" s="16" t="s">
        <v>216</v>
      </c>
      <c r="L1029" s="10">
        <v>4</v>
      </c>
      <c r="M1029" s="10">
        <f t="shared" ref="M1029" si="127">L1029*C1029</f>
        <v>980</v>
      </c>
      <c r="N1029" s="29">
        <f t="shared" ref="N1029" si="128">(D1029-E1029)/(M1029*0.17)</f>
        <v>0.19687875150060027</v>
      </c>
    </row>
    <row r="1030" spans="1:14" ht="15" hidden="1" customHeight="1" x14ac:dyDescent="0.2">
      <c r="A1030" s="1" t="s">
        <v>410</v>
      </c>
      <c r="B1030" s="2" t="s">
        <v>38</v>
      </c>
      <c r="C1030" s="2">
        <v>280</v>
      </c>
      <c r="D1030" s="7">
        <v>100</v>
      </c>
      <c r="F1030" s="1" t="s">
        <v>123</v>
      </c>
      <c r="H1030" s="1" t="s">
        <v>35</v>
      </c>
      <c r="I1030" s="8">
        <v>43488</v>
      </c>
      <c r="J1030" s="16" t="s">
        <v>411</v>
      </c>
    </row>
    <row r="1031" spans="1:14" ht="15" hidden="1" customHeight="1" x14ac:dyDescent="0.2">
      <c r="A1031" s="1" t="s">
        <v>206</v>
      </c>
      <c r="B1031" s="2" t="s">
        <v>36</v>
      </c>
      <c r="C1031" s="54">
        <v>840</v>
      </c>
      <c r="D1031" s="11">
        <v>100</v>
      </c>
      <c r="E1031" s="1">
        <f>102.1</f>
        <v>102.1</v>
      </c>
      <c r="F1031" s="1" t="s">
        <v>8</v>
      </c>
      <c r="G1031" s="41">
        <v>1</v>
      </c>
      <c r="I1031" s="8">
        <v>43489</v>
      </c>
      <c r="J1031" s="16" t="s">
        <v>207</v>
      </c>
      <c r="L1031" s="10">
        <v>1</v>
      </c>
      <c r="M1031" s="10">
        <f t="shared" ref="M1031" si="129">L1031*C1031</f>
        <v>840</v>
      </c>
      <c r="N1031" s="29">
        <f t="shared" ref="N1031" si="130">(D1031-E1031)/(M1031*0.17)</f>
        <v>-1.4705882352941135E-2</v>
      </c>
    </row>
    <row r="1032" spans="1:14" ht="15" hidden="1" customHeight="1" x14ac:dyDescent="0.2">
      <c r="A1032" s="1" t="s">
        <v>435</v>
      </c>
      <c r="B1032" s="2" t="s">
        <v>39</v>
      </c>
      <c r="C1032" s="2">
        <v>1200</v>
      </c>
      <c r="D1032" s="7">
        <v>10000</v>
      </c>
      <c r="E1032" s="1">
        <f>1595+6799.6+1718.6</f>
        <v>10113.200000000001</v>
      </c>
      <c r="F1032" s="1" t="s">
        <v>8</v>
      </c>
      <c r="I1032" s="8">
        <v>43489</v>
      </c>
      <c r="J1032" s="16" t="s">
        <v>429</v>
      </c>
      <c r="L1032" s="10">
        <v>1</v>
      </c>
      <c r="M1032" s="10">
        <f>L1032*C1032</f>
        <v>1200</v>
      </c>
      <c r="N1032" s="29">
        <f>(D1032-E1032)/(M1032*0.17)</f>
        <v>-0.55490196078431719</v>
      </c>
    </row>
    <row r="1033" spans="1:14" s="52" customFormat="1" ht="15" hidden="1" customHeight="1" x14ac:dyDescent="0.2">
      <c r="A1033" s="46" t="s">
        <v>435</v>
      </c>
      <c r="B1033" s="47" t="s">
        <v>39</v>
      </c>
      <c r="C1033" s="47">
        <v>660</v>
      </c>
      <c r="D1033" s="48">
        <v>1000</v>
      </c>
      <c r="E1033" s="46">
        <f>291.4+696.7</f>
        <v>988.1</v>
      </c>
      <c r="F1033" s="46" t="s">
        <v>8</v>
      </c>
      <c r="G1033" s="49" t="s">
        <v>146</v>
      </c>
      <c r="H1033" s="46"/>
      <c r="I1033" s="50">
        <v>43489</v>
      </c>
      <c r="J1033" s="46" t="s">
        <v>429</v>
      </c>
      <c r="K1033" s="46"/>
      <c r="L1033" s="46">
        <v>1</v>
      </c>
      <c r="M1033" s="46">
        <f>L1033*C1033</f>
        <v>660</v>
      </c>
      <c r="N1033" s="51">
        <f>(D1033-E1033)/(M1033*0.17)</f>
        <v>0.10606060606060586</v>
      </c>
    </row>
    <row r="1034" spans="1:14" s="52" customFormat="1" ht="15" hidden="1" customHeight="1" x14ac:dyDescent="0.2">
      <c r="A1034" s="46" t="s">
        <v>435</v>
      </c>
      <c r="B1034" s="47" t="s">
        <v>39</v>
      </c>
      <c r="C1034" s="47">
        <v>1080</v>
      </c>
      <c r="D1034" s="48">
        <v>1000</v>
      </c>
      <c r="E1034" s="46">
        <f>962.2</f>
        <v>962.2</v>
      </c>
      <c r="F1034" s="46" t="s">
        <v>8</v>
      </c>
      <c r="G1034" s="49" t="s">
        <v>146</v>
      </c>
      <c r="H1034" s="46"/>
      <c r="I1034" s="50">
        <v>43489</v>
      </c>
      <c r="J1034" s="46" t="s">
        <v>429</v>
      </c>
      <c r="K1034" s="46"/>
      <c r="L1034" s="46">
        <v>1</v>
      </c>
      <c r="M1034" s="46">
        <f>L1034*C1034</f>
        <v>1080</v>
      </c>
      <c r="N1034" s="51">
        <f>(D1034-E1034)/(M1034*0.17)</f>
        <v>0.20588235294117621</v>
      </c>
    </row>
    <row r="1035" spans="1:14" s="52" customFormat="1" ht="15" hidden="1" customHeight="1" x14ac:dyDescent="0.2">
      <c r="A1035" s="46" t="s">
        <v>435</v>
      </c>
      <c r="B1035" s="47" t="s">
        <v>39</v>
      </c>
      <c r="C1035" s="47">
        <v>920</v>
      </c>
      <c r="D1035" s="48">
        <v>800</v>
      </c>
      <c r="E1035" s="46">
        <f>811.1</f>
        <v>811.1</v>
      </c>
      <c r="F1035" s="46" t="s">
        <v>8</v>
      </c>
      <c r="G1035" s="49" t="s">
        <v>146</v>
      </c>
      <c r="H1035" s="46"/>
      <c r="I1035" s="50">
        <v>43489</v>
      </c>
      <c r="J1035" s="46" t="s">
        <v>429</v>
      </c>
      <c r="K1035" s="46"/>
      <c r="L1035" s="46">
        <v>1</v>
      </c>
      <c r="M1035" s="46">
        <f>L1035*C1035</f>
        <v>920</v>
      </c>
      <c r="N1035" s="51">
        <f>(D1035-E1035)/(M1035*0.17)</f>
        <v>-7.0971867007672773E-2</v>
      </c>
    </row>
    <row r="1036" spans="1:14" s="138" customFormat="1" ht="15" hidden="1" customHeight="1" x14ac:dyDescent="0.2">
      <c r="A1036" s="134" t="s">
        <v>435</v>
      </c>
      <c r="B1036" s="107" t="s">
        <v>37</v>
      </c>
      <c r="C1036" s="107">
        <v>700</v>
      </c>
      <c r="D1036" s="108">
        <v>1000</v>
      </c>
      <c r="E1036" s="134">
        <f>307.3+302.6+421.8</f>
        <v>1031.7</v>
      </c>
      <c r="F1036" s="134" t="s">
        <v>8</v>
      </c>
      <c r="G1036" s="135"/>
      <c r="H1036" s="134"/>
      <c r="I1036" s="136">
        <v>43489</v>
      </c>
      <c r="J1036" s="134" t="s">
        <v>429</v>
      </c>
      <c r="K1036" s="134"/>
      <c r="L1036" s="134">
        <v>1</v>
      </c>
      <c r="M1036" s="134">
        <f t="shared" ref="M1036:M1039" si="131">L1036*C1036</f>
        <v>700</v>
      </c>
      <c r="N1036" s="137">
        <f t="shared" ref="N1036:N1039" si="132">(D1036-E1036)/(M1036*0.17)</f>
        <v>-0.26638655462184907</v>
      </c>
    </row>
    <row r="1037" spans="1:14" s="96" customFormat="1" ht="15" hidden="1" customHeight="1" x14ac:dyDescent="0.2">
      <c r="A1037" s="90" t="s">
        <v>435</v>
      </c>
      <c r="B1037" s="91" t="s">
        <v>37</v>
      </c>
      <c r="C1037" s="91">
        <v>1050</v>
      </c>
      <c r="D1037" s="92">
        <v>1000</v>
      </c>
      <c r="E1037" s="90">
        <f>934.4</f>
        <v>934.4</v>
      </c>
      <c r="F1037" s="90" t="s">
        <v>8</v>
      </c>
      <c r="G1037" s="93" t="s">
        <v>146</v>
      </c>
      <c r="H1037" s="90"/>
      <c r="I1037" s="94">
        <v>43489</v>
      </c>
      <c r="J1037" s="90" t="s">
        <v>429</v>
      </c>
      <c r="K1037" s="90"/>
      <c r="L1037" s="90">
        <v>1</v>
      </c>
      <c r="M1037" s="90">
        <f t="shared" si="131"/>
        <v>1050</v>
      </c>
      <c r="N1037" s="95">
        <f t="shared" si="132"/>
        <v>0.36750700280112059</v>
      </c>
    </row>
    <row r="1038" spans="1:14" s="138" customFormat="1" ht="15" hidden="1" customHeight="1" x14ac:dyDescent="0.2">
      <c r="A1038" s="134" t="s">
        <v>435</v>
      </c>
      <c r="B1038" s="107" t="s">
        <v>37</v>
      </c>
      <c r="C1038" s="107">
        <v>740</v>
      </c>
      <c r="D1038" s="108">
        <v>600</v>
      </c>
      <c r="E1038" s="134">
        <v>616.20000000000005</v>
      </c>
      <c r="F1038" s="134" t="s">
        <v>8</v>
      </c>
      <c r="G1038" s="135"/>
      <c r="H1038" s="134"/>
      <c r="I1038" s="136">
        <v>43489</v>
      </c>
      <c r="J1038" s="134" t="s">
        <v>429</v>
      </c>
      <c r="K1038" s="134"/>
      <c r="L1038" s="134">
        <v>1</v>
      </c>
      <c r="M1038" s="134">
        <f t="shared" si="131"/>
        <v>740</v>
      </c>
      <c r="N1038" s="137">
        <f t="shared" si="132"/>
        <v>-0.12877583465818795</v>
      </c>
    </row>
    <row r="1039" spans="1:14" ht="15" hidden="1" customHeight="1" x14ac:dyDescent="0.2">
      <c r="A1039" s="1" t="s">
        <v>435</v>
      </c>
      <c r="B1039" s="2" t="s">
        <v>37</v>
      </c>
      <c r="C1039" s="2">
        <v>800</v>
      </c>
      <c r="D1039" s="7">
        <v>1000</v>
      </c>
      <c r="E1039" s="90">
        <f>186.1+720+143.2</f>
        <v>1049.3</v>
      </c>
      <c r="F1039" s="1" t="s">
        <v>8</v>
      </c>
      <c r="G1039" s="41">
        <v>1</v>
      </c>
      <c r="I1039" s="8">
        <v>43489</v>
      </c>
      <c r="J1039" s="16" t="s">
        <v>429</v>
      </c>
      <c r="L1039" s="3">
        <v>1</v>
      </c>
      <c r="M1039" s="10">
        <f t="shared" si="131"/>
        <v>800</v>
      </c>
      <c r="N1039" s="29">
        <f t="shared" si="132"/>
        <v>-0.36249999999999966</v>
      </c>
    </row>
    <row r="1040" spans="1:14" ht="15" hidden="1" customHeight="1" x14ac:dyDescent="0.2">
      <c r="A1040" s="1" t="s">
        <v>435</v>
      </c>
      <c r="B1040" s="2" t="s">
        <v>39</v>
      </c>
      <c r="C1040" s="2">
        <v>800</v>
      </c>
      <c r="D1040" s="7">
        <v>1000</v>
      </c>
      <c r="E1040" s="1">
        <f>823.3+192.4</f>
        <v>1015.6999999999999</v>
      </c>
      <c r="F1040" s="1" t="s">
        <v>8</v>
      </c>
      <c r="I1040" s="8">
        <v>43489</v>
      </c>
      <c r="J1040" s="16" t="s">
        <v>430</v>
      </c>
      <c r="L1040" s="10">
        <v>1</v>
      </c>
      <c r="M1040" s="10">
        <f t="shared" ref="M1040:M1044" si="133">L1040*C1040</f>
        <v>800</v>
      </c>
      <c r="N1040" s="29">
        <f t="shared" ref="N1040:N1044" si="134">(D1040-E1040)/(M1040*0.17)</f>
        <v>-0.11544117647058773</v>
      </c>
    </row>
    <row r="1041" spans="1:14" s="52" customFormat="1" ht="15" hidden="1" customHeight="1" x14ac:dyDescent="0.2">
      <c r="A1041" s="46" t="s">
        <v>435</v>
      </c>
      <c r="B1041" s="47" t="s">
        <v>39</v>
      </c>
      <c r="C1041" s="47">
        <v>1120</v>
      </c>
      <c r="D1041" s="48">
        <v>600</v>
      </c>
      <c r="E1041" s="46">
        <f>615.8</f>
        <v>615.79999999999995</v>
      </c>
      <c r="F1041" s="46" t="s">
        <v>8</v>
      </c>
      <c r="G1041" s="49"/>
      <c r="H1041" s="46"/>
      <c r="I1041" s="50">
        <v>43489</v>
      </c>
      <c r="J1041" s="46" t="s">
        <v>430</v>
      </c>
      <c r="K1041" s="46"/>
      <c r="L1041" s="46">
        <v>1</v>
      </c>
      <c r="M1041" s="46">
        <f t="shared" si="133"/>
        <v>1120</v>
      </c>
      <c r="N1041" s="51">
        <f t="shared" si="134"/>
        <v>-8.2983193277310685E-2</v>
      </c>
    </row>
    <row r="1042" spans="1:14" ht="15" hidden="1" customHeight="1" x14ac:dyDescent="0.2">
      <c r="A1042" s="1" t="s">
        <v>238</v>
      </c>
      <c r="B1042" s="2" t="s">
        <v>40</v>
      </c>
      <c r="C1042" s="2">
        <v>240</v>
      </c>
      <c r="D1042" s="7">
        <v>1000</v>
      </c>
      <c r="I1042" s="8">
        <v>43489</v>
      </c>
      <c r="J1042" s="16" t="s">
        <v>431</v>
      </c>
      <c r="M1042" s="10">
        <f t="shared" si="133"/>
        <v>0</v>
      </c>
      <c r="N1042" s="29" t="e">
        <f t="shared" si="134"/>
        <v>#DIV/0!</v>
      </c>
    </row>
    <row r="1043" spans="1:14" ht="15" hidden="1" customHeight="1" x14ac:dyDescent="0.2">
      <c r="A1043" s="1" t="s">
        <v>432</v>
      </c>
      <c r="B1043" s="2" t="s">
        <v>38</v>
      </c>
      <c r="C1043" s="54">
        <v>350</v>
      </c>
      <c r="D1043" s="7">
        <v>200</v>
      </c>
      <c r="E1043" s="1">
        <f>268.8</f>
        <v>268.8</v>
      </c>
      <c r="F1043" s="1" t="s">
        <v>8</v>
      </c>
      <c r="G1043" s="41">
        <v>1</v>
      </c>
      <c r="I1043" s="8">
        <v>43489</v>
      </c>
      <c r="J1043" s="16" t="s">
        <v>433</v>
      </c>
      <c r="L1043" s="3">
        <v>4</v>
      </c>
      <c r="M1043" s="10">
        <f t="shared" si="133"/>
        <v>1400</v>
      </c>
      <c r="N1043" s="32">
        <f t="shared" si="134"/>
        <v>-0.28907563025210087</v>
      </c>
    </row>
    <row r="1044" spans="1:14" ht="15" hidden="1" customHeight="1" x14ac:dyDescent="0.2">
      <c r="A1044" s="1" t="s">
        <v>432</v>
      </c>
      <c r="B1044" s="2" t="s">
        <v>38</v>
      </c>
      <c r="C1044" s="54">
        <v>440</v>
      </c>
      <c r="D1044" s="7">
        <v>2000</v>
      </c>
      <c r="E1044" s="1">
        <f>2052.9</f>
        <v>2052.9</v>
      </c>
      <c r="F1044" s="1" t="s">
        <v>8</v>
      </c>
      <c r="G1044" s="41">
        <v>1</v>
      </c>
      <c r="I1044" s="8">
        <v>43489</v>
      </c>
      <c r="J1044" s="16" t="s">
        <v>433</v>
      </c>
      <c r="L1044" s="3">
        <v>3</v>
      </c>
      <c r="M1044" s="10">
        <f t="shared" si="133"/>
        <v>1320</v>
      </c>
      <c r="N1044" s="32">
        <f t="shared" si="134"/>
        <v>-0.23573975044563319</v>
      </c>
    </row>
    <row r="1045" spans="1:14" ht="15" hidden="1" customHeight="1" x14ac:dyDescent="0.2">
      <c r="A1045" s="1" t="s">
        <v>434</v>
      </c>
      <c r="B1045" s="2" t="s">
        <v>40</v>
      </c>
      <c r="C1045" s="2">
        <v>1010</v>
      </c>
      <c r="D1045" s="7">
        <v>4000</v>
      </c>
      <c r="I1045" s="8">
        <v>43490</v>
      </c>
      <c r="J1045" s="16" t="s">
        <v>266</v>
      </c>
    </row>
    <row r="1046" spans="1:14" ht="15" hidden="1" customHeight="1" x14ac:dyDescent="0.2">
      <c r="A1046" s="1" t="s">
        <v>434</v>
      </c>
      <c r="B1046" s="2" t="s">
        <v>40</v>
      </c>
      <c r="C1046" s="2">
        <v>1140</v>
      </c>
      <c r="D1046" s="7">
        <v>400</v>
      </c>
      <c r="I1046" s="8">
        <v>43490</v>
      </c>
      <c r="J1046" s="16" t="s">
        <v>266</v>
      </c>
    </row>
    <row r="1047" spans="1:14" ht="15" hidden="1" customHeight="1" x14ac:dyDescent="0.2">
      <c r="A1047" s="1" t="s">
        <v>434</v>
      </c>
      <c r="B1047" s="2" t="s">
        <v>40</v>
      </c>
      <c r="C1047" s="2">
        <v>1160</v>
      </c>
      <c r="D1047" s="7">
        <v>1000</v>
      </c>
      <c r="I1047" s="8">
        <v>43490</v>
      </c>
      <c r="J1047" s="16" t="s">
        <v>266</v>
      </c>
    </row>
    <row r="1048" spans="1:14" s="52" customFormat="1" ht="15" hidden="1" customHeight="1" x14ac:dyDescent="0.2">
      <c r="A1048" s="46" t="s">
        <v>434</v>
      </c>
      <c r="B1048" s="47" t="s">
        <v>39</v>
      </c>
      <c r="C1048" s="47">
        <v>860</v>
      </c>
      <c r="D1048" s="48">
        <v>500</v>
      </c>
      <c r="E1048" s="46">
        <f>474.9</f>
        <v>474.9</v>
      </c>
      <c r="F1048" s="46" t="s">
        <v>8</v>
      </c>
      <c r="G1048" s="49"/>
      <c r="H1048" s="46"/>
      <c r="I1048" s="50">
        <v>43490</v>
      </c>
      <c r="J1048" s="46" t="s">
        <v>266</v>
      </c>
      <c r="K1048" s="46"/>
      <c r="L1048" s="46">
        <v>1</v>
      </c>
      <c r="M1048" s="46">
        <f t="shared" ref="M1048:M1052" si="135">L1048*C1048</f>
        <v>860</v>
      </c>
      <c r="N1048" s="51">
        <f t="shared" ref="N1048:N1052" si="136">(D1048-E1048)/(M1048*0.17)</f>
        <v>0.17168262653898783</v>
      </c>
    </row>
    <row r="1049" spans="1:14" ht="15" hidden="1" customHeight="1" x14ac:dyDescent="0.2">
      <c r="A1049" s="1" t="s">
        <v>434</v>
      </c>
      <c r="B1049" s="2" t="s">
        <v>39</v>
      </c>
      <c r="C1049" s="2">
        <v>1100</v>
      </c>
      <c r="D1049" s="7">
        <v>500</v>
      </c>
      <c r="E1049" s="1">
        <f>506.9</f>
        <v>506.9</v>
      </c>
      <c r="F1049" s="1" t="s">
        <v>8</v>
      </c>
      <c r="I1049" s="8">
        <v>43490</v>
      </c>
      <c r="J1049" s="16" t="s">
        <v>266</v>
      </c>
      <c r="L1049" s="10">
        <v>1</v>
      </c>
      <c r="M1049" s="10">
        <f t="shared" si="135"/>
        <v>1100</v>
      </c>
      <c r="N1049" s="29">
        <f t="shared" si="136"/>
        <v>-3.6898395721925013E-2</v>
      </c>
    </row>
    <row r="1050" spans="1:14" s="52" customFormat="1" ht="15" hidden="1" customHeight="1" x14ac:dyDescent="0.2">
      <c r="A1050" s="46" t="s">
        <v>434</v>
      </c>
      <c r="B1050" s="47" t="s">
        <v>39</v>
      </c>
      <c r="C1050" s="47">
        <v>1140</v>
      </c>
      <c r="D1050" s="48">
        <v>1250</v>
      </c>
      <c r="E1050" s="46">
        <f>1243</f>
        <v>1243</v>
      </c>
      <c r="F1050" s="46" t="s">
        <v>8</v>
      </c>
      <c r="G1050" s="49"/>
      <c r="H1050" s="46"/>
      <c r="I1050" s="50">
        <v>43490</v>
      </c>
      <c r="J1050" s="46" t="s">
        <v>266</v>
      </c>
      <c r="K1050" s="46"/>
      <c r="L1050" s="46">
        <v>1</v>
      </c>
      <c r="M1050" s="46">
        <f t="shared" si="135"/>
        <v>1140</v>
      </c>
      <c r="N1050" s="51">
        <f t="shared" si="136"/>
        <v>3.611971104231166E-2</v>
      </c>
    </row>
    <row r="1051" spans="1:14" s="138" customFormat="1" ht="15" hidden="1" customHeight="1" x14ac:dyDescent="0.2">
      <c r="A1051" s="134" t="s">
        <v>434</v>
      </c>
      <c r="B1051" s="107" t="s">
        <v>37</v>
      </c>
      <c r="C1051" s="107">
        <v>800</v>
      </c>
      <c r="D1051" s="108">
        <v>500</v>
      </c>
      <c r="E1051" s="134">
        <f>476.1</f>
        <v>476.1</v>
      </c>
      <c r="F1051" s="134" t="s">
        <v>8</v>
      </c>
      <c r="G1051" s="135"/>
      <c r="H1051" s="134"/>
      <c r="I1051" s="136">
        <v>43490</v>
      </c>
      <c r="J1051" s="134" t="s">
        <v>266</v>
      </c>
      <c r="K1051" s="134"/>
      <c r="L1051" s="134">
        <v>1</v>
      </c>
      <c r="M1051" s="134">
        <f t="shared" si="135"/>
        <v>800</v>
      </c>
      <c r="N1051" s="137">
        <f t="shared" si="136"/>
        <v>0.17573529411764688</v>
      </c>
    </row>
    <row r="1052" spans="1:14" s="96" customFormat="1" ht="15" hidden="1" customHeight="1" x14ac:dyDescent="0.2">
      <c r="A1052" s="90" t="s">
        <v>434</v>
      </c>
      <c r="B1052" s="91" t="s">
        <v>37</v>
      </c>
      <c r="C1052" s="91">
        <v>1190</v>
      </c>
      <c r="D1052" s="92">
        <v>700</v>
      </c>
      <c r="E1052" s="90">
        <f>238+477.9</f>
        <v>715.9</v>
      </c>
      <c r="F1052" s="90" t="s">
        <v>8</v>
      </c>
      <c r="G1052" s="93" t="s">
        <v>146</v>
      </c>
      <c r="H1052" s="90"/>
      <c r="I1052" s="94">
        <v>43490</v>
      </c>
      <c r="J1052" s="90" t="s">
        <v>266</v>
      </c>
      <c r="K1052" s="90"/>
      <c r="L1052" s="90">
        <v>1</v>
      </c>
      <c r="M1052" s="90">
        <f t="shared" si="135"/>
        <v>1190</v>
      </c>
      <c r="N1052" s="95">
        <f t="shared" si="136"/>
        <v>-7.8596144340088867E-2</v>
      </c>
    </row>
    <row r="1053" spans="1:14" s="52" customFormat="1" ht="15" hidden="1" customHeight="1" x14ac:dyDescent="0.2">
      <c r="A1053" s="46" t="s">
        <v>436</v>
      </c>
      <c r="B1053" s="47" t="s">
        <v>36</v>
      </c>
      <c r="C1053" s="54">
        <v>360</v>
      </c>
      <c r="D1053" s="48">
        <v>5000</v>
      </c>
      <c r="E1053" s="46">
        <f>2793.4+1593.3+702.8</f>
        <v>5089.5</v>
      </c>
      <c r="F1053" s="46" t="s">
        <v>8</v>
      </c>
      <c r="G1053" s="49" t="s">
        <v>146</v>
      </c>
      <c r="H1053" s="46">
        <v>300</v>
      </c>
      <c r="I1053" s="50">
        <v>43490</v>
      </c>
      <c r="J1053" s="46" t="s">
        <v>256</v>
      </c>
      <c r="K1053" s="46"/>
      <c r="L1053" s="46">
        <v>3</v>
      </c>
      <c r="M1053" s="46">
        <f t="shared" ref="M1053:M1091" si="137">L1053*C1053</f>
        <v>1080</v>
      </c>
      <c r="N1053" s="51">
        <f t="shared" ref="N1053" si="138">(D1053-E1053)/(M1053*0.17)</f>
        <v>-0.48747276688453151</v>
      </c>
    </row>
    <row r="1054" spans="1:14" s="96" customFormat="1" ht="15" hidden="1" customHeight="1" x14ac:dyDescent="0.2">
      <c r="A1054" s="90" t="s">
        <v>437</v>
      </c>
      <c r="B1054" s="91" t="s">
        <v>36</v>
      </c>
      <c r="C1054" s="91">
        <v>1020</v>
      </c>
      <c r="D1054" s="92">
        <v>2000</v>
      </c>
      <c r="E1054" s="90">
        <f>741.5+1277.1</f>
        <v>2018.6</v>
      </c>
      <c r="F1054" s="90" t="s">
        <v>8</v>
      </c>
      <c r="G1054" s="93">
        <v>1</v>
      </c>
      <c r="H1054" s="90" t="s">
        <v>28</v>
      </c>
      <c r="I1054" s="94">
        <v>43490</v>
      </c>
      <c r="J1054" s="90" t="s">
        <v>57</v>
      </c>
      <c r="K1054" s="90"/>
      <c r="L1054" s="90">
        <v>1</v>
      </c>
      <c r="M1054" s="90">
        <f t="shared" si="137"/>
        <v>1020</v>
      </c>
      <c r="N1054" s="95">
        <f t="shared" ref="N1054:N1091" si="139">(D1054-E1054)/(M1054*0.17)</f>
        <v>-0.10726643598615865</v>
      </c>
    </row>
    <row r="1055" spans="1:14" s="148" customFormat="1" ht="15" hidden="1" customHeight="1" x14ac:dyDescent="0.2">
      <c r="A1055" s="142" t="s">
        <v>437</v>
      </c>
      <c r="B1055" s="143" t="s">
        <v>36</v>
      </c>
      <c r="C1055" s="143">
        <v>1050</v>
      </c>
      <c r="D1055" s="144">
        <v>5000</v>
      </c>
      <c r="E1055" s="142">
        <f>1789.6+1790.5+1554.6</f>
        <v>5134.7</v>
      </c>
      <c r="F1055" s="142" t="s">
        <v>8</v>
      </c>
      <c r="G1055" s="145">
        <v>1</v>
      </c>
      <c r="H1055" s="142" t="s">
        <v>28</v>
      </c>
      <c r="I1055" s="146">
        <v>43490</v>
      </c>
      <c r="J1055" s="142" t="s">
        <v>57</v>
      </c>
      <c r="K1055" s="142"/>
      <c r="L1055" s="142">
        <v>1</v>
      </c>
      <c r="M1055" s="142">
        <f t="shared" si="137"/>
        <v>1050</v>
      </c>
      <c r="N1055" s="147">
        <f t="shared" si="139"/>
        <v>-0.75462184873949478</v>
      </c>
    </row>
    <row r="1056" spans="1:14" s="96" customFormat="1" ht="15" hidden="1" customHeight="1" x14ac:dyDescent="0.2">
      <c r="A1056" s="90" t="s">
        <v>437</v>
      </c>
      <c r="B1056" s="91" t="s">
        <v>36</v>
      </c>
      <c r="C1056" s="91">
        <v>1080</v>
      </c>
      <c r="D1056" s="92">
        <v>5000</v>
      </c>
      <c r="E1056" s="90">
        <f>2506+1106.3+1512.2</f>
        <v>5124.5</v>
      </c>
      <c r="F1056" s="90" t="s">
        <v>8</v>
      </c>
      <c r="G1056" s="93">
        <v>1</v>
      </c>
      <c r="H1056" s="90" t="s">
        <v>28</v>
      </c>
      <c r="I1056" s="94">
        <v>43490</v>
      </c>
      <c r="J1056" s="90" t="s">
        <v>57</v>
      </c>
      <c r="K1056" s="90"/>
      <c r="L1056" s="90">
        <v>1</v>
      </c>
      <c r="M1056" s="90">
        <f t="shared" si="137"/>
        <v>1080</v>
      </c>
      <c r="N1056" s="95">
        <f t="shared" si="139"/>
        <v>-0.67810457516339862</v>
      </c>
    </row>
    <row r="1057" spans="1:14" s="96" customFormat="1" ht="15" hidden="1" customHeight="1" x14ac:dyDescent="0.2">
      <c r="A1057" s="90" t="s">
        <v>437</v>
      </c>
      <c r="B1057" s="91" t="s">
        <v>36</v>
      </c>
      <c r="C1057" s="91">
        <v>1090</v>
      </c>
      <c r="D1057" s="92">
        <v>5000</v>
      </c>
      <c r="E1057" s="90">
        <f>2526.9+1113.3+1523.8</f>
        <v>5164</v>
      </c>
      <c r="F1057" s="90" t="s">
        <v>8</v>
      </c>
      <c r="G1057" s="93">
        <v>1</v>
      </c>
      <c r="H1057" s="90" t="s">
        <v>28</v>
      </c>
      <c r="I1057" s="94">
        <v>43490</v>
      </c>
      <c r="J1057" s="90" t="s">
        <v>57</v>
      </c>
      <c r="K1057" s="90"/>
      <c r="L1057" s="90">
        <v>1</v>
      </c>
      <c r="M1057" s="90">
        <f t="shared" si="137"/>
        <v>1090</v>
      </c>
      <c r="N1057" s="95">
        <f t="shared" si="139"/>
        <v>-0.8850512682137075</v>
      </c>
    </row>
    <row r="1058" spans="1:14" s="12" customFormat="1" ht="15" hidden="1" customHeight="1" x14ac:dyDescent="0.2">
      <c r="A1058" s="10" t="s">
        <v>437</v>
      </c>
      <c r="B1058" s="139" t="s">
        <v>36</v>
      </c>
      <c r="C1058" s="139">
        <v>1140</v>
      </c>
      <c r="D1058" s="11">
        <v>1000</v>
      </c>
      <c r="E1058" s="10">
        <f>991.3</f>
        <v>991.3</v>
      </c>
      <c r="F1058" s="10" t="s">
        <v>8</v>
      </c>
      <c r="G1058" s="41">
        <v>1</v>
      </c>
      <c r="H1058" s="10" t="s">
        <v>28</v>
      </c>
      <c r="I1058" s="141">
        <v>43490</v>
      </c>
      <c r="J1058" s="10" t="s">
        <v>57</v>
      </c>
      <c r="K1058" s="10"/>
      <c r="L1058" s="10">
        <v>1</v>
      </c>
      <c r="M1058" s="10">
        <f t="shared" si="137"/>
        <v>1140</v>
      </c>
      <c r="N1058" s="29">
        <f t="shared" si="139"/>
        <v>4.4891640866873299E-2</v>
      </c>
    </row>
    <row r="1059" spans="1:14" s="96" customFormat="1" ht="15" hidden="1" customHeight="1" x14ac:dyDescent="0.2">
      <c r="A1059" s="90" t="s">
        <v>437</v>
      </c>
      <c r="B1059" s="91" t="s">
        <v>36</v>
      </c>
      <c r="C1059" s="91">
        <v>1200</v>
      </c>
      <c r="D1059" s="92">
        <f>4000+1100</f>
        <v>5100</v>
      </c>
      <c r="E1059" s="90">
        <f>2046.5+507.4+1061+1518.4</f>
        <v>5133.3</v>
      </c>
      <c r="F1059" s="90" t="s">
        <v>8</v>
      </c>
      <c r="G1059" s="93">
        <v>1</v>
      </c>
      <c r="H1059" s="90" t="s">
        <v>28</v>
      </c>
      <c r="I1059" s="94">
        <v>43490</v>
      </c>
      <c r="J1059" s="90" t="s">
        <v>57</v>
      </c>
      <c r="K1059" s="90"/>
      <c r="L1059" s="90">
        <v>1</v>
      </c>
      <c r="M1059" s="90">
        <f t="shared" si="137"/>
        <v>1200</v>
      </c>
      <c r="N1059" s="95">
        <f t="shared" si="139"/>
        <v>-0.16323529411764792</v>
      </c>
    </row>
    <row r="1060" spans="1:14" s="96" customFormat="1" ht="15" hidden="1" customHeight="1" x14ac:dyDescent="0.2">
      <c r="A1060" s="90" t="s">
        <v>437</v>
      </c>
      <c r="B1060" s="91" t="s">
        <v>36</v>
      </c>
      <c r="C1060" s="91">
        <v>1240</v>
      </c>
      <c r="D1060" s="92">
        <f>10000-3000</f>
        <v>7000</v>
      </c>
      <c r="E1060" s="90">
        <f>2598.9+4245.1</f>
        <v>6844</v>
      </c>
      <c r="F1060" s="90" t="s">
        <v>8</v>
      </c>
      <c r="G1060" s="93">
        <v>1</v>
      </c>
      <c r="H1060" s="90" t="s">
        <v>28</v>
      </c>
      <c r="I1060" s="94">
        <v>43490</v>
      </c>
      <c r="J1060" s="90" t="s">
        <v>57</v>
      </c>
      <c r="K1060" s="90"/>
      <c r="L1060" s="90">
        <v>1</v>
      </c>
      <c r="M1060" s="90">
        <f t="shared" si="137"/>
        <v>1240</v>
      </c>
      <c r="N1060" s="95">
        <f t="shared" si="139"/>
        <v>0.74003795066413658</v>
      </c>
    </row>
    <row r="1061" spans="1:14" s="96" customFormat="1" ht="15" hidden="1" customHeight="1" x14ac:dyDescent="0.2">
      <c r="A1061" s="90" t="s">
        <v>437</v>
      </c>
      <c r="B1061" s="91" t="s">
        <v>36</v>
      </c>
      <c r="C1061" s="91">
        <v>1260</v>
      </c>
      <c r="D1061" s="92">
        <f>5000-3000</f>
        <v>2000</v>
      </c>
      <c r="E1061" s="90">
        <f>1464.3+511.9</f>
        <v>1976.1999999999998</v>
      </c>
      <c r="F1061" s="90" t="s">
        <v>8</v>
      </c>
      <c r="G1061" s="93" t="s">
        <v>146</v>
      </c>
      <c r="H1061" s="90" t="s">
        <v>28</v>
      </c>
      <c r="I1061" s="94">
        <v>43490</v>
      </c>
      <c r="J1061" s="90" t="s">
        <v>57</v>
      </c>
      <c r="K1061" s="90"/>
      <c r="L1061" s="90">
        <v>1</v>
      </c>
      <c r="M1061" s="90">
        <f t="shared" si="137"/>
        <v>1260</v>
      </c>
      <c r="N1061" s="95">
        <f t="shared" si="139"/>
        <v>0.11111111111111195</v>
      </c>
    </row>
    <row r="1062" spans="1:14" s="96" customFormat="1" ht="15" hidden="1" customHeight="1" x14ac:dyDescent="0.2">
      <c r="A1062" s="90" t="s">
        <v>437</v>
      </c>
      <c r="B1062" s="91" t="s">
        <v>36</v>
      </c>
      <c r="C1062" s="91">
        <v>1280</v>
      </c>
      <c r="D1062" s="92">
        <f>15000-8000</f>
        <v>7000</v>
      </c>
      <c r="E1062" s="90">
        <f>1854.3+4676.3+519.5</f>
        <v>7050.1</v>
      </c>
      <c r="F1062" s="90" t="s">
        <v>8</v>
      </c>
      <c r="G1062" s="93" t="s">
        <v>146</v>
      </c>
      <c r="H1062" s="90" t="s">
        <v>28</v>
      </c>
      <c r="I1062" s="94">
        <v>43490</v>
      </c>
      <c r="J1062" s="90" t="s">
        <v>57</v>
      </c>
      <c r="K1062" s="90"/>
      <c r="L1062" s="90">
        <v>1</v>
      </c>
      <c r="M1062" s="90">
        <f t="shared" si="137"/>
        <v>1280</v>
      </c>
      <c r="N1062" s="95">
        <f t="shared" si="139"/>
        <v>-0.23023897058823695</v>
      </c>
    </row>
    <row r="1063" spans="1:14" ht="15" hidden="1" customHeight="1" x14ac:dyDescent="0.2">
      <c r="A1063" s="1" t="s">
        <v>437</v>
      </c>
      <c r="B1063" s="2" t="s">
        <v>36</v>
      </c>
      <c r="C1063" s="2">
        <v>1305</v>
      </c>
      <c r="D1063" s="7">
        <v>3000</v>
      </c>
      <c r="E1063" s="1" t="s">
        <v>316</v>
      </c>
      <c r="H1063" s="1" t="s">
        <v>28</v>
      </c>
      <c r="I1063" s="8">
        <v>43490</v>
      </c>
      <c r="J1063" s="16" t="s">
        <v>57</v>
      </c>
      <c r="L1063" s="10">
        <v>1</v>
      </c>
      <c r="M1063" s="10">
        <f t="shared" si="137"/>
        <v>1305</v>
      </c>
      <c r="N1063" s="29" t="e">
        <f t="shared" si="139"/>
        <v>#VALUE!</v>
      </c>
    </row>
    <row r="1064" spans="1:14" ht="15" hidden="1" customHeight="1" x14ac:dyDescent="0.2">
      <c r="A1064" s="1" t="s">
        <v>437</v>
      </c>
      <c r="B1064" s="2" t="s">
        <v>36</v>
      </c>
      <c r="C1064" s="2">
        <v>1320</v>
      </c>
      <c r="D1064" s="7">
        <v>1000</v>
      </c>
      <c r="E1064" s="1" t="s">
        <v>316</v>
      </c>
      <c r="H1064" s="1" t="s">
        <v>28</v>
      </c>
      <c r="I1064" s="8">
        <v>43490</v>
      </c>
      <c r="J1064" s="16" t="s">
        <v>57</v>
      </c>
      <c r="L1064" s="10">
        <v>1</v>
      </c>
      <c r="M1064" s="10">
        <f t="shared" si="137"/>
        <v>1320</v>
      </c>
      <c r="N1064" s="29" t="e">
        <f t="shared" si="139"/>
        <v>#VALUE!</v>
      </c>
    </row>
    <row r="1065" spans="1:14" s="158" customFormat="1" ht="15" hidden="1" customHeight="1" x14ac:dyDescent="0.2">
      <c r="A1065" s="152" t="s">
        <v>438</v>
      </c>
      <c r="B1065" s="153" t="s">
        <v>39</v>
      </c>
      <c r="C1065" s="153">
        <v>900</v>
      </c>
      <c r="D1065" s="154">
        <v>4000</v>
      </c>
      <c r="E1065" s="152">
        <f>2156.5+156.2+1664.3</f>
        <v>3977</v>
      </c>
      <c r="F1065" s="152" t="s">
        <v>8</v>
      </c>
      <c r="G1065" s="155" t="s">
        <v>146</v>
      </c>
      <c r="H1065" s="152" t="s">
        <v>28</v>
      </c>
      <c r="I1065" s="156">
        <v>43490</v>
      </c>
      <c r="J1065" s="152" t="s">
        <v>57</v>
      </c>
      <c r="K1065" s="152"/>
      <c r="L1065" s="152">
        <v>1</v>
      </c>
      <c r="M1065" s="152">
        <f t="shared" si="137"/>
        <v>900</v>
      </c>
      <c r="N1065" s="157">
        <f t="shared" si="139"/>
        <v>0.15032679738562091</v>
      </c>
    </row>
    <row r="1066" spans="1:14" s="104" customFormat="1" ht="15" customHeight="1" x14ac:dyDescent="0.2">
      <c r="A1066" s="98" t="s">
        <v>438</v>
      </c>
      <c r="B1066" s="99" t="s">
        <v>39</v>
      </c>
      <c r="C1066" s="99">
        <v>1020</v>
      </c>
      <c r="D1066" s="100">
        <v>2000</v>
      </c>
      <c r="E1066" s="98"/>
      <c r="F1066" s="98" t="s">
        <v>8</v>
      </c>
      <c r="G1066" s="101" t="s">
        <v>146</v>
      </c>
      <c r="H1066" s="98" t="s">
        <v>28</v>
      </c>
      <c r="I1066" s="102">
        <v>43490</v>
      </c>
      <c r="J1066" s="98" t="s">
        <v>57</v>
      </c>
      <c r="K1066" s="98"/>
      <c r="L1066" s="98">
        <v>1</v>
      </c>
      <c r="M1066" s="98">
        <f t="shared" si="137"/>
        <v>1020</v>
      </c>
      <c r="N1066" s="103">
        <f t="shared" si="139"/>
        <v>11.534025374855824</v>
      </c>
    </row>
    <row r="1067" spans="1:14" s="158" customFormat="1" ht="15" customHeight="1" x14ac:dyDescent="0.2">
      <c r="A1067" s="152" t="s">
        <v>438</v>
      </c>
      <c r="B1067" s="153" t="s">
        <v>39</v>
      </c>
      <c r="C1067" s="153">
        <v>1050</v>
      </c>
      <c r="D1067" s="154">
        <v>2000</v>
      </c>
      <c r="E1067" s="152"/>
      <c r="F1067" s="152" t="s">
        <v>8</v>
      </c>
      <c r="G1067" s="155" t="s">
        <v>146</v>
      </c>
      <c r="H1067" s="152" t="s">
        <v>28</v>
      </c>
      <c r="I1067" s="156">
        <v>43490</v>
      </c>
      <c r="J1067" s="152" t="s">
        <v>57</v>
      </c>
      <c r="K1067" s="152"/>
      <c r="L1067" s="152">
        <v>1</v>
      </c>
      <c r="M1067" s="152">
        <f t="shared" si="137"/>
        <v>1050</v>
      </c>
      <c r="N1067" s="157">
        <f t="shared" si="139"/>
        <v>11.204481792717086</v>
      </c>
    </row>
    <row r="1068" spans="1:14" s="158" customFormat="1" ht="15" customHeight="1" x14ac:dyDescent="0.2">
      <c r="A1068" s="152" t="s">
        <v>438</v>
      </c>
      <c r="B1068" s="153" t="s">
        <v>39</v>
      </c>
      <c r="C1068" s="153">
        <v>1080</v>
      </c>
      <c r="D1068" s="154">
        <v>3000</v>
      </c>
      <c r="E1068" s="152"/>
      <c r="F1068" s="152" t="s">
        <v>8</v>
      </c>
      <c r="G1068" s="155" t="s">
        <v>146</v>
      </c>
      <c r="H1068" s="152" t="s">
        <v>28</v>
      </c>
      <c r="I1068" s="156">
        <v>43490</v>
      </c>
      <c r="J1068" s="152" t="s">
        <v>57</v>
      </c>
      <c r="K1068" s="152"/>
      <c r="L1068" s="152">
        <v>1</v>
      </c>
      <c r="M1068" s="152">
        <f t="shared" si="137"/>
        <v>1080</v>
      </c>
      <c r="N1068" s="157">
        <f t="shared" si="139"/>
        <v>16.33986928104575</v>
      </c>
    </row>
    <row r="1069" spans="1:14" s="158" customFormat="1" ht="15" customHeight="1" x14ac:dyDescent="0.2">
      <c r="A1069" s="152" t="s">
        <v>438</v>
      </c>
      <c r="B1069" s="153" t="s">
        <v>39</v>
      </c>
      <c r="C1069" s="153">
        <v>1100</v>
      </c>
      <c r="D1069" s="154">
        <v>2000</v>
      </c>
      <c r="E1069" s="152"/>
      <c r="F1069" s="152" t="s">
        <v>8</v>
      </c>
      <c r="G1069" s="155" t="s">
        <v>146</v>
      </c>
      <c r="H1069" s="152" t="s">
        <v>28</v>
      </c>
      <c r="I1069" s="156">
        <v>43490</v>
      </c>
      <c r="J1069" s="152" t="s">
        <v>57</v>
      </c>
      <c r="K1069" s="152"/>
      <c r="L1069" s="152">
        <v>1</v>
      </c>
      <c r="M1069" s="152">
        <f t="shared" si="137"/>
        <v>1100</v>
      </c>
      <c r="N1069" s="157">
        <f t="shared" si="139"/>
        <v>10.695187165775401</v>
      </c>
    </row>
    <row r="1070" spans="1:14" s="158" customFormat="1" ht="15" customHeight="1" x14ac:dyDescent="0.2">
      <c r="A1070" s="152" t="s">
        <v>438</v>
      </c>
      <c r="B1070" s="153" t="s">
        <v>39</v>
      </c>
      <c r="C1070" s="153">
        <v>1140</v>
      </c>
      <c r="D1070" s="154">
        <v>4000</v>
      </c>
      <c r="E1070" s="152"/>
      <c r="F1070" s="152" t="s">
        <v>8</v>
      </c>
      <c r="G1070" s="155" t="s">
        <v>146</v>
      </c>
      <c r="H1070" s="152" t="s">
        <v>28</v>
      </c>
      <c r="I1070" s="156">
        <v>43490</v>
      </c>
      <c r="J1070" s="152" t="s">
        <v>57</v>
      </c>
      <c r="K1070" s="152"/>
      <c r="L1070" s="152">
        <v>1</v>
      </c>
      <c r="M1070" s="152">
        <f t="shared" si="137"/>
        <v>1140</v>
      </c>
      <c r="N1070" s="157">
        <f t="shared" si="139"/>
        <v>20.639834881320947</v>
      </c>
    </row>
    <row r="1071" spans="1:14" s="158" customFormat="1" ht="15" customHeight="1" x14ac:dyDescent="0.2">
      <c r="A1071" s="152" t="s">
        <v>438</v>
      </c>
      <c r="B1071" s="153" t="s">
        <v>39</v>
      </c>
      <c r="C1071" s="153">
        <v>1185</v>
      </c>
      <c r="D1071" s="154">
        <v>1000</v>
      </c>
      <c r="E1071" s="152"/>
      <c r="F1071" s="152" t="s">
        <v>8</v>
      </c>
      <c r="G1071" s="155" t="s">
        <v>146</v>
      </c>
      <c r="H1071" s="152" t="s">
        <v>28</v>
      </c>
      <c r="I1071" s="156">
        <v>43490</v>
      </c>
      <c r="J1071" s="152" t="s">
        <v>57</v>
      </c>
      <c r="K1071" s="152"/>
      <c r="L1071" s="152">
        <v>1</v>
      </c>
      <c r="M1071" s="152">
        <f t="shared" si="137"/>
        <v>1185</v>
      </c>
      <c r="N1071" s="157">
        <f t="shared" si="139"/>
        <v>4.9640109208240251</v>
      </c>
    </row>
    <row r="1072" spans="1:14" s="158" customFormat="1" ht="15" customHeight="1" x14ac:dyDescent="0.2">
      <c r="A1072" s="152" t="s">
        <v>438</v>
      </c>
      <c r="B1072" s="153" t="s">
        <v>39</v>
      </c>
      <c r="C1072" s="153">
        <v>1200</v>
      </c>
      <c r="D1072" s="154">
        <v>4000</v>
      </c>
      <c r="E1072" s="152"/>
      <c r="F1072" s="152" t="s">
        <v>8</v>
      </c>
      <c r="G1072" s="155" t="s">
        <v>146</v>
      </c>
      <c r="H1072" s="152" t="s">
        <v>28</v>
      </c>
      <c r="I1072" s="156">
        <v>43490</v>
      </c>
      <c r="J1072" s="152" t="s">
        <v>57</v>
      </c>
      <c r="K1072" s="152"/>
      <c r="L1072" s="152">
        <v>1</v>
      </c>
      <c r="M1072" s="152">
        <f t="shared" si="137"/>
        <v>1200</v>
      </c>
      <c r="N1072" s="157">
        <f t="shared" si="139"/>
        <v>19.6078431372549</v>
      </c>
    </row>
    <row r="1073" spans="1:15" s="158" customFormat="1" x14ac:dyDescent="0.2">
      <c r="A1073" s="152" t="s">
        <v>438</v>
      </c>
      <c r="B1073" s="153" t="s">
        <v>39</v>
      </c>
      <c r="C1073" s="153">
        <v>1230</v>
      </c>
      <c r="D1073" s="154">
        <v>2000</v>
      </c>
      <c r="E1073" s="152"/>
      <c r="F1073" s="152" t="s">
        <v>8</v>
      </c>
      <c r="G1073" s="155" t="s">
        <v>146</v>
      </c>
      <c r="H1073" s="152" t="s">
        <v>28</v>
      </c>
      <c r="I1073" s="156">
        <v>43490</v>
      </c>
      <c r="J1073" s="152" t="s">
        <v>57</v>
      </c>
      <c r="K1073" s="152"/>
      <c r="L1073" s="152">
        <v>1</v>
      </c>
      <c r="M1073" s="152">
        <f t="shared" si="137"/>
        <v>1230</v>
      </c>
      <c r="N1073" s="157">
        <f t="shared" si="139"/>
        <v>9.5648015303682445</v>
      </c>
    </row>
    <row r="1074" spans="1:15" s="158" customFormat="1" x14ac:dyDescent="0.2">
      <c r="A1074" s="152" t="s">
        <v>438</v>
      </c>
      <c r="B1074" s="153" t="s">
        <v>39</v>
      </c>
      <c r="C1074" s="153">
        <v>1260</v>
      </c>
      <c r="D1074" s="154">
        <v>4000</v>
      </c>
      <c r="E1074" s="152"/>
      <c r="F1074" s="152" t="s">
        <v>8</v>
      </c>
      <c r="G1074" s="155" t="s">
        <v>146</v>
      </c>
      <c r="H1074" s="152" t="s">
        <v>28</v>
      </c>
      <c r="I1074" s="156">
        <v>43490</v>
      </c>
      <c r="J1074" s="152" t="s">
        <v>57</v>
      </c>
      <c r="K1074" s="152"/>
      <c r="L1074" s="152">
        <v>1</v>
      </c>
      <c r="M1074" s="152">
        <f t="shared" si="137"/>
        <v>1260</v>
      </c>
      <c r="N1074" s="157">
        <f t="shared" si="139"/>
        <v>18.674136321195142</v>
      </c>
    </row>
    <row r="1075" spans="1:15" s="158" customFormat="1" ht="15" customHeight="1" x14ac:dyDescent="0.2">
      <c r="A1075" s="152" t="s">
        <v>438</v>
      </c>
      <c r="B1075" s="153" t="s">
        <v>39</v>
      </c>
      <c r="C1075" s="153">
        <v>1290</v>
      </c>
      <c r="D1075" s="154">
        <v>6000</v>
      </c>
      <c r="E1075" s="152"/>
      <c r="F1075" s="152" t="s">
        <v>8</v>
      </c>
      <c r="G1075" s="155" t="s">
        <v>146</v>
      </c>
      <c r="H1075" s="152" t="s">
        <v>28</v>
      </c>
      <c r="I1075" s="156">
        <v>43490</v>
      </c>
      <c r="J1075" s="152" t="s">
        <v>57</v>
      </c>
      <c r="K1075" s="152"/>
      <c r="L1075" s="152">
        <v>1</v>
      </c>
      <c r="M1075" s="152">
        <f t="shared" si="137"/>
        <v>1290</v>
      </c>
      <c r="N1075" s="157">
        <f t="shared" si="139"/>
        <v>27.359781121751023</v>
      </c>
    </row>
    <row r="1076" spans="1:15" s="158" customFormat="1" ht="15" customHeight="1" x14ac:dyDescent="0.2">
      <c r="A1076" s="152" t="s">
        <v>438</v>
      </c>
      <c r="B1076" s="153" t="s">
        <v>39</v>
      </c>
      <c r="C1076" s="153">
        <v>1320</v>
      </c>
      <c r="D1076" s="154">
        <v>3000</v>
      </c>
      <c r="E1076" s="152"/>
      <c r="F1076" s="152" t="s">
        <v>8</v>
      </c>
      <c r="G1076" s="155" t="s">
        <v>146</v>
      </c>
      <c r="H1076" s="152" t="s">
        <v>28</v>
      </c>
      <c r="I1076" s="156">
        <v>43490</v>
      </c>
      <c r="J1076" s="152" t="s">
        <v>57</v>
      </c>
      <c r="K1076" s="152"/>
      <c r="L1076" s="152">
        <v>1</v>
      </c>
      <c r="M1076" s="152">
        <f t="shared" si="137"/>
        <v>1320</v>
      </c>
      <c r="N1076" s="157">
        <f t="shared" si="139"/>
        <v>13.368983957219251</v>
      </c>
    </row>
    <row r="1077" spans="1:15" s="138" customFormat="1" ht="15" hidden="1" customHeight="1" x14ac:dyDescent="0.2">
      <c r="A1077" s="134" t="s">
        <v>439</v>
      </c>
      <c r="B1077" s="107" t="s">
        <v>37</v>
      </c>
      <c r="C1077" s="107">
        <v>1000</v>
      </c>
      <c r="D1077" s="108">
        <v>2000</v>
      </c>
      <c r="E1077" s="134">
        <f>2073.9</f>
        <v>2073.9</v>
      </c>
      <c r="F1077" s="134" t="s">
        <v>8</v>
      </c>
      <c r="G1077" s="135"/>
      <c r="H1077" s="134" t="s">
        <v>28</v>
      </c>
      <c r="I1077" s="136">
        <v>43490</v>
      </c>
      <c r="J1077" s="134" t="s">
        <v>57</v>
      </c>
      <c r="K1077" s="134"/>
      <c r="L1077" s="134">
        <v>1</v>
      </c>
      <c r="M1077" s="134">
        <f t="shared" si="137"/>
        <v>1000</v>
      </c>
      <c r="N1077" s="137">
        <f t="shared" si="139"/>
        <v>-0.43470588235294172</v>
      </c>
    </row>
    <row r="1078" spans="1:15" s="138" customFormat="1" ht="15" hidden="1" customHeight="1" x14ac:dyDescent="0.2">
      <c r="A1078" s="134" t="s">
        <v>439</v>
      </c>
      <c r="B1078" s="107" t="s">
        <v>37</v>
      </c>
      <c r="C1078" s="107">
        <v>900</v>
      </c>
      <c r="D1078" s="108">
        <v>4000</v>
      </c>
      <c r="E1078" s="134">
        <f>2062.5+1781</f>
        <v>3843.5</v>
      </c>
      <c r="F1078" s="134" t="s">
        <v>8</v>
      </c>
      <c r="G1078" s="135"/>
      <c r="H1078" s="134" t="s">
        <v>28</v>
      </c>
      <c r="I1078" s="136">
        <v>43490</v>
      </c>
      <c r="J1078" s="134" t="s">
        <v>57</v>
      </c>
      <c r="K1078" s="134"/>
      <c r="L1078" s="134">
        <v>1</v>
      </c>
      <c r="M1078" s="134">
        <f t="shared" si="137"/>
        <v>900</v>
      </c>
      <c r="N1078" s="137">
        <f t="shared" si="139"/>
        <v>1.022875816993464</v>
      </c>
      <c r="O1078" s="138">
        <f>14-5.2</f>
        <v>8.8000000000000007</v>
      </c>
    </row>
    <row r="1079" spans="1:15" s="138" customFormat="1" ht="15" hidden="1" customHeight="1" x14ac:dyDescent="0.2">
      <c r="A1079" s="134" t="s">
        <v>439</v>
      </c>
      <c r="B1079" s="107" t="s">
        <v>37</v>
      </c>
      <c r="C1079" s="107">
        <v>1020</v>
      </c>
      <c r="D1079" s="108">
        <v>2000</v>
      </c>
      <c r="E1079" s="134">
        <f>2134.4</f>
        <v>2134.4</v>
      </c>
      <c r="F1079" s="134" t="s">
        <v>8</v>
      </c>
      <c r="G1079" s="135"/>
      <c r="H1079" s="134" t="s">
        <v>28</v>
      </c>
      <c r="I1079" s="136">
        <v>43490</v>
      </c>
      <c r="J1079" s="134" t="s">
        <v>57</v>
      </c>
      <c r="K1079" s="134"/>
      <c r="L1079" s="134">
        <v>1</v>
      </c>
      <c r="M1079" s="134">
        <f t="shared" si="137"/>
        <v>1020</v>
      </c>
      <c r="N1079" s="137">
        <f t="shared" si="139"/>
        <v>-0.77508650519031197</v>
      </c>
    </row>
    <row r="1080" spans="1:15" s="138" customFormat="1" ht="15" hidden="1" customHeight="1" x14ac:dyDescent="0.2">
      <c r="A1080" s="134" t="s">
        <v>439</v>
      </c>
      <c r="B1080" s="107" t="s">
        <v>37</v>
      </c>
      <c r="C1080" s="107">
        <v>1050</v>
      </c>
      <c r="D1080" s="108">
        <v>3000</v>
      </c>
      <c r="E1080" s="134">
        <f>864.2+2171.1</f>
        <v>3035.3</v>
      </c>
      <c r="F1080" s="134" t="s">
        <v>8</v>
      </c>
      <c r="G1080" s="135"/>
      <c r="H1080" s="134" t="s">
        <v>28</v>
      </c>
      <c r="I1080" s="136">
        <v>43490</v>
      </c>
      <c r="J1080" s="134" t="s">
        <v>57</v>
      </c>
      <c r="K1080" s="134"/>
      <c r="L1080" s="134">
        <v>1</v>
      </c>
      <c r="M1080" s="134">
        <f t="shared" si="137"/>
        <v>1050</v>
      </c>
      <c r="N1080" s="137">
        <f t="shared" si="139"/>
        <v>-0.1977591036414576</v>
      </c>
    </row>
    <row r="1081" spans="1:15" s="138" customFormat="1" ht="15" hidden="1" customHeight="1" x14ac:dyDescent="0.2">
      <c r="A1081" s="134" t="s">
        <v>439</v>
      </c>
      <c r="B1081" s="107" t="s">
        <v>37</v>
      </c>
      <c r="C1081" s="107">
        <v>1080</v>
      </c>
      <c r="D1081" s="108">
        <v>3000</v>
      </c>
      <c r="E1081" s="134">
        <f>1140.9+1916.3</f>
        <v>3057.2</v>
      </c>
      <c r="F1081" s="134" t="s">
        <v>8</v>
      </c>
      <c r="G1081" s="135"/>
      <c r="H1081" s="134" t="s">
        <v>28</v>
      </c>
      <c r="I1081" s="136">
        <v>43490</v>
      </c>
      <c r="J1081" s="134" t="s">
        <v>57</v>
      </c>
      <c r="K1081" s="134"/>
      <c r="L1081" s="134">
        <v>1</v>
      </c>
      <c r="M1081" s="134">
        <f t="shared" si="137"/>
        <v>1080</v>
      </c>
      <c r="N1081" s="137">
        <f t="shared" si="139"/>
        <v>-0.31154684095860463</v>
      </c>
    </row>
    <row r="1082" spans="1:15" s="138" customFormat="1" ht="15" hidden="1" customHeight="1" x14ac:dyDescent="0.2">
      <c r="A1082" s="134" t="s">
        <v>439</v>
      </c>
      <c r="B1082" s="107" t="s">
        <v>37</v>
      </c>
      <c r="C1082" s="107">
        <v>1200</v>
      </c>
      <c r="D1082" s="108">
        <v>4000</v>
      </c>
      <c r="E1082" s="134">
        <f>525.6+2672.6+798.1</f>
        <v>3996.2999999999997</v>
      </c>
      <c r="F1082" s="134" t="s">
        <v>8</v>
      </c>
      <c r="G1082" s="135"/>
      <c r="H1082" s="134" t="s">
        <v>28</v>
      </c>
      <c r="I1082" s="136">
        <v>43490</v>
      </c>
      <c r="J1082" s="134" t="s">
        <v>57</v>
      </c>
      <c r="K1082" s="134"/>
      <c r="L1082" s="134">
        <v>1</v>
      </c>
      <c r="M1082" s="134">
        <f t="shared" si="137"/>
        <v>1200</v>
      </c>
      <c r="N1082" s="137">
        <f t="shared" si="139"/>
        <v>1.8137254901962118E-2</v>
      </c>
    </row>
    <row r="1083" spans="1:15" s="138" customFormat="1" ht="15" hidden="1" customHeight="1" x14ac:dyDescent="0.2">
      <c r="A1083" s="134" t="s">
        <v>439</v>
      </c>
      <c r="B1083" s="107" t="s">
        <v>37</v>
      </c>
      <c r="C1083" s="107">
        <v>1260</v>
      </c>
      <c r="D1083" s="108">
        <v>4000</v>
      </c>
      <c r="E1083" s="134">
        <f>620.4+3507.1</f>
        <v>4127.5</v>
      </c>
      <c r="F1083" s="134" t="s">
        <v>8</v>
      </c>
      <c r="G1083" s="135"/>
      <c r="H1083" s="134" t="s">
        <v>28</v>
      </c>
      <c r="I1083" s="136">
        <v>43490</v>
      </c>
      <c r="J1083" s="134" t="s">
        <v>57</v>
      </c>
      <c r="K1083" s="134"/>
      <c r="L1083" s="134">
        <v>1</v>
      </c>
      <c r="M1083" s="134">
        <f t="shared" si="137"/>
        <v>1260</v>
      </c>
      <c r="N1083" s="137">
        <f t="shared" si="139"/>
        <v>-0.59523809523809523</v>
      </c>
    </row>
    <row r="1084" spans="1:15" s="138" customFormat="1" ht="15" hidden="1" customHeight="1" x14ac:dyDescent="0.2">
      <c r="A1084" s="134" t="s">
        <v>439</v>
      </c>
      <c r="B1084" s="107" t="s">
        <v>37</v>
      </c>
      <c r="C1084" s="107">
        <v>1290</v>
      </c>
      <c r="D1084" s="108">
        <v>2000</v>
      </c>
      <c r="E1084" s="134">
        <f>1988.5</f>
        <v>1988.5</v>
      </c>
      <c r="F1084" s="134" t="s">
        <v>8</v>
      </c>
      <c r="G1084" s="135"/>
      <c r="H1084" s="134" t="s">
        <v>28</v>
      </c>
      <c r="I1084" s="136">
        <v>43490</v>
      </c>
      <c r="J1084" s="134" t="s">
        <v>57</v>
      </c>
      <c r="K1084" s="134"/>
      <c r="L1084" s="134">
        <v>1</v>
      </c>
      <c r="M1084" s="134">
        <f t="shared" si="137"/>
        <v>1290</v>
      </c>
      <c r="N1084" s="137">
        <f t="shared" si="139"/>
        <v>5.2439580483356132E-2</v>
      </c>
    </row>
    <row r="1085" spans="1:15" s="138" customFormat="1" ht="15" hidden="1" customHeight="1" x14ac:dyDescent="0.2">
      <c r="A1085" s="134" t="s">
        <v>439</v>
      </c>
      <c r="B1085" s="107" t="s">
        <v>37</v>
      </c>
      <c r="C1085" s="107">
        <v>1300</v>
      </c>
      <c r="D1085" s="108">
        <v>2000</v>
      </c>
      <c r="E1085" s="134">
        <f>2024.8</f>
        <v>2024.8</v>
      </c>
      <c r="F1085" s="134" t="s">
        <v>8</v>
      </c>
      <c r="G1085" s="135"/>
      <c r="H1085" s="134" t="s">
        <v>28</v>
      </c>
      <c r="I1085" s="136">
        <v>43490</v>
      </c>
      <c r="J1085" s="134" t="s">
        <v>57</v>
      </c>
      <c r="K1085" s="134"/>
      <c r="L1085" s="134">
        <v>1</v>
      </c>
      <c r="M1085" s="134">
        <f t="shared" si="137"/>
        <v>1300</v>
      </c>
      <c r="N1085" s="137">
        <f t="shared" si="139"/>
        <v>-0.11221719457013553</v>
      </c>
    </row>
    <row r="1086" spans="1:15" s="138" customFormat="1" ht="15" hidden="1" customHeight="1" x14ac:dyDescent="0.2">
      <c r="A1086" s="134" t="s">
        <v>439</v>
      </c>
      <c r="B1086" s="107" t="s">
        <v>37</v>
      </c>
      <c r="C1086" s="107">
        <v>1160</v>
      </c>
      <c r="D1086" s="108">
        <v>2000</v>
      </c>
      <c r="E1086" s="134">
        <f>1986.8</f>
        <v>1986.8</v>
      </c>
      <c r="F1086" s="134" t="s">
        <v>8</v>
      </c>
      <c r="G1086" s="135"/>
      <c r="H1086" s="134" t="s">
        <v>28</v>
      </c>
      <c r="I1086" s="136">
        <v>43490</v>
      </c>
      <c r="J1086" s="134" t="s">
        <v>57</v>
      </c>
      <c r="K1086" s="134"/>
      <c r="L1086" s="134">
        <v>1</v>
      </c>
      <c r="M1086" s="134">
        <f t="shared" si="137"/>
        <v>1160</v>
      </c>
      <c r="N1086" s="137">
        <f t="shared" si="139"/>
        <v>6.6937119675456611E-2</v>
      </c>
    </row>
    <row r="1087" spans="1:15" s="138" customFormat="1" ht="15" hidden="1" customHeight="1" x14ac:dyDescent="0.2">
      <c r="A1087" s="134" t="s">
        <v>439</v>
      </c>
      <c r="B1087" s="107" t="s">
        <v>37</v>
      </c>
      <c r="C1087" s="107">
        <v>1185</v>
      </c>
      <c r="D1087" s="108">
        <v>2000</v>
      </c>
      <c r="E1087" s="134">
        <f>2055.7</f>
        <v>2055.6999999999998</v>
      </c>
      <c r="F1087" s="134" t="s">
        <v>8</v>
      </c>
      <c r="G1087" s="135"/>
      <c r="H1087" s="134" t="s">
        <v>28</v>
      </c>
      <c r="I1087" s="136">
        <v>43490</v>
      </c>
      <c r="J1087" s="134" t="s">
        <v>57</v>
      </c>
      <c r="K1087" s="134"/>
      <c r="L1087" s="134">
        <v>1</v>
      </c>
      <c r="M1087" s="134">
        <f t="shared" si="137"/>
        <v>1185</v>
      </c>
      <c r="N1087" s="137">
        <f t="shared" si="139"/>
        <v>-0.27649540828989733</v>
      </c>
    </row>
    <row r="1088" spans="1:15" s="138" customFormat="1" ht="15" hidden="1" customHeight="1" x14ac:dyDescent="0.2">
      <c r="A1088" s="134" t="s">
        <v>439</v>
      </c>
      <c r="B1088" s="107" t="s">
        <v>37</v>
      </c>
      <c r="C1088" s="107">
        <v>1320</v>
      </c>
      <c r="D1088" s="108">
        <v>2000</v>
      </c>
      <c r="E1088" s="134">
        <f>2025.5</f>
        <v>2025.5</v>
      </c>
      <c r="F1088" s="134" t="s">
        <v>8</v>
      </c>
      <c r="G1088" s="135"/>
      <c r="H1088" s="134" t="s">
        <v>28</v>
      </c>
      <c r="I1088" s="136">
        <v>43490</v>
      </c>
      <c r="J1088" s="134" t="s">
        <v>57</v>
      </c>
      <c r="K1088" s="134"/>
      <c r="L1088" s="134">
        <v>1</v>
      </c>
      <c r="M1088" s="134">
        <f t="shared" si="137"/>
        <v>1320</v>
      </c>
      <c r="N1088" s="137">
        <f t="shared" si="139"/>
        <v>-0.11363636363636363</v>
      </c>
    </row>
    <row r="1089" spans="1:14" s="138" customFormat="1" ht="15" hidden="1" customHeight="1" x14ac:dyDescent="0.2">
      <c r="A1089" s="134" t="s">
        <v>439</v>
      </c>
      <c r="B1089" s="107" t="s">
        <v>37</v>
      </c>
      <c r="C1089" s="107">
        <v>1120</v>
      </c>
      <c r="D1089" s="108">
        <v>2000</v>
      </c>
      <c r="E1089" s="134">
        <f>548.1+1478.8</f>
        <v>2026.9</v>
      </c>
      <c r="F1089" s="134" t="s">
        <v>8</v>
      </c>
      <c r="G1089" s="135"/>
      <c r="H1089" s="134" t="s">
        <v>28</v>
      </c>
      <c r="I1089" s="136">
        <v>43490</v>
      </c>
      <c r="J1089" s="134" t="s">
        <v>57</v>
      </c>
      <c r="K1089" s="134"/>
      <c r="L1089" s="134">
        <v>1</v>
      </c>
      <c r="M1089" s="134">
        <f t="shared" si="137"/>
        <v>1120</v>
      </c>
      <c r="N1089" s="137">
        <f t="shared" si="139"/>
        <v>-0.14128151260504249</v>
      </c>
    </row>
    <row r="1090" spans="1:14" s="138" customFormat="1" ht="15" hidden="1" customHeight="1" x14ac:dyDescent="0.2">
      <c r="A1090" s="134" t="s">
        <v>439</v>
      </c>
      <c r="B1090" s="107" t="s">
        <v>37</v>
      </c>
      <c r="C1090" s="107">
        <v>1280</v>
      </c>
      <c r="D1090" s="108">
        <v>2000</v>
      </c>
      <c r="E1090" s="134">
        <f>2128.7</f>
        <v>2128.6999999999998</v>
      </c>
      <c r="F1090" s="134" t="s">
        <v>8</v>
      </c>
      <c r="G1090" s="135"/>
      <c r="H1090" s="134" t="s">
        <v>28</v>
      </c>
      <c r="I1090" s="136">
        <v>43490</v>
      </c>
      <c r="J1090" s="134" t="s">
        <v>57</v>
      </c>
      <c r="K1090" s="134"/>
      <c r="L1090" s="134">
        <v>1</v>
      </c>
      <c r="M1090" s="134">
        <f t="shared" si="137"/>
        <v>1280</v>
      </c>
      <c r="N1090" s="137">
        <f t="shared" si="139"/>
        <v>-0.59145220588235203</v>
      </c>
    </row>
    <row r="1091" spans="1:14" s="138" customFormat="1" ht="15" hidden="1" customHeight="1" x14ac:dyDescent="0.2">
      <c r="A1091" s="134" t="s">
        <v>439</v>
      </c>
      <c r="B1091" s="107" t="s">
        <v>37</v>
      </c>
      <c r="C1091" s="107">
        <v>1140</v>
      </c>
      <c r="D1091" s="108">
        <v>1000</v>
      </c>
      <c r="E1091" s="134">
        <f>501.5+495.4</f>
        <v>996.9</v>
      </c>
      <c r="F1091" s="134" t="s">
        <v>8</v>
      </c>
      <c r="G1091" s="135"/>
      <c r="H1091" s="134" t="s">
        <v>28</v>
      </c>
      <c r="I1091" s="136">
        <v>43490</v>
      </c>
      <c r="J1091" s="134" t="s">
        <v>57</v>
      </c>
      <c r="K1091" s="134"/>
      <c r="L1091" s="134">
        <v>1</v>
      </c>
      <c r="M1091" s="134">
        <f t="shared" si="137"/>
        <v>1140</v>
      </c>
      <c r="N1091" s="137">
        <f t="shared" si="139"/>
        <v>1.5995872033023852E-2</v>
      </c>
    </row>
    <row r="1092" spans="1:14" ht="15" hidden="1" customHeight="1" x14ac:dyDescent="0.2">
      <c r="A1092" s="1" t="s">
        <v>440</v>
      </c>
      <c r="B1092" s="2" t="s">
        <v>38</v>
      </c>
      <c r="C1092" s="2">
        <v>1050</v>
      </c>
      <c r="D1092" s="7">
        <v>5000</v>
      </c>
      <c r="E1092" s="1">
        <f>190.7+1919.4</f>
        <v>2110.1</v>
      </c>
      <c r="H1092" s="1" t="s">
        <v>28</v>
      </c>
      <c r="I1092" s="8">
        <v>43490</v>
      </c>
      <c r="J1092" s="16" t="s">
        <v>57</v>
      </c>
      <c r="L1092" s="3">
        <v>1</v>
      </c>
      <c r="M1092" s="10">
        <f t="shared" ref="M1092:M1100" si="140">L1092*C1092</f>
        <v>1050</v>
      </c>
      <c r="N1092" s="29">
        <f t="shared" ref="N1092:N1100" si="141">(D1092-E1092)/(M1092*0.17)</f>
        <v>16.189915966386554</v>
      </c>
    </row>
    <row r="1093" spans="1:14" ht="15" hidden="1" customHeight="1" x14ac:dyDescent="0.2">
      <c r="A1093" s="1" t="s">
        <v>440</v>
      </c>
      <c r="B1093" s="2" t="s">
        <v>38</v>
      </c>
      <c r="C1093" s="2">
        <v>1080</v>
      </c>
      <c r="D1093" s="7">
        <v>3000</v>
      </c>
      <c r="H1093" s="1" t="s">
        <v>28</v>
      </c>
      <c r="I1093" s="8">
        <v>43490</v>
      </c>
      <c r="J1093" s="16" t="s">
        <v>57</v>
      </c>
      <c r="L1093" s="3">
        <v>1</v>
      </c>
      <c r="M1093" s="10">
        <f t="shared" si="140"/>
        <v>1080</v>
      </c>
      <c r="N1093" s="29">
        <f t="shared" si="141"/>
        <v>16.33986928104575</v>
      </c>
    </row>
    <row r="1094" spans="1:14" ht="15" hidden="1" customHeight="1" x14ac:dyDescent="0.2">
      <c r="A1094" s="1" t="s">
        <v>440</v>
      </c>
      <c r="B1094" s="2" t="s">
        <v>38</v>
      </c>
      <c r="C1094" s="2">
        <v>1220</v>
      </c>
      <c r="D1094" s="7">
        <v>1000</v>
      </c>
      <c r="H1094" s="1" t="s">
        <v>28</v>
      </c>
      <c r="I1094" s="8">
        <v>43490</v>
      </c>
      <c r="J1094" s="16" t="s">
        <v>57</v>
      </c>
      <c r="L1094" s="3">
        <v>1</v>
      </c>
      <c r="M1094" s="10">
        <f t="shared" si="140"/>
        <v>1220</v>
      </c>
      <c r="N1094" s="29">
        <f t="shared" si="141"/>
        <v>4.8216007714561231</v>
      </c>
    </row>
    <row r="1095" spans="1:14" ht="15" hidden="1" customHeight="1" x14ac:dyDescent="0.2">
      <c r="A1095" s="1" t="s">
        <v>440</v>
      </c>
      <c r="B1095" s="2" t="s">
        <v>38</v>
      </c>
      <c r="C1095" s="2">
        <v>1200</v>
      </c>
      <c r="D1095" s="7">
        <v>2500</v>
      </c>
      <c r="H1095" s="1" t="s">
        <v>28</v>
      </c>
      <c r="I1095" s="8">
        <v>43490</v>
      </c>
      <c r="J1095" s="16" t="s">
        <v>57</v>
      </c>
      <c r="L1095" s="3">
        <v>1</v>
      </c>
      <c r="M1095" s="10">
        <f t="shared" si="140"/>
        <v>1200</v>
      </c>
      <c r="N1095" s="29">
        <f t="shared" si="141"/>
        <v>12.254901960784313</v>
      </c>
    </row>
    <row r="1096" spans="1:14" ht="15" hidden="1" customHeight="1" x14ac:dyDescent="0.2">
      <c r="A1096" s="1" t="s">
        <v>440</v>
      </c>
      <c r="B1096" s="2" t="s">
        <v>38</v>
      </c>
      <c r="C1096" s="2">
        <v>1175</v>
      </c>
      <c r="D1096" s="7">
        <v>1000</v>
      </c>
      <c r="H1096" s="1" t="s">
        <v>28</v>
      </c>
      <c r="I1096" s="8">
        <v>43490</v>
      </c>
      <c r="J1096" s="16" t="s">
        <v>57</v>
      </c>
      <c r="L1096" s="3">
        <v>1</v>
      </c>
      <c r="M1096" s="10">
        <f t="shared" si="140"/>
        <v>1175</v>
      </c>
      <c r="N1096" s="29">
        <f t="shared" si="141"/>
        <v>5.0062578222778464</v>
      </c>
    </row>
    <row r="1097" spans="1:14" ht="15" hidden="1" customHeight="1" x14ac:dyDescent="0.2">
      <c r="A1097" s="1" t="s">
        <v>440</v>
      </c>
      <c r="B1097" s="2" t="s">
        <v>38</v>
      </c>
      <c r="C1097" s="2">
        <v>900</v>
      </c>
      <c r="D1097" s="7">
        <v>1500</v>
      </c>
      <c r="H1097" s="1" t="s">
        <v>28</v>
      </c>
      <c r="I1097" s="8">
        <v>43490</v>
      </c>
      <c r="J1097" s="16" t="s">
        <v>57</v>
      </c>
      <c r="L1097" s="3">
        <v>1</v>
      </c>
      <c r="M1097" s="10">
        <f t="shared" si="140"/>
        <v>900</v>
      </c>
      <c r="N1097" s="29">
        <f t="shared" si="141"/>
        <v>9.8039215686274517</v>
      </c>
    </row>
    <row r="1098" spans="1:14" ht="15" hidden="1" customHeight="1" x14ac:dyDescent="0.2">
      <c r="A1098" s="1" t="s">
        <v>440</v>
      </c>
      <c r="B1098" s="2" t="s">
        <v>38</v>
      </c>
      <c r="C1098" s="2">
        <v>1020</v>
      </c>
      <c r="D1098" s="7">
        <v>1000</v>
      </c>
      <c r="H1098" s="1" t="s">
        <v>28</v>
      </c>
      <c r="I1098" s="8">
        <v>43490</v>
      </c>
      <c r="J1098" s="16" t="s">
        <v>57</v>
      </c>
      <c r="L1098" s="3">
        <v>1</v>
      </c>
      <c r="M1098" s="10">
        <f t="shared" si="140"/>
        <v>1020</v>
      </c>
      <c r="N1098" s="29">
        <f t="shared" si="141"/>
        <v>5.7670126874279122</v>
      </c>
    </row>
    <row r="1099" spans="1:14" ht="15" hidden="1" customHeight="1" x14ac:dyDescent="0.2">
      <c r="A1099" s="1" t="s">
        <v>440</v>
      </c>
      <c r="B1099" s="2" t="s">
        <v>38</v>
      </c>
      <c r="C1099" s="2">
        <v>1180</v>
      </c>
      <c r="D1099" s="7">
        <v>2000</v>
      </c>
      <c r="H1099" s="1" t="s">
        <v>28</v>
      </c>
      <c r="I1099" s="8">
        <v>43490</v>
      </c>
      <c r="J1099" s="16" t="s">
        <v>57</v>
      </c>
      <c r="L1099" s="3">
        <v>1</v>
      </c>
      <c r="M1099" s="10">
        <f t="shared" si="140"/>
        <v>1180</v>
      </c>
      <c r="N1099" s="29">
        <f t="shared" si="141"/>
        <v>9.970089730807576</v>
      </c>
    </row>
    <row r="1100" spans="1:14" ht="15" hidden="1" customHeight="1" x14ac:dyDescent="0.2">
      <c r="A1100" s="1" t="s">
        <v>440</v>
      </c>
      <c r="B1100" s="2" t="s">
        <v>38</v>
      </c>
      <c r="C1100" s="2">
        <v>1320</v>
      </c>
      <c r="D1100" s="7">
        <v>1500</v>
      </c>
      <c r="H1100" s="1" t="s">
        <v>28</v>
      </c>
      <c r="I1100" s="8">
        <v>43490</v>
      </c>
      <c r="J1100" s="16" t="s">
        <v>57</v>
      </c>
      <c r="L1100" s="3">
        <v>1</v>
      </c>
      <c r="M1100" s="10">
        <f t="shared" si="140"/>
        <v>1320</v>
      </c>
      <c r="N1100" s="29">
        <f t="shared" si="141"/>
        <v>6.6844919786096257</v>
      </c>
    </row>
    <row r="1101" spans="1:14" ht="15" hidden="1" customHeight="1" x14ac:dyDescent="0.2">
      <c r="A1101" s="1" t="s">
        <v>441</v>
      </c>
      <c r="B1101" s="2" t="s">
        <v>39</v>
      </c>
      <c r="C1101" s="2">
        <v>120</v>
      </c>
      <c r="D1101" s="108">
        <f>500+1500-1500</f>
        <v>500</v>
      </c>
      <c r="E1101" s="1">
        <f>648</f>
        <v>648</v>
      </c>
      <c r="F1101" s="1" t="s">
        <v>8</v>
      </c>
      <c r="I1101" s="8">
        <v>43490</v>
      </c>
      <c r="J1101" s="16" t="s">
        <v>442</v>
      </c>
      <c r="L1101" s="3">
        <v>6</v>
      </c>
      <c r="M1101" s="10">
        <f t="shared" ref="M1101:M1139" si="142">L1101*C1101</f>
        <v>720</v>
      </c>
      <c r="N1101" s="29">
        <f t="shared" ref="N1101:N1143" si="143">(D1101-E1101)/(M1101*0.17)</f>
        <v>-1.2091503267973855</v>
      </c>
    </row>
    <row r="1102" spans="1:14" ht="15" hidden="1" customHeight="1" x14ac:dyDescent="0.2">
      <c r="A1102" s="1" t="s">
        <v>443</v>
      </c>
      <c r="B1102" s="2" t="s">
        <v>38</v>
      </c>
      <c r="C1102" s="54">
        <v>320</v>
      </c>
      <c r="D1102" s="7">
        <v>218</v>
      </c>
      <c r="E1102" s="1">
        <f>217.2</f>
        <v>217.2</v>
      </c>
      <c r="F1102" s="1" t="s">
        <v>8</v>
      </c>
      <c r="G1102" s="41">
        <v>1</v>
      </c>
      <c r="H1102" s="1" t="s">
        <v>444</v>
      </c>
      <c r="I1102" s="8">
        <v>43490</v>
      </c>
      <c r="J1102" s="16" t="s">
        <v>445</v>
      </c>
      <c r="L1102" s="3">
        <v>3</v>
      </c>
      <c r="M1102" s="10">
        <f t="shared" si="142"/>
        <v>960</v>
      </c>
      <c r="N1102" s="32">
        <f t="shared" si="143"/>
        <v>4.9019607843137948E-3</v>
      </c>
    </row>
    <row r="1103" spans="1:14" ht="15" hidden="1" customHeight="1" x14ac:dyDescent="0.2">
      <c r="A1103" s="1" t="s">
        <v>446</v>
      </c>
      <c r="B1103" s="2" t="s">
        <v>36</v>
      </c>
      <c r="C1103" s="54">
        <v>240</v>
      </c>
      <c r="D1103" s="7">
        <v>400</v>
      </c>
      <c r="E1103" s="1">
        <f>468.6</f>
        <v>468.6</v>
      </c>
      <c r="F1103" s="1" t="s">
        <v>8</v>
      </c>
      <c r="G1103" s="41">
        <v>1</v>
      </c>
      <c r="I1103" s="8">
        <v>43490</v>
      </c>
      <c r="J1103" s="16" t="s">
        <v>447</v>
      </c>
      <c r="L1103" s="10">
        <v>4</v>
      </c>
      <c r="M1103" s="10">
        <f t="shared" si="142"/>
        <v>960</v>
      </c>
      <c r="N1103" s="29">
        <f t="shared" si="143"/>
        <v>-0.42034313725490208</v>
      </c>
    </row>
    <row r="1104" spans="1:14" ht="15" hidden="1" customHeight="1" x14ac:dyDescent="0.2">
      <c r="A1104" s="1" t="s">
        <v>448</v>
      </c>
      <c r="B1104" s="2" t="s">
        <v>36</v>
      </c>
      <c r="C1104" s="54">
        <v>440</v>
      </c>
      <c r="D1104" s="7">
        <v>400</v>
      </c>
      <c r="E1104" s="1">
        <f>371.4</f>
        <v>371.4</v>
      </c>
      <c r="F1104" s="1" t="s">
        <v>8</v>
      </c>
      <c r="G1104" s="41">
        <v>1</v>
      </c>
      <c r="I1104" s="8">
        <v>43490</v>
      </c>
      <c r="J1104" s="16" t="s">
        <v>11</v>
      </c>
      <c r="L1104" s="10">
        <v>2</v>
      </c>
      <c r="M1104" s="10">
        <f t="shared" si="142"/>
        <v>880</v>
      </c>
      <c r="N1104" s="29">
        <f t="shared" si="143"/>
        <v>0.19117647058823542</v>
      </c>
    </row>
    <row r="1105" spans="1:14" ht="15" hidden="1" customHeight="1" x14ac:dyDescent="0.2">
      <c r="A1105" s="1" t="s">
        <v>453</v>
      </c>
      <c r="B1105" s="2" t="s">
        <v>40</v>
      </c>
      <c r="C1105" s="2">
        <v>640</v>
      </c>
      <c r="D1105" s="7">
        <v>400</v>
      </c>
      <c r="I1105" s="8">
        <v>43494</v>
      </c>
      <c r="J1105" s="16" t="s">
        <v>13</v>
      </c>
      <c r="L1105" s="3">
        <v>1</v>
      </c>
      <c r="M1105" s="10">
        <f t="shared" si="142"/>
        <v>640</v>
      </c>
      <c r="N1105" s="29">
        <f t="shared" si="143"/>
        <v>3.6764705882352939</v>
      </c>
    </row>
    <row r="1106" spans="1:14" ht="15" hidden="1" customHeight="1" x14ac:dyDescent="0.2">
      <c r="A1106" s="1" t="s">
        <v>453</v>
      </c>
      <c r="B1106" s="2" t="s">
        <v>40</v>
      </c>
      <c r="C1106" s="2">
        <v>680</v>
      </c>
      <c r="D1106" s="7">
        <v>400</v>
      </c>
      <c r="I1106" s="8">
        <v>43494</v>
      </c>
      <c r="J1106" s="16" t="s">
        <v>13</v>
      </c>
      <c r="L1106" s="3">
        <v>1</v>
      </c>
      <c r="M1106" s="10">
        <f t="shared" si="142"/>
        <v>680</v>
      </c>
      <c r="N1106" s="29">
        <f t="shared" si="143"/>
        <v>3.4602076124567471</v>
      </c>
    </row>
    <row r="1107" spans="1:14" ht="15" hidden="1" customHeight="1" x14ac:dyDescent="0.2">
      <c r="A1107" s="1" t="s">
        <v>453</v>
      </c>
      <c r="B1107" s="2" t="s">
        <v>40</v>
      </c>
      <c r="C1107" s="2">
        <v>700</v>
      </c>
      <c r="D1107" s="7">
        <v>400</v>
      </c>
      <c r="I1107" s="8">
        <v>43494</v>
      </c>
      <c r="J1107" s="16" t="s">
        <v>13</v>
      </c>
      <c r="L1107" s="3">
        <v>1</v>
      </c>
      <c r="M1107" s="10">
        <f t="shared" si="142"/>
        <v>700</v>
      </c>
      <c r="N1107" s="29">
        <f t="shared" si="143"/>
        <v>3.3613445378151257</v>
      </c>
    </row>
    <row r="1108" spans="1:14" ht="15" hidden="1" customHeight="1" x14ac:dyDescent="0.2">
      <c r="A1108" s="1" t="s">
        <v>453</v>
      </c>
      <c r="B1108" s="2" t="s">
        <v>40</v>
      </c>
      <c r="C1108" s="2">
        <v>740</v>
      </c>
      <c r="D1108" s="7">
        <v>400</v>
      </c>
      <c r="I1108" s="8">
        <v>43494</v>
      </c>
      <c r="J1108" s="16" t="s">
        <v>13</v>
      </c>
      <c r="L1108" s="3">
        <v>1</v>
      </c>
      <c r="M1108" s="10">
        <f t="shared" si="142"/>
        <v>740</v>
      </c>
      <c r="N1108" s="29">
        <f t="shared" si="143"/>
        <v>3.1796502384737675</v>
      </c>
    </row>
    <row r="1109" spans="1:14" ht="15" hidden="1" customHeight="1" x14ac:dyDescent="0.2">
      <c r="A1109" s="1" t="s">
        <v>453</v>
      </c>
      <c r="B1109" s="2" t="s">
        <v>40</v>
      </c>
      <c r="C1109" s="2">
        <v>760</v>
      </c>
      <c r="D1109" s="7">
        <v>400</v>
      </c>
      <c r="I1109" s="8">
        <v>43494</v>
      </c>
      <c r="J1109" s="16" t="s">
        <v>13</v>
      </c>
      <c r="L1109" s="3">
        <v>1</v>
      </c>
      <c r="M1109" s="10">
        <f t="shared" si="142"/>
        <v>760</v>
      </c>
      <c r="N1109" s="29">
        <f t="shared" si="143"/>
        <v>3.0959752321981422</v>
      </c>
    </row>
    <row r="1110" spans="1:14" ht="15" hidden="1" customHeight="1" x14ac:dyDescent="0.2">
      <c r="A1110" s="1" t="s">
        <v>453</v>
      </c>
      <c r="B1110" s="2" t="s">
        <v>40</v>
      </c>
      <c r="C1110" s="2">
        <v>800</v>
      </c>
      <c r="D1110" s="7">
        <v>400</v>
      </c>
      <c r="I1110" s="8">
        <v>43494</v>
      </c>
      <c r="J1110" s="16" t="s">
        <v>13</v>
      </c>
      <c r="L1110" s="3">
        <v>1</v>
      </c>
      <c r="M1110" s="10">
        <f t="shared" si="142"/>
        <v>800</v>
      </c>
      <c r="N1110" s="29">
        <f t="shared" si="143"/>
        <v>2.9411764705882355</v>
      </c>
    </row>
    <row r="1111" spans="1:14" ht="15" hidden="1" customHeight="1" x14ac:dyDescent="0.2">
      <c r="A1111" s="1" t="s">
        <v>453</v>
      </c>
      <c r="B1111" s="2" t="s">
        <v>40</v>
      </c>
      <c r="C1111" s="2">
        <v>880</v>
      </c>
      <c r="D1111" s="7">
        <v>400</v>
      </c>
      <c r="I1111" s="8">
        <v>43494</v>
      </c>
      <c r="J1111" s="16" t="s">
        <v>13</v>
      </c>
      <c r="M1111" s="10">
        <f t="shared" si="142"/>
        <v>0</v>
      </c>
      <c r="N1111" s="29" t="e">
        <f t="shared" si="143"/>
        <v>#DIV/0!</v>
      </c>
    </row>
    <row r="1112" spans="1:14" ht="15" hidden="1" customHeight="1" x14ac:dyDescent="0.2">
      <c r="A1112" s="1" t="s">
        <v>453</v>
      </c>
      <c r="B1112" s="2" t="s">
        <v>40</v>
      </c>
      <c r="C1112" s="2">
        <v>960</v>
      </c>
      <c r="D1112" s="7">
        <v>400</v>
      </c>
      <c r="I1112" s="8">
        <v>43494</v>
      </c>
      <c r="J1112" s="16" t="s">
        <v>13</v>
      </c>
      <c r="M1112" s="10">
        <f t="shared" si="142"/>
        <v>0</v>
      </c>
      <c r="N1112" s="29" t="e">
        <f t="shared" si="143"/>
        <v>#DIV/0!</v>
      </c>
    </row>
    <row r="1113" spans="1:14" ht="15" hidden="1" customHeight="1" x14ac:dyDescent="0.2">
      <c r="A1113" s="1" t="s">
        <v>453</v>
      </c>
      <c r="B1113" s="2" t="s">
        <v>40</v>
      </c>
      <c r="C1113" s="2">
        <v>1020</v>
      </c>
      <c r="D1113" s="7">
        <v>400</v>
      </c>
      <c r="I1113" s="8">
        <v>43494</v>
      </c>
      <c r="J1113" s="16" t="s">
        <v>13</v>
      </c>
      <c r="M1113" s="10">
        <f t="shared" si="142"/>
        <v>0</v>
      </c>
      <c r="N1113" s="29" t="e">
        <f t="shared" si="143"/>
        <v>#DIV/0!</v>
      </c>
    </row>
    <row r="1114" spans="1:14" ht="15" hidden="1" customHeight="1" x14ac:dyDescent="0.2">
      <c r="A1114" s="1" t="s">
        <v>453</v>
      </c>
      <c r="B1114" s="2" t="s">
        <v>40</v>
      </c>
      <c r="C1114" s="2">
        <v>1060</v>
      </c>
      <c r="D1114" s="7">
        <v>400</v>
      </c>
      <c r="I1114" s="8">
        <v>43494</v>
      </c>
      <c r="J1114" s="16" t="s">
        <v>13</v>
      </c>
      <c r="M1114" s="10">
        <f t="shared" si="142"/>
        <v>0</v>
      </c>
      <c r="N1114" s="29" t="e">
        <f t="shared" si="143"/>
        <v>#DIV/0!</v>
      </c>
    </row>
    <row r="1115" spans="1:14" ht="15" hidden="1" customHeight="1" x14ac:dyDescent="0.2">
      <c r="A1115" s="1" t="s">
        <v>453</v>
      </c>
      <c r="B1115" s="2" t="s">
        <v>40</v>
      </c>
      <c r="C1115" s="2">
        <v>1000</v>
      </c>
      <c r="D1115" s="7">
        <v>600</v>
      </c>
      <c r="I1115" s="8">
        <v>43494</v>
      </c>
      <c r="J1115" s="16" t="s">
        <v>13</v>
      </c>
      <c r="M1115" s="10">
        <f t="shared" si="142"/>
        <v>0</v>
      </c>
      <c r="N1115" s="29" t="e">
        <f t="shared" si="143"/>
        <v>#DIV/0!</v>
      </c>
    </row>
    <row r="1116" spans="1:14" ht="15" hidden="1" customHeight="1" x14ac:dyDescent="0.2">
      <c r="A1116" s="1" t="s">
        <v>453</v>
      </c>
      <c r="B1116" s="2" t="s">
        <v>40</v>
      </c>
      <c r="C1116" s="2">
        <v>1140</v>
      </c>
      <c r="D1116" s="1">
        <v>400</v>
      </c>
      <c r="I1116" s="8">
        <v>43494</v>
      </c>
      <c r="J1116" s="16" t="s">
        <v>13</v>
      </c>
      <c r="M1116" s="10">
        <f t="shared" si="142"/>
        <v>0</v>
      </c>
      <c r="N1116" s="29" t="e">
        <f t="shared" si="143"/>
        <v>#DIV/0!</v>
      </c>
    </row>
    <row r="1117" spans="1:14" ht="15" hidden="1" customHeight="1" x14ac:dyDescent="0.2">
      <c r="A1117" s="1" t="s">
        <v>453</v>
      </c>
      <c r="B1117" s="2" t="s">
        <v>40</v>
      </c>
      <c r="C1117" s="2">
        <v>1200</v>
      </c>
      <c r="D1117" s="1">
        <v>600</v>
      </c>
      <c r="I1117" s="8">
        <v>43494</v>
      </c>
      <c r="J1117" s="16" t="s">
        <v>13</v>
      </c>
      <c r="M1117" s="10">
        <f t="shared" si="142"/>
        <v>0</v>
      </c>
      <c r="N1117" s="29" t="e">
        <f t="shared" si="143"/>
        <v>#DIV/0!</v>
      </c>
    </row>
    <row r="1118" spans="1:14" s="158" customFormat="1" ht="15" customHeight="1" x14ac:dyDescent="0.2">
      <c r="A1118" s="152" t="s">
        <v>453</v>
      </c>
      <c r="B1118" s="153" t="s">
        <v>39</v>
      </c>
      <c r="C1118" s="153">
        <v>720</v>
      </c>
      <c r="D1118" s="154">
        <v>500</v>
      </c>
      <c r="E1118" s="152"/>
      <c r="F1118" s="152" t="s">
        <v>8</v>
      </c>
      <c r="G1118" s="155" t="s">
        <v>146</v>
      </c>
      <c r="H1118" s="152"/>
      <c r="I1118" s="156">
        <v>43494</v>
      </c>
      <c r="J1118" s="152" t="s">
        <v>13</v>
      </c>
      <c r="K1118" s="152"/>
      <c r="L1118" s="152">
        <v>1</v>
      </c>
      <c r="M1118" s="152">
        <f t="shared" si="142"/>
        <v>720</v>
      </c>
      <c r="N1118" s="157">
        <f t="shared" si="143"/>
        <v>4.0849673202614376</v>
      </c>
    </row>
    <row r="1119" spans="1:14" x14ac:dyDescent="0.2">
      <c r="A1119" s="1" t="s">
        <v>453</v>
      </c>
      <c r="B1119" s="2" t="s">
        <v>39</v>
      </c>
      <c r="C1119" s="2">
        <v>1000</v>
      </c>
      <c r="D1119" s="7">
        <v>600</v>
      </c>
      <c r="G1119" s="41">
        <v>4</v>
      </c>
      <c r="I1119" s="8">
        <v>43494</v>
      </c>
      <c r="J1119" s="16" t="s">
        <v>13</v>
      </c>
      <c r="L1119" s="3">
        <v>1</v>
      </c>
      <c r="M1119" s="10">
        <f t="shared" si="142"/>
        <v>1000</v>
      </c>
      <c r="N1119" s="29">
        <f t="shared" si="143"/>
        <v>3.5294117647058822</v>
      </c>
    </row>
    <row r="1120" spans="1:14" s="158" customFormat="1" ht="15" customHeight="1" x14ac:dyDescent="0.2">
      <c r="A1120" s="152" t="s">
        <v>453</v>
      </c>
      <c r="B1120" s="153" t="s">
        <v>39</v>
      </c>
      <c r="C1120" s="153">
        <v>1060</v>
      </c>
      <c r="D1120" s="154">
        <v>400</v>
      </c>
      <c r="E1120" s="152"/>
      <c r="F1120" s="152" t="s">
        <v>8</v>
      </c>
      <c r="G1120" s="155" t="s">
        <v>146</v>
      </c>
      <c r="H1120" s="152"/>
      <c r="I1120" s="156">
        <v>43494</v>
      </c>
      <c r="J1120" s="152" t="s">
        <v>13</v>
      </c>
      <c r="K1120" s="152"/>
      <c r="L1120" s="152">
        <v>1</v>
      </c>
      <c r="M1120" s="152">
        <f t="shared" si="142"/>
        <v>1060</v>
      </c>
      <c r="N1120" s="157">
        <f t="shared" si="143"/>
        <v>2.2197558268590454</v>
      </c>
    </row>
    <row r="1121" spans="1:14" s="158" customFormat="1" ht="15" customHeight="1" x14ac:dyDescent="0.2">
      <c r="A1121" s="152" t="s">
        <v>453</v>
      </c>
      <c r="B1121" s="153" t="s">
        <v>39</v>
      </c>
      <c r="C1121" s="153">
        <v>1080</v>
      </c>
      <c r="D1121" s="154">
        <v>400</v>
      </c>
      <c r="E1121" s="152"/>
      <c r="F1121" s="152" t="s">
        <v>8</v>
      </c>
      <c r="G1121" s="155" t="s">
        <v>146</v>
      </c>
      <c r="H1121" s="152"/>
      <c r="I1121" s="156">
        <v>43494</v>
      </c>
      <c r="J1121" s="152" t="s">
        <v>13</v>
      </c>
      <c r="K1121" s="152"/>
      <c r="L1121" s="152">
        <v>1</v>
      </c>
      <c r="M1121" s="152">
        <f t="shared" si="142"/>
        <v>1080</v>
      </c>
      <c r="N1121" s="157">
        <f t="shared" si="143"/>
        <v>2.1786492374727664</v>
      </c>
    </row>
    <row r="1122" spans="1:14" s="158" customFormat="1" ht="15" customHeight="1" x14ac:dyDescent="0.2">
      <c r="A1122" s="152" t="s">
        <v>453</v>
      </c>
      <c r="B1122" s="153" t="s">
        <v>39</v>
      </c>
      <c r="C1122" s="153">
        <v>1100</v>
      </c>
      <c r="D1122" s="154">
        <v>400</v>
      </c>
      <c r="E1122" s="152"/>
      <c r="F1122" s="152"/>
      <c r="G1122" s="155" t="s">
        <v>146</v>
      </c>
      <c r="H1122" s="152"/>
      <c r="I1122" s="156">
        <v>43494</v>
      </c>
      <c r="J1122" s="152" t="s">
        <v>13</v>
      </c>
      <c r="K1122" s="152"/>
      <c r="L1122" s="152">
        <v>1</v>
      </c>
      <c r="M1122" s="152">
        <f t="shared" si="142"/>
        <v>1100</v>
      </c>
      <c r="N1122" s="157">
        <f t="shared" si="143"/>
        <v>2.1390374331550803</v>
      </c>
    </row>
    <row r="1123" spans="1:14" s="12" customFormat="1" x14ac:dyDescent="0.2">
      <c r="A1123" s="10" t="s">
        <v>453</v>
      </c>
      <c r="B1123" s="139" t="s">
        <v>39</v>
      </c>
      <c r="C1123" s="139">
        <v>1160</v>
      </c>
      <c r="D1123" s="11">
        <v>500</v>
      </c>
      <c r="E1123" s="10"/>
      <c r="F1123" s="10"/>
      <c r="G1123" s="41">
        <v>4</v>
      </c>
      <c r="H1123" s="10"/>
      <c r="I1123" s="141">
        <v>43494</v>
      </c>
      <c r="J1123" s="10" t="s">
        <v>13</v>
      </c>
      <c r="K1123" s="10"/>
      <c r="L1123" s="10">
        <v>1</v>
      </c>
      <c r="M1123" s="10">
        <f t="shared" si="142"/>
        <v>1160</v>
      </c>
      <c r="N1123" s="29">
        <f t="shared" si="143"/>
        <v>2.5354969574036508</v>
      </c>
    </row>
    <row r="1124" spans="1:14" x14ac:dyDescent="0.2">
      <c r="A1124" s="1" t="s">
        <v>453</v>
      </c>
      <c r="B1124" s="2" t="s">
        <v>39</v>
      </c>
      <c r="C1124" s="2">
        <v>1200</v>
      </c>
      <c r="D1124" s="7">
        <v>600</v>
      </c>
      <c r="G1124" s="41">
        <v>4</v>
      </c>
      <c r="I1124" s="8">
        <v>43494</v>
      </c>
      <c r="J1124" s="16" t="s">
        <v>13</v>
      </c>
      <c r="L1124" s="3">
        <v>1</v>
      </c>
      <c r="M1124" s="10">
        <f t="shared" si="142"/>
        <v>1200</v>
      </c>
      <c r="N1124" s="29">
        <f t="shared" si="143"/>
        <v>2.9411764705882351</v>
      </c>
    </row>
    <row r="1125" spans="1:14" x14ac:dyDescent="0.2">
      <c r="A1125" s="1" t="s">
        <v>453</v>
      </c>
      <c r="B1125" s="2" t="s">
        <v>39</v>
      </c>
      <c r="C1125" s="2">
        <v>1220</v>
      </c>
      <c r="D1125" s="7">
        <v>600</v>
      </c>
      <c r="G1125" s="41">
        <v>4</v>
      </c>
      <c r="I1125" s="8">
        <v>43494</v>
      </c>
      <c r="J1125" s="16" t="s">
        <v>13</v>
      </c>
      <c r="L1125" s="3">
        <v>1</v>
      </c>
      <c r="M1125" s="10">
        <f t="shared" si="142"/>
        <v>1220</v>
      </c>
      <c r="N1125" s="29">
        <f t="shared" si="143"/>
        <v>2.892960462873674</v>
      </c>
    </row>
    <row r="1126" spans="1:14" s="104" customFormat="1" ht="15" hidden="1" customHeight="1" x14ac:dyDescent="0.2">
      <c r="A1126" s="98" t="s">
        <v>453</v>
      </c>
      <c r="B1126" s="99" t="s">
        <v>37</v>
      </c>
      <c r="C1126" s="99">
        <v>960</v>
      </c>
      <c r="D1126" s="100">
        <v>400</v>
      </c>
      <c r="E1126" s="98">
        <f>408</f>
        <v>408</v>
      </c>
      <c r="F1126" s="98" t="s">
        <v>8</v>
      </c>
      <c r="G1126" s="101">
        <v>2</v>
      </c>
      <c r="H1126" s="98"/>
      <c r="I1126" s="102">
        <v>43494</v>
      </c>
      <c r="J1126" s="98" t="s">
        <v>13</v>
      </c>
      <c r="K1126" s="98"/>
      <c r="L1126" s="98">
        <v>1</v>
      </c>
      <c r="M1126" s="98">
        <f t="shared" si="142"/>
        <v>960</v>
      </c>
      <c r="N1126" s="103">
        <f t="shared" si="143"/>
        <v>-4.9019607843137247E-2</v>
      </c>
    </row>
    <row r="1127" spans="1:14" s="96" customFormat="1" ht="15" hidden="1" customHeight="1" x14ac:dyDescent="0.2">
      <c r="A1127" s="90" t="s">
        <v>453</v>
      </c>
      <c r="B1127" s="91" t="s">
        <v>37</v>
      </c>
      <c r="C1127" s="91">
        <v>1000</v>
      </c>
      <c r="D1127" s="92">
        <v>400</v>
      </c>
      <c r="E1127" s="90">
        <f>385.7</f>
        <v>385.7</v>
      </c>
      <c r="F1127" s="90" t="s">
        <v>8</v>
      </c>
      <c r="G1127" s="93" t="s">
        <v>146</v>
      </c>
      <c r="H1127" s="90"/>
      <c r="I1127" s="94">
        <v>43494</v>
      </c>
      <c r="J1127" s="90" t="s">
        <v>13</v>
      </c>
      <c r="K1127" s="90"/>
      <c r="L1127" s="90">
        <v>1</v>
      </c>
      <c r="M1127" s="90">
        <f t="shared" si="142"/>
        <v>1000</v>
      </c>
      <c r="N1127" s="95">
        <f t="shared" si="143"/>
        <v>8.4117647058823602E-2</v>
      </c>
    </row>
    <row r="1128" spans="1:14" s="96" customFormat="1" ht="15" hidden="1" customHeight="1" x14ac:dyDescent="0.2">
      <c r="A1128" s="90" t="s">
        <v>453</v>
      </c>
      <c r="B1128" s="91" t="s">
        <v>37</v>
      </c>
      <c r="C1128" s="91">
        <v>1050</v>
      </c>
      <c r="D1128" s="92">
        <v>800</v>
      </c>
      <c r="E1128" s="90">
        <f>801.2</f>
        <v>801.2</v>
      </c>
      <c r="F1128" s="90" t="s">
        <v>8</v>
      </c>
      <c r="G1128" s="93">
        <v>2</v>
      </c>
      <c r="H1128" s="90"/>
      <c r="I1128" s="94">
        <v>43494</v>
      </c>
      <c r="J1128" s="90" t="s">
        <v>13</v>
      </c>
      <c r="K1128" s="90"/>
      <c r="L1128" s="90">
        <v>1</v>
      </c>
      <c r="M1128" s="90">
        <f t="shared" si="142"/>
        <v>1050</v>
      </c>
      <c r="N1128" s="95">
        <f t="shared" si="143"/>
        <v>-6.7226890756305066E-3</v>
      </c>
    </row>
    <row r="1129" spans="1:14" ht="15" hidden="1" customHeight="1" x14ac:dyDescent="0.2">
      <c r="A1129" s="1" t="s">
        <v>453</v>
      </c>
      <c r="B1129" s="2" t="s">
        <v>37</v>
      </c>
      <c r="C1129" s="2">
        <v>1200</v>
      </c>
      <c r="D1129" s="7">
        <v>600</v>
      </c>
      <c r="G1129" s="41">
        <v>2</v>
      </c>
      <c r="I1129" s="8">
        <v>43494</v>
      </c>
      <c r="J1129" s="16" t="s">
        <v>13</v>
      </c>
      <c r="L1129" s="10">
        <v>1</v>
      </c>
      <c r="M1129" s="10">
        <f t="shared" si="142"/>
        <v>1200</v>
      </c>
      <c r="N1129" s="29">
        <f t="shared" si="143"/>
        <v>2.9411764705882351</v>
      </c>
    </row>
    <row r="1130" spans="1:14" s="96" customFormat="1" ht="15" hidden="1" customHeight="1" x14ac:dyDescent="0.2">
      <c r="A1130" s="90" t="s">
        <v>453</v>
      </c>
      <c r="B1130" s="91" t="s">
        <v>36</v>
      </c>
      <c r="C1130" s="91">
        <v>1000</v>
      </c>
      <c r="D1130" s="92">
        <v>400</v>
      </c>
      <c r="E1130" s="90">
        <f>203.2+214.4</f>
        <v>417.6</v>
      </c>
      <c r="F1130" s="90" t="s">
        <v>8</v>
      </c>
      <c r="G1130" s="93">
        <v>1</v>
      </c>
      <c r="H1130" s="90"/>
      <c r="I1130" s="94">
        <v>43494</v>
      </c>
      <c r="J1130" s="90" t="s">
        <v>13</v>
      </c>
      <c r="K1130" s="90"/>
      <c r="L1130" s="90">
        <v>1</v>
      </c>
      <c r="M1130" s="90">
        <f t="shared" si="142"/>
        <v>1000</v>
      </c>
      <c r="N1130" s="95">
        <f t="shared" si="143"/>
        <v>-0.10352941176470602</v>
      </c>
    </row>
    <row r="1131" spans="1:14" s="96" customFormat="1" ht="15" hidden="1" customHeight="1" x14ac:dyDescent="0.2">
      <c r="A1131" s="90" t="s">
        <v>453</v>
      </c>
      <c r="B1131" s="91" t="s">
        <v>36</v>
      </c>
      <c r="C1131" s="91">
        <v>840</v>
      </c>
      <c r="D1131" s="92">
        <v>400</v>
      </c>
      <c r="E1131" s="90">
        <f>409.6</f>
        <v>409.6</v>
      </c>
      <c r="F1131" s="90" t="s">
        <v>8</v>
      </c>
      <c r="G1131" s="93">
        <v>1</v>
      </c>
      <c r="H1131" s="90"/>
      <c r="I1131" s="94">
        <v>43494</v>
      </c>
      <c r="J1131" s="90" t="s">
        <v>13</v>
      </c>
      <c r="K1131" s="90"/>
      <c r="L1131" s="90">
        <v>1</v>
      </c>
      <c r="M1131" s="90">
        <f t="shared" si="142"/>
        <v>840</v>
      </c>
      <c r="N1131" s="95">
        <f t="shared" si="143"/>
        <v>-6.7226890756302671E-2</v>
      </c>
    </row>
    <row r="1132" spans="1:14" s="158" customFormat="1" ht="15" customHeight="1" x14ac:dyDescent="0.2">
      <c r="A1132" s="152" t="s">
        <v>454</v>
      </c>
      <c r="B1132" s="153" t="s">
        <v>39</v>
      </c>
      <c r="C1132" s="153">
        <v>840</v>
      </c>
      <c r="D1132" s="154">
        <v>500</v>
      </c>
      <c r="E1132" s="152"/>
      <c r="F1132" s="152" t="s">
        <v>8</v>
      </c>
      <c r="G1132" s="155" t="s">
        <v>146</v>
      </c>
      <c r="H1132" s="152"/>
      <c r="I1132" s="156">
        <v>43494</v>
      </c>
      <c r="J1132" s="152" t="s">
        <v>13</v>
      </c>
      <c r="K1132" s="152"/>
      <c r="L1132" s="152">
        <v>1</v>
      </c>
      <c r="M1132" s="152">
        <f t="shared" si="142"/>
        <v>840</v>
      </c>
      <c r="N1132" s="157">
        <f t="shared" si="143"/>
        <v>3.5014005602240892</v>
      </c>
    </row>
    <row r="1133" spans="1:14" s="104" customFormat="1" ht="15" customHeight="1" x14ac:dyDescent="0.2">
      <c r="A1133" s="98" t="s">
        <v>454</v>
      </c>
      <c r="B1133" s="99" t="s">
        <v>39</v>
      </c>
      <c r="C1133" s="99">
        <v>860</v>
      </c>
      <c r="D1133" s="100">
        <v>600</v>
      </c>
      <c r="E1133" s="98"/>
      <c r="F1133" s="98" t="s">
        <v>8</v>
      </c>
      <c r="G1133" s="101" t="s">
        <v>146</v>
      </c>
      <c r="H1133" s="98"/>
      <c r="I1133" s="102">
        <v>43494</v>
      </c>
      <c r="J1133" s="98" t="s">
        <v>13</v>
      </c>
      <c r="K1133" s="98"/>
      <c r="L1133" s="98">
        <v>1</v>
      </c>
      <c r="M1133" s="98">
        <f t="shared" si="142"/>
        <v>860</v>
      </c>
      <c r="N1133" s="103">
        <f t="shared" si="143"/>
        <v>4.1039671682626535</v>
      </c>
    </row>
    <row r="1134" spans="1:14" ht="15" hidden="1" customHeight="1" x14ac:dyDescent="0.2">
      <c r="A1134" s="1" t="s">
        <v>454</v>
      </c>
      <c r="B1134" s="2" t="s">
        <v>38</v>
      </c>
      <c r="C1134" s="2">
        <v>760</v>
      </c>
      <c r="D1134" s="7">
        <v>1500</v>
      </c>
      <c r="E1134" s="1">
        <f>1428.5</f>
        <v>1428.5</v>
      </c>
      <c r="F1134" s="1" t="s">
        <v>8</v>
      </c>
      <c r="I1134" s="8">
        <v>43494</v>
      </c>
      <c r="J1134" s="16" t="s">
        <v>13</v>
      </c>
      <c r="L1134" s="10">
        <v>1</v>
      </c>
      <c r="M1134" s="10">
        <f t="shared" si="142"/>
        <v>760</v>
      </c>
      <c r="N1134" s="29">
        <f t="shared" si="143"/>
        <v>0.55340557275541791</v>
      </c>
    </row>
    <row r="1135" spans="1:14" s="96" customFormat="1" ht="15" hidden="1" customHeight="1" x14ac:dyDescent="0.2">
      <c r="A1135" s="90" t="s">
        <v>454</v>
      </c>
      <c r="B1135" s="91" t="s">
        <v>37</v>
      </c>
      <c r="C1135" s="91">
        <v>960</v>
      </c>
      <c r="D1135" s="92">
        <v>800</v>
      </c>
      <c r="E1135" s="90">
        <f>842.4</f>
        <v>842.4</v>
      </c>
      <c r="F1135" s="90" t="s">
        <v>8</v>
      </c>
      <c r="G1135" s="93">
        <v>1</v>
      </c>
      <c r="H1135" s="90"/>
      <c r="I1135" s="94">
        <v>43494</v>
      </c>
      <c r="J1135" s="90" t="s">
        <v>13</v>
      </c>
      <c r="K1135" s="90"/>
      <c r="L1135" s="90">
        <v>1</v>
      </c>
      <c r="M1135" s="90">
        <f t="shared" si="142"/>
        <v>960</v>
      </c>
      <c r="N1135" s="95">
        <f t="shared" si="143"/>
        <v>-0.25980392156862731</v>
      </c>
    </row>
    <row r="1136" spans="1:14" s="96" customFormat="1" ht="15" hidden="1" customHeight="1" x14ac:dyDescent="0.2">
      <c r="A1136" s="90" t="s">
        <v>454</v>
      </c>
      <c r="B1136" s="91" t="s">
        <v>37</v>
      </c>
      <c r="C1136" s="91">
        <v>980</v>
      </c>
      <c r="D1136" s="92">
        <v>800</v>
      </c>
      <c r="E1136" s="90">
        <f>855.3</f>
        <v>855.3</v>
      </c>
      <c r="F1136" s="90" t="s">
        <v>8</v>
      </c>
      <c r="G1136" s="93">
        <v>1</v>
      </c>
      <c r="H1136" s="90"/>
      <c r="I1136" s="94">
        <v>43494</v>
      </c>
      <c r="J1136" s="90" t="s">
        <v>13</v>
      </c>
      <c r="K1136" s="90"/>
      <c r="L1136" s="90">
        <v>1</v>
      </c>
      <c r="M1136" s="90">
        <f t="shared" si="142"/>
        <v>980</v>
      </c>
      <c r="N1136" s="95">
        <f t="shared" si="143"/>
        <v>-0.33193277310924341</v>
      </c>
    </row>
    <row r="1137" spans="1:14" s="71" customFormat="1" ht="15" hidden="1" customHeight="1" x14ac:dyDescent="0.2">
      <c r="A1137" s="65" t="s">
        <v>449</v>
      </c>
      <c r="B1137" s="66" t="s">
        <v>39</v>
      </c>
      <c r="C1137" s="66">
        <v>450</v>
      </c>
      <c r="D1137" s="67">
        <v>3000</v>
      </c>
      <c r="E1137" s="65">
        <f>1389.4+1679.1</f>
        <v>3068.5</v>
      </c>
      <c r="F1137" s="65" t="s">
        <v>8</v>
      </c>
      <c r="G1137" s="68">
        <v>1</v>
      </c>
      <c r="H1137" s="65"/>
      <c r="I1137" s="69">
        <v>43493</v>
      </c>
      <c r="J1137" s="65" t="s">
        <v>450</v>
      </c>
      <c r="K1137" s="65"/>
      <c r="L1137" s="65">
        <v>3</v>
      </c>
      <c r="M1137" s="65">
        <f t="shared" si="142"/>
        <v>1350</v>
      </c>
      <c r="N1137" s="103">
        <f t="shared" si="143"/>
        <v>-0.29847494553376902</v>
      </c>
    </row>
    <row r="1138" spans="1:14" s="158" customFormat="1" ht="15" customHeight="1" x14ac:dyDescent="0.2">
      <c r="A1138" s="152" t="s">
        <v>449</v>
      </c>
      <c r="B1138" s="153" t="s">
        <v>39</v>
      </c>
      <c r="C1138" s="91">
        <v>480</v>
      </c>
      <c r="D1138" s="154">
        <v>2000</v>
      </c>
      <c r="E1138" s="152"/>
      <c r="F1138" s="152" t="s">
        <v>8</v>
      </c>
      <c r="G1138" s="155" t="s">
        <v>146</v>
      </c>
      <c r="H1138" s="152"/>
      <c r="I1138" s="156">
        <v>43493</v>
      </c>
      <c r="J1138" s="152" t="s">
        <v>450</v>
      </c>
      <c r="K1138" s="152"/>
      <c r="L1138" s="152">
        <v>2</v>
      </c>
      <c r="M1138" s="152">
        <f t="shared" si="142"/>
        <v>960</v>
      </c>
      <c r="N1138" s="157">
        <f t="shared" si="143"/>
        <v>12.254901960784313</v>
      </c>
    </row>
    <row r="1139" spans="1:14" s="71" customFormat="1" ht="15" hidden="1" customHeight="1" x14ac:dyDescent="0.2">
      <c r="A1139" s="65" t="s">
        <v>449</v>
      </c>
      <c r="B1139" s="66" t="s">
        <v>39</v>
      </c>
      <c r="C1139" s="66">
        <v>380</v>
      </c>
      <c r="D1139" s="67">
        <v>1000</v>
      </c>
      <c r="E1139" s="16">
        <f>986.3</f>
        <v>986.3</v>
      </c>
      <c r="F1139" s="65" t="s">
        <v>8</v>
      </c>
      <c r="G1139" s="68">
        <v>1</v>
      </c>
      <c r="H1139" s="65"/>
      <c r="I1139" s="69">
        <v>43493</v>
      </c>
      <c r="J1139" s="65" t="s">
        <v>450</v>
      </c>
      <c r="K1139" s="65"/>
      <c r="L1139" s="65">
        <v>3</v>
      </c>
      <c r="M1139" s="65">
        <f t="shared" si="142"/>
        <v>1140</v>
      </c>
      <c r="N1139" s="70">
        <f t="shared" si="143"/>
        <v>7.0691434468524481E-2</v>
      </c>
    </row>
    <row r="1140" spans="1:14" s="96" customFormat="1" ht="15" hidden="1" customHeight="1" x14ac:dyDescent="0.2">
      <c r="A1140" s="90" t="s">
        <v>449</v>
      </c>
      <c r="B1140" s="91" t="s">
        <v>36</v>
      </c>
      <c r="C1140" s="91">
        <v>420</v>
      </c>
      <c r="D1140" s="92">
        <v>1000</v>
      </c>
      <c r="E1140" s="90">
        <f>1003.2</f>
        <v>1003.2</v>
      </c>
      <c r="F1140" s="90" t="s">
        <v>8</v>
      </c>
      <c r="G1140" s="93">
        <v>1</v>
      </c>
      <c r="H1140" s="90"/>
      <c r="I1140" s="94">
        <v>43493</v>
      </c>
      <c r="J1140" s="90" t="s">
        <v>450</v>
      </c>
      <c r="K1140" s="90"/>
      <c r="L1140" s="90">
        <v>2</v>
      </c>
      <c r="M1140" s="90">
        <f t="shared" ref="M1140:M1141" si="144">L1140*C1140</f>
        <v>840</v>
      </c>
      <c r="N1140" s="95">
        <f t="shared" ref="N1140" si="145">(D1140-E1140)/(M1140*0.17)</f>
        <v>-2.240896358543449E-2</v>
      </c>
    </row>
    <row r="1141" spans="1:14" s="158" customFormat="1" ht="15" customHeight="1" x14ac:dyDescent="0.2">
      <c r="A1141" s="152" t="s">
        <v>449</v>
      </c>
      <c r="B1141" s="153" t="s">
        <v>39</v>
      </c>
      <c r="C1141" s="91">
        <v>540</v>
      </c>
      <c r="D1141" s="154">
        <v>500</v>
      </c>
      <c r="E1141" s="152"/>
      <c r="F1141" s="152" t="s">
        <v>8</v>
      </c>
      <c r="G1141" s="155" t="s">
        <v>146</v>
      </c>
      <c r="H1141" s="152"/>
      <c r="I1141" s="156">
        <v>43493</v>
      </c>
      <c r="J1141" s="152" t="s">
        <v>450</v>
      </c>
      <c r="K1141" s="152"/>
      <c r="L1141" s="152">
        <v>2</v>
      </c>
      <c r="M1141" s="152">
        <f t="shared" si="144"/>
        <v>1080</v>
      </c>
      <c r="N1141" s="157">
        <f t="shared" si="143"/>
        <v>2.7233115468409581</v>
      </c>
    </row>
    <row r="1142" spans="1:14" s="60" customFormat="1" ht="15" hidden="1" customHeight="1" x14ac:dyDescent="0.2">
      <c r="A1142" s="55" t="s">
        <v>225</v>
      </c>
      <c r="B1142" s="54" t="s">
        <v>40</v>
      </c>
      <c r="C1142" s="54">
        <v>240</v>
      </c>
      <c r="D1142" s="56">
        <v>400</v>
      </c>
      <c r="E1142" s="55">
        <f>465.6</f>
        <v>465.6</v>
      </c>
      <c r="F1142" s="55" t="s">
        <v>8</v>
      </c>
      <c r="G1142" s="57"/>
      <c r="H1142" s="55"/>
      <c r="I1142" s="58">
        <v>43493</v>
      </c>
      <c r="J1142" s="55" t="s">
        <v>226</v>
      </c>
      <c r="K1142" s="55"/>
      <c r="L1142" s="55"/>
      <c r="M1142" s="55"/>
      <c r="N1142" s="59"/>
    </row>
    <row r="1143" spans="1:14" s="71" customFormat="1" ht="15" hidden="1" customHeight="1" x14ac:dyDescent="0.2">
      <c r="A1143" s="65" t="s">
        <v>434</v>
      </c>
      <c r="B1143" s="66" t="s">
        <v>39</v>
      </c>
      <c r="C1143" s="66">
        <v>1140</v>
      </c>
      <c r="D1143" s="67" t="s">
        <v>531</v>
      </c>
      <c r="E1143" s="65">
        <f>1602.2</f>
        <v>1602.2</v>
      </c>
      <c r="F1143" s="65" t="s">
        <v>8</v>
      </c>
      <c r="G1143" s="68">
        <v>1</v>
      </c>
      <c r="H1143" s="65" t="s">
        <v>451</v>
      </c>
      <c r="I1143" s="69">
        <v>43493</v>
      </c>
      <c r="J1143" s="65" t="s">
        <v>266</v>
      </c>
      <c r="K1143" s="65" t="s">
        <v>452</v>
      </c>
      <c r="L1143" s="65">
        <v>1</v>
      </c>
      <c r="M1143" s="65">
        <f t="shared" ref="M1143" si="146">L1143*C1143</f>
        <v>1140</v>
      </c>
      <c r="N1143" s="70" t="e">
        <f t="shared" si="143"/>
        <v>#VALUE!</v>
      </c>
    </row>
    <row r="1144" spans="1:14" ht="15" hidden="1" customHeight="1" x14ac:dyDescent="0.2">
      <c r="A1144" s="1" t="s">
        <v>434</v>
      </c>
      <c r="B1144" s="2" t="s">
        <v>40</v>
      </c>
      <c r="C1144" s="2">
        <v>820</v>
      </c>
      <c r="D1144" s="7">
        <v>500</v>
      </c>
      <c r="H1144" s="1" t="s">
        <v>451</v>
      </c>
      <c r="I1144" s="8">
        <v>43493</v>
      </c>
      <c r="J1144" s="16" t="s">
        <v>266</v>
      </c>
      <c r="K1144" s="1" t="s">
        <v>452</v>
      </c>
    </row>
    <row r="1145" spans="1:14" ht="15" hidden="1" customHeight="1" x14ac:dyDescent="0.2">
      <c r="A1145" s="1" t="s">
        <v>455</v>
      </c>
      <c r="B1145" s="2" t="s">
        <v>40</v>
      </c>
      <c r="C1145" s="2">
        <v>840</v>
      </c>
      <c r="D1145" s="7">
        <v>1000</v>
      </c>
      <c r="I1145" s="8">
        <v>43494</v>
      </c>
      <c r="J1145" s="16" t="s">
        <v>13</v>
      </c>
    </row>
    <row r="1146" spans="1:14" ht="15" hidden="1" customHeight="1" x14ac:dyDescent="0.2">
      <c r="A1146" s="1" t="s">
        <v>455</v>
      </c>
      <c r="B1146" s="2" t="s">
        <v>40</v>
      </c>
      <c r="C1146" s="2">
        <v>900</v>
      </c>
      <c r="D1146" s="7">
        <v>1000</v>
      </c>
      <c r="I1146" s="8">
        <v>43494</v>
      </c>
      <c r="J1146" s="16" t="s">
        <v>13</v>
      </c>
    </row>
    <row r="1147" spans="1:14" ht="15" hidden="1" customHeight="1" x14ac:dyDescent="0.2">
      <c r="A1147" s="1" t="s">
        <v>455</v>
      </c>
      <c r="B1147" s="2" t="s">
        <v>40</v>
      </c>
      <c r="C1147" s="2">
        <v>950</v>
      </c>
      <c r="D1147" s="7">
        <v>1000</v>
      </c>
      <c r="I1147" s="8">
        <v>43494</v>
      </c>
      <c r="J1147" s="16" t="s">
        <v>13</v>
      </c>
    </row>
    <row r="1148" spans="1:14" ht="15" hidden="1" customHeight="1" x14ac:dyDescent="0.2">
      <c r="A1148" s="1" t="s">
        <v>455</v>
      </c>
      <c r="B1148" s="2" t="s">
        <v>40</v>
      </c>
      <c r="C1148" s="2">
        <v>990</v>
      </c>
      <c r="D1148" s="7">
        <v>1000</v>
      </c>
      <c r="I1148" s="8">
        <v>43494</v>
      </c>
      <c r="J1148" s="16" t="s">
        <v>13</v>
      </c>
    </row>
    <row r="1149" spans="1:14" x14ac:dyDescent="0.2">
      <c r="A1149" s="1" t="s">
        <v>455</v>
      </c>
      <c r="B1149" s="139" t="s">
        <v>39</v>
      </c>
      <c r="C1149" s="2">
        <v>840</v>
      </c>
      <c r="D1149" s="7">
        <v>1000</v>
      </c>
      <c r="G1149" s="41">
        <v>4</v>
      </c>
      <c r="I1149" s="8">
        <v>43494</v>
      </c>
      <c r="J1149" s="16" t="s">
        <v>13</v>
      </c>
      <c r="L1149" s="3">
        <v>1</v>
      </c>
      <c r="M1149" s="10">
        <f t="shared" ref="M1149:M1150" si="147">L1149*C1149</f>
        <v>840</v>
      </c>
      <c r="N1149" s="29">
        <f t="shared" ref="N1149:N1150" si="148">(D1149-E1149)/(M1149*0.17)</f>
        <v>7.0028011204481784</v>
      </c>
    </row>
    <row r="1150" spans="1:14" s="158" customFormat="1" ht="15" customHeight="1" x14ac:dyDescent="0.2">
      <c r="A1150" s="152" t="s">
        <v>455</v>
      </c>
      <c r="B1150" s="153" t="s">
        <v>39</v>
      </c>
      <c r="C1150" s="153">
        <v>960</v>
      </c>
      <c r="D1150" s="154">
        <v>1000</v>
      </c>
      <c r="E1150" s="152"/>
      <c r="F1150" s="152" t="s">
        <v>8</v>
      </c>
      <c r="G1150" s="155" t="s">
        <v>146</v>
      </c>
      <c r="H1150" s="152"/>
      <c r="I1150" s="156">
        <v>43494</v>
      </c>
      <c r="J1150" s="152" t="s">
        <v>13</v>
      </c>
      <c r="K1150" s="152"/>
      <c r="L1150" s="152">
        <v>1</v>
      </c>
      <c r="M1150" s="152">
        <f t="shared" si="147"/>
        <v>960</v>
      </c>
      <c r="N1150" s="157">
        <f t="shared" si="148"/>
        <v>6.1274509803921564</v>
      </c>
    </row>
    <row r="1151" spans="1:14" ht="15" hidden="1" customHeight="1" x14ac:dyDescent="0.2">
      <c r="A1151" s="1" t="s">
        <v>455</v>
      </c>
      <c r="B1151" s="2" t="s">
        <v>37</v>
      </c>
      <c r="C1151" s="2">
        <v>600</v>
      </c>
      <c r="D1151" s="7">
        <v>3000</v>
      </c>
      <c r="G1151" s="41">
        <v>2</v>
      </c>
      <c r="I1151" s="8">
        <v>43494</v>
      </c>
      <c r="J1151" s="16" t="s">
        <v>13</v>
      </c>
      <c r="L1151" s="10">
        <v>1</v>
      </c>
      <c r="M1151" s="10">
        <f t="shared" ref="M1151:M1162" si="149">L1151*C1151</f>
        <v>600</v>
      </c>
      <c r="N1151" s="29">
        <f t="shared" ref="N1151:N1162" si="150">(D1151-E1151)/(M1151*0.17)</f>
        <v>29.411764705882348</v>
      </c>
    </row>
    <row r="1152" spans="1:14" s="104" customFormat="1" ht="15" hidden="1" customHeight="1" x14ac:dyDescent="0.2">
      <c r="A1152" s="98" t="s">
        <v>455</v>
      </c>
      <c r="B1152" s="99" t="s">
        <v>37</v>
      </c>
      <c r="C1152" s="99">
        <v>700</v>
      </c>
      <c r="D1152" s="100">
        <v>1000</v>
      </c>
      <c r="E1152" s="98">
        <f>141.8+885.4</f>
        <v>1027.2</v>
      </c>
      <c r="F1152" s="98" t="s">
        <v>8</v>
      </c>
      <c r="G1152" s="101">
        <v>2</v>
      </c>
      <c r="H1152" s="98"/>
      <c r="I1152" s="102">
        <v>43494</v>
      </c>
      <c r="J1152" s="98" t="s">
        <v>13</v>
      </c>
      <c r="K1152" s="98"/>
      <c r="L1152" s="98">
        <v>1</v>
      </c>
      <c r="M1152" s="98">
        <f t="shared" si="149"/>
        <v>700</v>
      </c>
      <c r="N1152" s="103">
        <f t="shared" si="150"/>
        <v>-0.22857142857142893</v>
      </c>
    </row>
    <row r="1153" spans="1:14" ht="15" hidden="1" customHeight="1" x14ac:dyDescent="0.2">
      <c r="A1153" s="1" t="s">
        <v>455</v>
      </c>
      <c r="B1153" s="2" t="s">
        <v>37</v>
      </c>
      <c r="C1153" s="2">
        <v>750</v>
      </c>
      <c r="D1153" s="7">
        <v>1000</v>
      </c>
      <c r="E1153" s="1">
        <f>269</f>
        <v>269</v>
      </c>
      <c r="G1153" s="41">
        <v>2</v>
      </c>
      <c r="I1153" s="8">
        <v>43494</v>
      </c>
      <c r="J1153" s="16" t="s">
        <v>13</v>
      </c>
      <c r="L1153" s="10">
        <v>1</v>
      </c>
      <c r="M1153" s="10">
        <f t="shared" si="149"/>
        <v>750</v>
      </c>
      <c r="N1153" s="29">
        <f t="shared" si="150"/>
        <v>5.7333333333333325</v>
      </c>
    </row>
    <row r="1154" spans="1:14" ht="15" hidden="1" customHeight="1" x14ac:dyDescent="0.2">
      <c r="A1154" s="1" t="s">
        <v>455</v>
      </c>
      <c r="B1154" s="2" t="s">
        <v>37</v>
      </c>
      <c r="C1154" s="2">
        <v>1020</v>
      </c>
      <c r="D1154" s="7">
        <v>1000</v>
      </c>
      <c r="G1154" s="41">
        <v>2</v>
      </c>
      <c r="I1154" s="8">
        <v>43494</v>
      </c>
      <c r="J1154" s="16" t="s">
        <v>13</v>
      </c>
      <c r="L1154" s="10">
        <v>1</v>
      </c>
      <c r="M1154" s="10">
        <f t="shared" si="149"/>
        <v>1020</v>
      </c>
      <c r="N1154" s="29">
        <f t="shared" si="150"/>
        <v>5.7670126874279122</v>
      </c>
    </row>
    <row r="1155" spans="1:14" s="96" customFormat="1" ht="15" hidden="1" customHeight="1" x14ac:dyDescent="0.2">
      <c r="A1155" s="90" t="s">
        <v>455</v>
      </c>
      <c r="B1155" s="91" t="s">
        <v>36</v>
      </c>
      <c r="C1155" s="91">
        <v>760</v>
      </c>
      <c r="D1155" s="92">
        <v>2000</v>
      </c>
      <c r="E1155" s="90">
        <f>337.9+984.9+550+151.4</f>
        <v>2024.2</v>
      </c>
      <c r="F1155" s="90" t="s">
        <v>8</v>
      </c>
      <c r="G1155" s="93">
        <v>1</v>
      </c>
      <c r="H1155" s="90"/>
      <c r="I1155" s="94">
        <v>43494</v>
      </c>
      <c r="J1155" s="90" t="s">
        <v>13</v>
      </c>
      <c r="K1155" s="90"/>
      <c r="L1155" s="90">
        <v>1</v>
      </c>
      <c r="M1155" s="90">
        <f t="shared" si="149"/>
        <v>760</v>
      </c>
      <c r="N1155" s="95">
        <f t="shared" si="150"/>
        <v>-0.18730650154798795</v>
      </c>
    </row>
    <row r="1156" spans="1:14" s="96" customFormat="1" ht="15" hidden="1" customHeight="1" x14ac:dyDescent="0.2">
      <c r="A1156" s="90" t="s">
        <v>455</v>
      </c>
      <c r="B1156" s="91" t="s">
        <v>36</v>
      </c>
      <c r="C1156" s="91">
        <v>800</v>
      </c>
      <c r="D1156" s="92">
        <v>6000</v>
      </c>
      <c r="E1156" s="90">
        <f>1867.4+4162.2</f>
        <v>6029.6</v>
      </c>
      <c r="F1156" s="90" t="s">
        <v>8</v>
      </c>
      <c r="G1156" s="93">
        <v>1</v>
      </c>
      <c r="H1156" s="90"/>
      <c r="I1156" s="94">
        <v>43494</v>
      </c>
      <c r="J1156" s="90" t="s">
        <v>13</v>
      </c>
      <c r="K1156" s="90"/>
      <c r="L1156" s="90">
        <v>1</v>
      </c>
      <c r="M1156" s="90">
        <f t="shared" si="149"/>
        <v>800</v>
      </c>
      <c r="N1156" s="95">
        <f t="shared" si="150"/>
        <v>-0.21764705882353208</v>
      </c>
    </row>
    <row r="1157" spans="1:14" s="96" customFormat="1" ht="15" hidden="1" customHeight="1" x14ac:dyDescent="0.2">
      <c r="A1157" s="90" t="s">
        <v>455</v>
      </c>
      <c r="B1157" s="91" t="s">
        <v>36</v>
      </c>
      <c r="C1157" s="91">
        <v>900</v>
      </c>
      <c r="D1157" s="92">
        <v>4000</v>
      </c>
      <c r="E1157" s="90">
        <f>860.9+1225.5+1874.7</f>
        <v>3961.1000000000004</v>
      </c>
      <c r="F1157" s="90" t="s">
        <v>8</v>
      </c>
      <c r="G1157" s="93" t="s">
        <v>146</v>
      </c>
      <c r="H1157" s="90"/>
      <c r="I1157" s="94">
        <v>43494</v>
      </c>
      <c r="J1157" s="90" t="s">
        <v>13</v>
      </c>
      <c r="K1157" s="90"/>
      <c r="L1157" s="90">
        <v>1</v>
      </c>
      <c r="M1157" s="90">
        <f t="shared" si="149"/>
        <v>900</v>
      </c>
      <c r="N1157" s="95">
        <f t="shared" si="150"/>
        <v>0.25424836601306949</v>
      </c>
    </row>
    <row r="1158" spans="1:14" s="96" customFormat="1" ht="15" hidden="1" customHeight="1" x14ac:dyDescent="0.2">
      <c r="A1158" s="90" t="s">
        <v>455</v>
      </c>
      <c r="B1158" s="91" t="s">
        <v>36</v>
      </c>
      <c r="C1158" s="91">
        <v>960</v>
      </c>
      <c r="D1158" s="92">
        <v>5000</v>
      </c>
      <c r="E1158" s="90">
        <f>2235.4+1933.9+993.7</f>
        <v>5163</v>
      </c>
      <c r="F1158" s="90" t="s">
        <v>8</v>
      </c>
      <c r="G1158" s="93">
        <v>1</v>
      </c>
      <c r="H1158" s="90"/>
      <c r="I1158" s="94">
        <v>43494</v>
      </c>
      <c r="J1158" s="90" t="s">
        <v>13</v>
      </c>
      <c r="K1158" s="90"/>
      <c r="L1158" s="90">
        <v>1</v>
      </c>
      <c r="M1158" s="90">
        <f t="shared" si="149"/>
        <v>960</v>
      </c>
      <c r="N1158" s="95">
        <f t="shared" si="150"/>
        <v>-0.99877450980392146</v>
      </c>
    </row>
    <row r="1159" spans="1:14" s="96" customFormat="1" ht="15" hidden="1" customHeight="1" x14ac:dyDescent="0.2">
      <c r="A1159" s="90" t="s">
        <v>455</v>
      </c>
      <c r="B1159" s="91" t="s">
        <v>36</v>
      </c>
      <c r="C1159" s="91">
        <v>1000</v>
      </c>
      <c r="D1159" s="92">
        <v>2000</v>
      </c>
      <c r="E1159" s="90">
        <f>1919+244.6</f>
        <v>2163.6</v>
      </c>
      <c r="F1159" s="90" t="s">
        <v>8</v>
      </c>
      <c r="G1159" s="93">
        <v>1</v>
      </c>
      <c r="H1159" s="90"/>
      <c r="I1159" s="94">
        <v>43494</v>
      </c>
      <c r="J1159" s="90" t="s">
        <v>13</v>
      </c>
      <c r="K1159" s="90"/>
      <c r="L1159" s="90">
        <v>1</v>
      </c>
      <c r="M1159" s="90">
        <f t="shared" si="149"/>
        <v>1000</v>
      </c>
      <c r="N1159" s="95">
        <f t="shared" si="150"/>
        <v>-0.96235294117647008</v>
      </c>
    </row>
    <row r="1160" spans="1:14" s="96" customFormat="1" ht="15" hidden="1" customHeight="1" x14ac:dyDescent="0.2">
      <c r="A1160" s="90" t="s">
        <v>455</v>
      </c>
      <c r="B1160" s="91" t="s">
        <v>36</v>
      </c>
      <c r="C1160" s="91">
        <v>1040</v>
      </c>
      <c r="D1160" s="92">
        <v>5000</v>
      </c>
      <c r="E1160" s="90">
        <f>2400+1646.3+1072.7</f>
        <v>5119</v>
      </c>
      <c r="F1160" s="90" t="s">
        <v>8</v>
      </c>
      <c r="G1160" s="93">
        <v>1</v>
      </c>
      <c r="H1160" s="90"/>
      <c r="I1160" s="94">
        <v>43494</v>
      </c>
      <c r="J1160" s="90" t="s">
        <v>13</v>
      </c>
      <c r="K1160" s="90"/>
      <c r="L1160" s="90">
        <v>1</v>
      </c>
      <c r="M1160" s="90">
        <f t="shared" si="149"/>
        <v>1040</v>
      </c>
      <c r="N1160" s="95">
        <f t="shared" si="150"/>
        <v>-0.67307692307692302</v>
      </c>
    </row>
    <row r="1161" spans="1:14" s="148" customFormat="1" ht="15" hidden="1" customHeight="1" x14ac:dyDescent="0.2">
      <c r="A1161" s="142" t="s">
        <v>455</v>
      </c>
      <c r="B1161" s="143" t="s">
        <v>36</v>
      </c>
      <c r="C1161" s="143">
        <v>1140</v>
      </c>
      <c r="D1161" s="144">
        <v>3000</v>
      </c>
      <c r="E1161" s="142">
        <f>1755.9+1292.9</f>
        <v>3048.8</v>
      </c>
      <c r="F1161" s="142" t="s">
        <v>8</v>
      </c>
      <c r="G1161" s="145">
        <v>1</v>
      </c>
      <c r="H1161" s="142"/>
      <c r="I1161" s="146">
        <v>43494</v>
      </c>
      <c r="J1161" s="142" t="s">
        <v>13</v>
      </c>
      <c r="K1161" s="142"/>
      <c r="L1161" s="142">
        <v>1</v>
      </c>
      <c r="M1161" s="142">
        <f t="shared" si="149"/>
        <v>1140</v>
      </c>
      <c r="N1161" s="147">
        <f t="shared" si="150"/>
        <v>-0.25180598555211653</v>
      </c>
    </row>
    <row r="1162" spans="1:14" s="96" customFormat="1" ht="15" hidden="1" customHeight="1" x14ac:dyDescent="0.2">
      <c r="A1162" s="90" t="s">
        <v>455</v>
      </c>
      <c r="B1162" s="91" t="s">
        <v>36</v>
      </c>
      <c r="C1162" s="91">
        <v>1200</v>
      </c>
      <c r="D1162" s="92">
        <v>2000</v>
      </c>
      <c r="E1162" s="90">
        <f>2081.1</f>
        <v>2081.1</v>
      </c>
      <c r="F1162" s="90" t="s">
        <v>8</v>
      </c>
      <c r="G1162" s="93">
        <v>1</v>
      </c>
      <c r="H1162" s="90"/>
      <c r="I1162" s="94">
        <v>43494</v>
      </c>
      <c r="J1162" s="90" t="s">
        <v>13</v>
      </c>
      <c r="K1162" s="90"/>
      <c r="L1162" s="90">
        <v>1</v>
      </c>
      <c r="M1162" s="90">
        <f t="shared" si="149"/>
        <v>1200</v>
      </c>
      <c r="N1162" s="95">
        <f t="shared" si="150"/>
        <v>-0.39754901960784261</v>
      </c>
    </row>
    <row r="1163" spans="1:14" ht="15" hidden="1" customHeight="1" x14ac:dyDescent="0.2">
      <c r="A1163" s="1" t="s">
        <v>456</v>
      </c>
      <c r="B1163" s="2" t="s">
        <v>40</v>
      </c>
      <c r="C1163" s="2">
        <v>1000</v>
      </c>
      <c r="D1163" s="7">
        <v>1500</v>
      </c>
      <c r="I1163" s="8">
        <v>43494</v>
      </c>
      <c r="J1163" s="16" t="s">
        <v>13</v>
      </c>
    </row>
    <row r="1164" spans="1:14" ht="15" hidden="1" customHeight="1" x14ac:dyDescent="0.2">
      <c r="A1164" s="1" t="s">
        <v>456</v>
      </c>
      <c r="B1164" s="2" t="s">
        <v>40</v>
      </c>
      <c r="C1164" s="2">
        <v>1120</v>
      </c>
      <c r="D1164" s="7">
        <v>600</v>
      </c>
      <c r="I1164" s="8">
        <v>43494</v>
      </c>
      <c r="J1164" s="16" t="s">
        <v>13</v>
      </c>
    </row>
    <row r="1165" spans="1:14" ht="15" hidden="1" customHeight="1" x14ac:dyDescent="0.2">
      <c r="A1165" s="1" t="s">
        <v>456</v>
      </c>
      <c r="B1165" s="2" t="s">
        <v>40</v>
      </c>
      <c r="C1165" s="2">
        <v>1200</v>
      </c>
      <c r="D1165" s="7">
        <v>1500</v>
      </c>
      <c r="I1165" s="8">
        <v>43494</v>
      </c>
      <c r="J1165" s="16" t="s">
        <v>13</v>
      </c>
    </row>
    <row r="1166" spans="1:14" ht="15" hidden="1" customHeight="1" x14ac:dyDescent="0.2">
      <c r="A1166" s="1" t="s">
        <v>456</v>
      </c>
      <c r="B1166" s="2" t="s">
        <v>40</v>
      </c>
      <c r="C1166" s="2">
        <v>840</v>
      </c>
      <c r="D1166" s="7">
        <v>800</v>
      </c>
      <c r="I1166" s="8">
        <v>43494</v>
      </c>
      <c r="J1166" s="16" t="s">
        <v>13</v>
      </c>
    </row>
    <row r="1167" spans="1:14" ht="15" hidden="1" customHeight="1" x14ac:dyDescent="0.2">
      <c r="A1167" s="1" t="s">
        <v>456</v>
      </c>
      <c r="B1167" s="2" t="s">
        <v>40</v>
      </c>
      <c r="C1167" s="2">
        <v>900</v>
      </c>
      <c r="D1167" s="7">
        <v>500</v>
      </c>
      <c r="I1167" s="8">
        <v>43494</v>
      </c>
      <c r="J1167" s="16" t="s">
        <v>13</v>
      </c>
    </row>
    <row r="1168" spans="1:14" s="104" customFormat="1" x14ac:dyDescent="0.2">
      <c r="A1168" s="98" t="s">
        <v>456</v>
      </c>
      <c r="B1168" s="99" t="s">
        <v>39</v>
      </c>
      <c r="C1168" s="99">
        <v>1000</v>
      </c>
      <c r="D1168" s="100">
        <v>1500</v>
      </c>
      <c r="E1168" s="98"/>
      <c r="F1168" s="98"/>
      <c r="G1168" s="101">
        <v>4</v>
      </c>
      <c r="H1168" s="98"/>
      <c r="I1168" s="102">
        <v>43494</v>
      </c>
      <c r="J1168" s="98" t="s">
        <v>13</v>
      </c>
      <c r="K1168" s="98"/>
      <c r="L1168" s="98">
        <v>1</v>
      </c>
      <c r="M1168" s="98">
        <f t="shared" ref="M1168:M1174" si="151">L1168*C1168</f>
        <v>1000</v>
      </c>
      <c r="N1168" s="103">
        <f t="shared" ref="N1168:N1174" si="152">(D1168-E1168)/(M1168*0.17)</f>
        <v>8.8235294117647065</v>
      </c>
    </row>
    <row r="1169" spans="1:14" s="158" customFormat="1" ht="15" customHeight="1" x14ac:dyDescent="0.2">
      <c r="A1169" s="152" t="s">
        <v>456</v>
      </c>
      <c r="B1169" s="153" t="s">
        <v>39</v>
      </c>
      <c r="C1169" s="153">
        <v>1050</v>
      </c>
      <c r="D1169" s="154">
        <v>500</v>
      </c>
      <c r="E1169" s="152"/>
      <c r="F1169" s="152" t="s">
        <v>8</v>
      </c>
      <c r="G1169" s="155" t="s">
        <v>146</v>
      </c>
      <c r="H1169" s="152"/>
      <c r="I1169" s="156">
        <v>43494</v>
      </c>
      <c r="J1169" s="152" t="s">
        <v>13</v>
      </c>
      <c r="K1169" s="152"/>
      <c r="L1169" s="152">
        <v>1</v>
      </c>
      <c r="M1169" s="152">
        <f t="shared" si="151"/>
        <v>1050</v>
      </c>
      <c r="N1169" s="157">
        <f t="shared" si="152"/>
        <v>2.8011204481792715</v>
      </c>
    </row>
    <row r="1170" spans="1:14" x14ac:dyDescent="0.2">
      <c r="A1170" s="1" t="s">
        <v>456</v>
      </c>
      <c r="B1170" s="2" t="s">
        <v>39</v>
      </c>
      <c r="C1170" s="2">
        <v>1140</v>
      </c>
      <c r="D1170" s="7">
        <v>2000</v>
      </c>
      <c r="G1170" s="41">
        <v>4</v>
      </c>
      <c r="I1170" s="8">
        <v>43494</v>
      </c>
      <c r="J1170" s="16" t="s">
        <v>13</v>
      </c>
      <c r="L1170" s="3">
        <v>1</v>
      </c>
      <c r="M1170" s="10">
        <f t="shared" si="151"/>
        <v>1140</v>
      </c>
      <c r="N1170" s="29">
        <f t="shared" si="152"/>
        <v>10.319917440660474</v>
      </c>
    </row>
    <row r="1171" spans="1:14" s="158" customFormat="1" ht="15" customHeight="1" x14ac:dyDescent="0.2">
      <c r="A1171" s="152" t="s">
        <v>456</v>
      </c>
      <c r="B1171" s="153" t="s">
        <v>39</v>
      </c>
      <c r="C1171" s="153">
        <v>1150</v>
      </c>
      <c r="D1171" s="154">
        <v>1000</v>
      </c>
      <c r="E1171" s="152"/>
      <c r="F1171" s="152"/>
      <c r="G1171" s="155" t="s">
        <v>146</v>
      </c>
      <c r="H1171" s="152"/>
      <c r="I1171" s="156">
        <v>43494</v>
      </c>
      <c r="J1171" s="152" t="s">
        <v>13</v>
      </c>
      <c r="K1171" s="152"/>
      <c r="L1171" s="152">
        <v>1</v>
      </c>
      <c r="M1171" s="152">
        <f t="shared" si="151"/>
        <v>1150</v>
      </c>
      <c r="N1171" s="157">
        <f t="shared" si="152"/>
        <v>5.1150895140664963</v>
      </c>
    </row>
    <row r="1172" spans="1:14" s="104" customFormat="1" x14ac:dyDescent="0.2">
      <c r="A1172" s="98" t="s">
        <v>456</v>
      </c>
      <c r="B1172" s="99" t="s">
        <v>39</v>
      </c>
      <c r="C1172" s="99">
        <v>1200</v>
      </c>
      <c r="D1172" s="100">
        <v>1500</v>
      </c>
      <c r="E1172" s="98"/>
      <c r="F1172" s="98"/>
      <c r="G1172" s="101">
        <v>4</v>
      </c>
      <c r="H1172" s="98"/>
      <c r="I1172" s="102">
        <v>43494</v>
      </c>
      <c r="J1172" s="98" t="s">
        <v>13</v>
      </c>
      <c r="K1172" s="98"/>
      <c r="L1172" s="98">
        <v>1</v>
      </c>
      <c r="M1172" s="98">
        <f t="shared" si="151"/>
        <v>1200</v>
      </c>
      <c r="N1172" s="103">
        <f t="shared" si="152"/>
        <v>7.352941176470587</v>
      </c>
    </row>
    <row r="1173" spans="1:14" s="104" customFormat="1" x14ac:dyDescent="0.2">
      <c r="A1173" s="98" t="s">
        <v>456</v>
      </c>
      <c r="B1173" s="99" t="s">
        <v>39</v>
      </c>
      <c r="C1173" s="99">
        <v>900</v>
      </c>
      <c r="D1173" s="100">
        <v>2000</v>
      </c>
      <c r="E1173" s="98"/>
      <c r="F1173" s="98"/>
      <c r="G1173" s="101" t="s">
        <v>146</v>
      </c>
      <c r="H1173" s="98"/>
      <c r="I1173" s="102">
        <v>43494</v>
      </c>
      <c r="J1173" s="98" t="s">
        <v>13</v>
      </c>
      <c r="K1173" s="98"/>
      <c r="L1173" s="98">
        <v>1</v>
      </c>
      <c r="M1173" s="98">
        <f t="shared" si="151"/>
        <v>900</v>
      </c>
      <c r="N1173" s="103">
        <f t="shared" si="152"/>
        <v>13.071895424836601</v>
      </c>
    </row>
    <row r="1174" spans="1:14" x14ac:dyDescent="0.2">
      <c r="A1174" s="1" t="s">
        <v>456</v>
      </c>
      <c r="B1174" s="2" t="s">
        <v>39</v>
      </c>
      <c r="C1174" s="2">
        <v>980</v>
      </c>
      <c r="D1174" s="7">
        <v>600</v>
      </c>
      <c r="G1174" s="41">
        <v>4</v>
      </c>
      <c r="I1174" s="8">
        <v>43494</v>
      </c>
      <c r="J1174" s="16" t="s">
        <v>13</v>
      </c>
      <c r="L1174" s="3">
        <v>1</v>
      </c>
      <c r="M1174" s="10">
        <f t="shared" si="151"/>
        <v>980</v>
      </c>
      <c r="N1174" s="29">
        <f t="shared" si="152"/>
        <v>3.6014405762304915</v>
      </c>
    </row>
    <row r="1175" spans="1:14" s="104" customFormat="1" ht="15" hidden="1" customHeight="1" x14ac:dyDescent="0.2">
      <c r="A1175" s="98" t="s">
        <v>456</v>
      </c>
      <c r="B1175" s="99" t="s">
        <v>37</v>
      </c>
      <c r="C1175" s="99">
        <v>1000</v>
      </c>
      <c r="D1175" s="100">
        <v>2000</v>
      </c>
      <c r="E1175" s="98">
        <f>406+1644.4</f>
        <v>2050.4</v>
      </c>
      <c r="F1175" s="98" t="s">
        <v>8</v>
      </c>
      <c r="G1175" s="101">
        <v>2</v>
      </c>
      <c r="H1175" s="98"/>
      <c r="I1175" s="102">
        <v>43494</v>
      </c>
      <c r="J1175" s="98" t="s">
        <v>13</v>
      </c>
      <c r="K1175" s="98"/>
      <c r="L1175" s="98">
        <v>1</v>
      </c>
      <c r="M1175" s="98">
        <f t="shared" ref="M1175:M1178" si="153">L1175*C1175</f>
        <v>1000</v>
      </c>
      <c r="N1175" s="103">
        <f t="shared" ref="N1175:N1178" si="154">(D1175-E1175)/(M1175*0.17)</f>
        <v>-0.29647058823529465</v>
      </c>
    </row>
    <row r="1176" spans="1:14" ht="15" hidden="1" customHeight="1" x14ac:dyDescent="0.2">
      <c r="A1176" s="1" t="s">
        <v>456</v>
      </c>
      <c r="B1176" s="2" t="s">
        <v>37</v>
      </c>
      <c r="C1176" s="2">
        <v>1080</v>
      </c>
      <c r="D1176" s="7">
        <v>1500</v>
      </c>
      <c r="G1176" s="41">
        <v>2</v>
      </c>
      <c r="I1176" s="8">
        <v>43494</v>
      </c>
      <c r="J1176" s="16" t="s">
        <v>13</v>
      </c>
      <c r="L1176" s="10">
        <v>1</v>
      </c>
      <c r="M1176" s="10">
        <f t="shared" si="153"/>
        <v>1080</v>
      </c>
      <c r="N1176" s="29">
        <f t="shared" si="154"/>
        <v>8.1699346405228752</v>
      </c>
    </row>
    <row r="1177" spans="1:14" ht="15" hidden="1" customHeight="1" x14ac:dyDescent="0.2">
      <c r="A1177" s="1" t="s">
        <v>456</v>
      </c>
      <c r="B1177" s="2" t="s">
        <v>37</v>
      </c>
      <c r="C1177" s="2">
        <v>1200</v>
      </c>
      <c r="D1177" s="7">
        <v>2500</v>
      </c>
      <c r="G1177" s="41">
        <v>2</v>
      </c>
      <c r="I1177" s="8">
        <v>43494</v>
      </c>
      <c r="J1177" s="16" t="s">
        <v>13</v>
      </c>
      <c r="L1177" s="10">
        <v>1</v>
      </c>
      <c r="M1177" s="10">
        <f t="shared" si="153"/>
        <v>1200</v>
      </c>
      <c r="N1177" s="29">
        <f t="shared" si="154"/>
        <v>12.254901960784313</v>
      </c>
    </row>
    <row r="1178" spans="1:14" s="96" customFormat="1" ht="15" hidden="1" customHeight="1" x14ac:dyDescent="0.2">
      <c r="A1178" s="90" t="s">
        <v>456</v>
      </c>
      <c r="B1178" s="91" t="s">
        <v>36</v>
      </c>
      <c r="C1178" s="91">
        <v>1185</v>
      </c>
      <c r="D1178" s="92">
        <v>500</v>
      </c>
      <c r="E1178" s="90">
        <f>499.3</f>
        <v>499.3</v>
      </c>
      <c r="F1178" s="90" t="s">
        <v>8</v>
      </c>
      <c r="G1178" s="93">
        <v>1</v>
      </c>
      <c r="H1178" s="90"/>
      <c r="I1178" s="94">
        <v>43494</v>
      </c>
      <c r="J1178" s="90" t="s">
        <v>13</v>
      </c>
      <c r="K1178" s="90"/>
      <c r="L1178" s="90">
        <v>1</v>
      </c>
      <c r="M1178" s="90">
        <f t="shared" si="153"/>
        <v>1185</v>
      </c>
      <c r="N1178" s="95">
        <f t="shared" si="154"/>
        <v>3.4748076445767612E-3</v>
      </c>
    </row>
    <row r="1179" spans="1:14" ht="15" hidden="1" customHeight="1" x14ac:dyDescent="0.2">
      <c r="L1179" s="3">
        <v>1</v>
      </c>
    </row>
    <row r="1180" spans="1:14" ht="15" hidden="1" customHeight="1" x14ac:dyDescent="0.2">
      <c r="L1180" s="10">
        <v>1</v>
      </c>
      <c r="M1180" s="10">
        <f t="shared" ref="M1180:M1182" si="155">L1180*C1180</f>
        <v>0</v>
      </c>
      <c r="N1180" s="29" t="e">
        <f t="shared" ref="N1180:N1185" si="156">(D1180-E1180)/(M1180*0.17)</f>
        <v>#DIV/0!</v>
      </c>
    </row>
    <row r="1181" spans="1:14" ht="15" hidden="1" customHeight="1" x14ac:dyDescent="0.2">
      <c r="L1181" s="10">
        <v>1</v>
      </c>
      <c r="M1181" s="10">
        <f t="shared" si="155"/>
        <v>0</v>
      </c>
      <c r="N1181" s="29" t="e">
        <f t="shared" si="156"/>
        <v>#DIV/0!</v>
      </c>
    </row>
    <row r="1182" spans="1:14" ht="15" hidden="1" customHeight="1" x14ac:dyDescent="0.2">
      <c r="M1182" s="10">
        <f t="shared" si="155"/>
        <v>0</v>
      </c>
      <c r="N1182" s="29" t="e">
        <f t="shared" si="156"/>
        <v>#DIV/0!</v>
      </c>
    </row>
    <row r="1183" spans="1:14" ht="15" hidden="1" customHeight="1" x14ac:dyDescent="0.2">
      <c r="N1183" s="29" t="e">
        <f t="shared" si="156"/>
        <v>#DIV/0!</v>
      </c>
    </row>
    <row r="1184" spans="1:14" ht="15" hidden="1" customHeight="1" x14ac:dyDescent="0.2">
      <c r="N1184" s="29" t="e">
        <f t="shared" si="156"/>
        <v>#DIV/0!</v>
      </c>
    </row>
    <row r="1185" spans="1:14" s="96" customFormat="1" ht="15" hidden="1" customHeight="1" x14ac:dyDescent="0.2">
      <c r="A1185" s="90" t="s">
        <v>457</v>
      </c>
      <c r="B1185" s="91" t="s">
        <v>36</v>
      </c>
      <c r="C1185" s="91">
        <v>240</v>
      </c>
      <c r="D1185" s="92">
        <v>300</v>
      </c>
      <c r="E1185" s="90">
        <f>232.4</f>
        <v>232.4</v>
      </c>
      <c r="F1185" s="90" t="s">
        <v>8</v>
      </c>
      <c r="G1185" s="93">
        <v>1</v>
      </c>
      <c r="H1185" s="90"/>
      <c r="I1185" s="94">
        <v>43494</v>
      </c>
      <c r="J1185" s="90" t="s">
        <v>221</v>
      </c>
      <c r="K1185" s="90"/>
      <c r="L1185" s="90">
        <v>4</v>
      </c>
      <c r="M1185" s="90">
        <f t="shared" ref="M1185" si="157">L1185*C1185</f>
        <v>960</v>
      </c>
      <c r="N1185" s="95">
        <f t="shared" si="156"/>
        <v>0.41421568627450972</v>
      </c>
    </row>
    <row r="1186" spans="1:14" s="104" customFormat="1" ht="15" hidden="1" customHeight="1" x14ac:dyDescent="0.2">
      <c r="A1186" s="98" t="s">
        <v>458</v>
      </c>
      <c r="B1186" s="99" t="s">
        <v>37</v>
      </c>
      <c r="C1186" s="99">
        <v>780</v>
      </c>
      <c r="D1186" s="100">
        <v>1200</v>
      </c>
      <c r="E1186" s="98">
        <f>1307.5</f>
        <v>1307.5</v>
      </c>
      <c r="F1186" s="98" t="s">
        <v>8</v>
      </c>
      <c r="G1186" s="101">
        <v>2</v>
      </c>
      <c r="H1186" s="98"/>
      <c r="I1186" s="102">
        <v>43494</v>
      </c>
      <c r="J1186" s="98" t="s">
        <v>13</v>
      </c>
      <c r="K1186" s="98"/>
      <c r="L1186" s="98">
        <v>1</v>
      </c>
      <c r="M1186" s="98">
        <f t="shared" ref="M1186:M1193" si="158">L1186*C1186</f>
        <v>780</v>
      </c>
      <c r="N1186" s="103">
        <f t="shared" ref="N1186:N1193" si="159">(D1186-E1186)/(M1186*0.17)</f>
        <v>-0.81070889894419296</v>
      </c>
    </row>
    <row r="1187" spans="1:14" ht="15" hidden="1" customHeight="1" x14ac:dyDescent="0.2">
      <c r="A1187" s="1" t="s">
        <v>459</v>
      </c>
      <c r="B1187" s="2" t="s">
        <v>37</v>
      </c>
      <c r="C1187" s="2">
        <v>138</v>
      </c>
      <c r="D1187" s="7">
        <v>600</v>
      </c>
      <c r="I1187" s="8">
        <v>43494</v>
      </c>
      <c r="J1187" s="16" t="s">
        <v>460</v>
      </c>
      <c r="L1187" s="10">
        <v>6</v>
      </c>
      <c r="M1187" s="10">
        <f t="shared" si="158"/>
        <v>828</v>
      </c>
      <c r="N1187" s="29">
        <f t="shared" si="159"/>
        <v>4.2625745950554128</v>
      </c>
    </row>
    <row r="1188" spans="1:14" s="104" customFormat="1" x14ac:dyDescent="0.2">
      <c r="A1188" s="98" t="s">
        <v>461</v>
      </c>
      <c r="B1188" s="99" t="s">
        <v>39</v>
      </c>
      <c r="C1188" s="99">
        <v>1000</v>
      </c>
      <c r="D1188" s="100">
        <f>4000</f>
        <v>4000</v>
      </c>
      <c r="E1188" s="98"/>
      <c r="F1188" s="98"/>
      <c r="G1188" s="101">
        <v>4</v>
      </c>
      <c r="H1188" s="98">
        <v>1000</v>
      </c>
      <c r="I1188" s="102">
        <v>43494</v>
      </c>
      <c r="J1188" s="98" t="s">
        <v>4</v>
      </c>
      <c r="K1188" s="98"/>
      <c r="L1188" s="98">
        <v>1</v>
      </c>
      <c r="M1188" s="98">
        <f t="shared" si="158"/>
        <v>1000</v>
      </c>
      <c r="N1188" s="103">
        <f t="shared" si="159"/>
        <v>23.529411764705884</v>
      </c>
    </row>
    <row r="1189" spans="1:14" s="104" customFormat="1" x14ac:dyDescent="0.2">
      <c r="A1189" s="98" t="s">
        <v>461</v>
      </c>
      <c r="B1189" s="99" t="s">
        <v>39</v>
      </c>
      <c r="C1189" s="99">
        <v>1020</v>
      </c>
      <c r="D1189" s="100">
        <v>6000</v>
      </c>
      <c r="E1189" s="98"/>
      <c r="F1189" s="98"/>
      <c r="G1189" s="101">
        <v>4</v>
      </c>
      <c r="H1189" s="98">
        <v>6000</v>
      </c>
      <c r="I1189" s="102">
        <v>43494</v>
      </c>
      <c r="J1189" s="98" t="s">
        <v>4</v>
      </c>
      <c r="K1189" s="98"/>
      <c r="L1189" s="98">
        <v>1</v>
      </c>
      <c r="M1189" s="98">
        <f t="shared" si="158"/>
        <v>1020</v>
      </c>
      <c r="N1189" s="103">
        <f t="shared" si="159"/>
        <v>34.602076124567475</v>
      </c>
    </row>
    <row r="1190" spans="1:14" s="104" customFormat="1" x14ac:dyDescent="0.2">
      <c r="A1190" s="98" t="s">
        <v>461</v>
      </c>
      <c r="B1190" s="99" t="s">
        <v>39</v>
      </c>
      <c r="C1190" s="99">
        <v>1040</v>
      </c>
      <c r="D1190" s="100">
        <v>6000</v>
      </c>
      <c r="E1190" s="98"/>
      <c r="F1190" s="98"/>
      <c r="G1190" s="101">
        <v>4</v>
      </c>
      <c r="H1190" s="98">
        <v>6000</v>
      </c>
      <c r="I1190" s="102">
        <v>43494</v>
      </c>
      <c r="J1190" s="98" t="s">
        <v>4</v>
      </c>
      <c r="K1190" s="98"/>
      <c r="L1190" s="98">
        <v>1</v>
      </c>
      <c r="M1190" s="98">
        <f t="shared" si="158"/>
        <v>1040</v>
      </c>
      <c r="N1190" s="103">
        <f t="shared" si="159"/>
        <v>33.936651583710407</v>
      </c>
    </row>
    <row r="1191" spans="1:14" ht="15" customHeight="1" x14ac:dyDescent="0.2">
      <c r="A1191" s="1" t="s">
        <v>461</v>
      </c>
      <c r="B1191" s="2" t="s">
        <v>39</v>
      </c>
      <c r="C1191" s="2">
        <v>1050</v>
      </c>
      <c r="D1191" s="7">
        <v>5000</v>
      </c>
      <c r="I1191" s="8">
        <v>43494</v>
      </c>
      <c r="J1191" s="16" t="s">
        <v>4</v>
      </c>
      <c r="L1191" s="3">
        <v>1</v>
      </c>
      <c r="M1191" s="10">
        <f t="shared" si="158"/>
        <v>1050</v>
      </c>
      <c r="N1191" s="29">
        <f t="shared" si="159"/>
        <v>28.011204481792717</v>
      </c>
    </row>
    <row r="1192" spans="1:14" ht="15" customHeight="1" x14ac:dyDescent="0.2">
      <c r="A1192" s="1" t="s">
        <v>461</v>
      </c>
      <c r="B1192" s="2" t="s">
        <v>39</v>
      </c>
      <c r="C1192" s="2">
        <v>1120</v>
      </c>
      <c r="D1192" s="7">
        <v>4000</v>
      </c>
      <c r="I1192" s="8">
        <v>43494</v>
      </c>
      <c r="J1192" s="16" t="s">
        <v>4</v>
      </c>
      <c r="L1192" s="3">
        <v>1</v>
      </c>
      <c r="M1192" s="10">
        <f t="shared" si="158"/>
        <v>1120</v>
      </c>
      <c r="N1192" s="29">
        <f t="shared" si="159"/>
        <v>21.008403361344538</v>
      </c>
    </row>
    <row r="1193" spans="1:14" s="104" customFormat="1" x14ac:dyDescent="0.2">
      <c r="A1193" s="98" t="s">
        <v>461</v>
      </c>
      <c r="B1193" s="99" t="s">
        <v>39</v>
      </c>
      <c r="C1193" s="99">
        <v>1200</v>
      </c>
      <c r="D1193" s="100">
        <v>6000</v>
      </c>
      <c r="E1193" s="98"/>
      <c r="F1193" s="98"/>
      <c r="G1193" s="101">
        <v>4</v>
      </c>
      <c r="H1193" s="98">
        <v>6000</v>
      </c>
      <c r="I1193" s="102">
        <v>43494</v>
      </c>
      <c r="J1193" s="98" t="s">
        <v>4</v>
      </c>
      <c r="K1193" s="98"/>
      <c r="L1193" s="98">
        <v>1</v>
      </c>
      <c r="M1193" s="98">
        <f t="shared" si="158"/>
        <v>1200</v>
      </c>
      <c r="N1193" s="103">
        <f t="shared" si="159"/>
        <v>29.411764705882348</v>
      </c>
    </row>
    <row r="1194" spans="1:14" ht="15" hidden="1" customHeight="1" x14ac:dyDescent="0.2">
      <c r="A1194" s="1" t="s">
        <v>461</v>
      </c>
      <c r="B1194" s="2" t="s">
        <v>37</v>
      </c>
      <c r="C1194" s="2">
        <v>1200</v>
      </c>
      <c r="D1194" s="7">
        <v>6000</v>
      </c>
      <c r="I1194" s="8">
        <v>43494</v>
      </c>
      <c r="J1194" s="16" t="s">
        <v>4</v>
      </c>
      <c r="L1194" s="10">
        <v>1</v>
      </c>
      <c r="M1194" s="10">
        <f t="shared" ref="M1194:M1199" si="160">L1194*C1194</f>
        <v>1200</v>
      </c>
      <c r="N1194" s="29">
        <f t="shared" ref="N1194:N1251" si="161">(D1194-E1194)/(M1194*0.17)</f>
        <v>29.411764705882348</v>
      </c>
    </row>
    <row r="1195" spans="1:14" ht="15" hidden="1" customHeight="1" x14ac:dyDescent="0.2">
      <c r="A1195" s="1" t="s">
        <v>461</v>
      </c>
      <c r="B1195" s="2" t="s">
        <v>37</v>
      </c>
      <c r="C1195" s="2">
        <v>355</v>
      </c>
      <c r="D1195" s="7">
        <v>1000</v>
      </c>
      <c r="I1195" s="8">
        <v>43494</v>
      </c>
      <c r="J1195" s="16" t="s">
        <v>4</v>
      </c>
      <c r="L1195" s="10">
        <v>1</v>
      </c>
      <c r="M1195" s="10">
        <f t="shared" si="160"/>
        <v>355</v>
      </c>
      <c r="N1195" s="29">
        <f t="shared" si="161"/>
        <v>16.570008285004143</v>
      </c>
    </row>
    <row r="1196" spans="1:14" s="104" customFormat="1" ht="15" customHeight="1" x14ac:dyDescent="0.2">
      <c r="A1196" s="98" t="s">
        <v>462</v>
      </c>
      <c r="B1196" s="99" t="s">
        <v>39</v>
      </c>
      <c r="C1196" s="91">
        <v>200</v>
      </c>
      <c r="D1196" s="100">
        <v>100</v>
      </c>
      <c r="E1196" s="98"/>
      <c r="F1196" s="98" t="s">
        <v>8</v>
      </c>
      <c r="G1196" s="101" t="s">
        <v>146</v>
      </c>
      <c r="H1196" s="98"/>
      <c r="I1196" s="102">
        <v>43496</v>
      </c>
      <c r="J1196" s="98" t="s">
        <v>463</v>
      </c>
      <c r="K1196" s="98"/>
      <c r="L1196" s="98">
        <v>4</v>
      </c>
      <c r="M1196" s="98">
        <f t="shared" si="160"/>
        <v>800</v>
      </c>
      <c r="N1196" s="103">
        <f t="shared" si="161"/>
        <v>0.73529411764705888</v>
      </c>
    </row>
    <row r="1197" spans="1:14" s="104" customFormat="1" ht="15" customHeight="1" x14ac:dyDescent="0.2">
      <c r="A1197" s="98" t="s">
        <v>464</v>
      </c>
      <c r="B1197" s="99" t="s">
        <v>39</v>
      </c>
      <c r="C1197" s="91">
        <v>400</v>
      </c>
      <c r="D1197" s="149">
        <v>600</v>
      </c>
      <c r="E1197" s="98"/>
      <c r="F1197" s="98" t="s">
        <v>8</v>
      </c>
      <c r="G1197" s="101" t="s">
        <v>146</v>
      </c>
      <c r="H1197" s="98"/>
      <c r="I1197" s="102">
        <v>43496</v>
      </c>
      <c r="J1197" s="98" t="s">
        <v>465</v>
      </c>
      <c r="K1197" s="98"/>
      <c r="L1197" s="98">
        <v>2</v>
      </c>
      <c r="M1197" s="98">
        <f t="shared" si="160"/>
        <v>800</v>
      </c>
      <c r="N1197" s="103">
        <f t="shared" si="161"/>
        <v>4.4117647058823533</v>
      </c>
    </row>
    <row r="1198" spans="1:14" s="104" customFormat="1" ht="15" customHeight="1" x14ac:dyDescent="0.2">
      <c r="A1198" s="98" t="s">
        <v>464</v>
      </c>
      <c r="B1198" s="99" t="s">
        <v>39</v>
      </c>
      <c r="C1198" s="91">
        <v>440</v>
      </c>
      <c r="D1198" s="149">
        <v>800</v>
      </c>
      <c r="E1198" s="98"/>
      <c r="F1198" s="98"/>
      <c r="G1198" s="101" t="s">
        <v>146</v>
      </c>
      <c r="H1198" s="98"/>
      <c r="I1198" s="102">
        <v>43496</v>
      </c>
      <c r="J1198" s="98" t="s">
        <v>465</v>
      </c>
      <c r="K1198" s="98"/>
      <c r="L1198" s="98">
        <v>3</v>
      </c>
      <c r="M1198" s="98">
        <f t="shared" si="160"/>
        <v>1320</v>
      </c>
      <c r="N1198" s="103">
        <f t="shared" si="161"/>
        <v>3.5650623885918002</v>
      </c>
    </row>
    <row r="1199" spans="1:14" s="104" customFormat="1" ht="15" customHeight="1" x14ac:dyDescent="0.2">
      <c r="A1199" s="98" t="s">
        <v>464</v>
      </c>
      <c r="B1199" s="99" t="s">
        <v>39</v>
      </c>
      <c r="C1199" s="91">
        <v>450</v>
      </c>
      <c r="D1199" s="149">
        <v>500</v>
      </c>
      <c r="E1199" s="98"/>
      <c r="F1199" s="98" t="s">
        <v>8</v>
      </c>
      <c r="G1199" s="101" t="s">
        <v>146</v>
      </c>
      <c r="H1199" s="98"/>
      <c r="I1199" s="102">
        <v>43496</v>
      </c>
      <c r="J1199" s="98" t="s">
        <v>465</v>
      </c>
      <c r="K1199" s="98"/>
      <c r="L1199" s="98">
        <v>3</v>
      </c>
      <c r="M1199" s="98">
        <f t="shared" si="160"/>
        <v>1350</v>
      </c>
      <c r="N1199" s="103">
        <f t="shared" si="161"/>
        <v>2.1786492374727664</v>
      </c>
    </row>
    <row r="1200" spans="1:14" s="96" customFormat="1" ht="15" hidden="1" customHeight="1" x14ac:dyDescent="0.2">
      <c r="A1200" s="90" t="s">
        <v>464</v>
      </c>
      <c r="B1200" s="91" t="s">
        <v>36</v>
      </c>
      <c r="C1200" s="91">
        <v>420</v>
      </c>
      <c r="D1200" s="140">
        <v>700</v>
      </c>
      <c r="E1200" s="90">
        <f>49.6+637.8</f>
        <v>687.4</v>
      </c>
      <c r="F1200" s="90" t="s">
        <v>8</v>
      </c>
      <c r="G1200" s="93">
        <v>1</v>
      </c>
      <c r="H1200" s="90" t="s">
        <v>257</v>
      </c>
      <c r="I1200" s="94">
        <v>43496</v>
      </c>
      <c r="J1200" s="90" t="s">
        <v>465</v>
      </c>
      <c r="K1200" s="90"/>
      <c r="L1200" s="90">
        <v>2</v>
      </c>
      <c r="M1200" s="90">
        <f t="shared" ref="M1200:M1209" si="162">L1200*C1200</f>
        <v>840</v>
      </c>
      <c r="N1200" s="95">
        <f t="shared" si="161"/>
        <v>8.8235294117647217E-2</v>
      </c>
    </row>
    <row r="1201" spans="1:14" s="104" customFormat="1" x14ac:dyDescent="0.2">
      <c r="A1201" s="98" t="s">
        <v>466</v>
      </c>
      <c r="B1201" s="99" t="s">
        <v>39</v>
      </c>
      <c r="C1201" s="91">
        <v>380</v>
      </c>
      <c r="D1201" s="100">
        <v>2000</v>
      </c>
      <c r="E1201" s="98"/>
      <c r="F1201" s="98"/>
      <c r="G1201" s="101">
        <v>4</v>
      </c>
      <c r="H1201" s="98" t="s">
        <v>467</v>
      </c>
      <c r="I1201" s="102">
        <v>43496</v>
      </c>
      <c r="J1201" s="98" t="s">
        <v>256</v>
      </c>
      <c r="K1201" s="98"/>
      <c r="L1201" s="98">
        <v>2</v>
      </c>
      <c r="M1201" s="98">
        <f t="shared" si="162"/>
        <v>760</v>
      </c>
      <c r="N1201" s="103">
        <f t="shared" si="161"/>
        <v>15.47987616099071</v>
      </c>
    </row>
    <row r="1202" spans="1:14" s="158" customFormat="1" x14ac:dyDescent="0.2">
      <c r="A1202" s="152" t="s">
        <v>466</v>
      </c>
      <c r="B1202" s="153" t="s">
        <v>39</v>
      </c>
      <c r="C1202" s="91">
        <v>430</v>
      </c>
      <c r="D1202" s="154">
        <v>1000</v>
      </c>
      <c r="E1202" s="152"/>
      <c r="F1202" s="152" t="s">
        <v>8</v>
      </c>
      <c r="G1202" s="155" t="s">
        <v>146</v>
      </c>
      <c r="H1202" s="152" t="s">
        <v>467</v>
      </c>
      <c r="I1202" s="156">
        <v>43496</v>
      </c>
      <c r="J1202" s="152" t="s">
        <v>256</v>
      </c>
      <c r="K1202" s="152"/>
      <c r="L1202" s="152">
        <v>3</v>
      </c>
      <c r="M1202" s="152">
        <f t="shared" si="162"/>
        <v>1290</v>
      </c>
      <c r="N1202" s="157">
        <f t="shared" si="161"/>
        <v>4.5599635202918378</v>
      </c>
    </row>
    <row r="1203" spans="1:14" s="158" customFormat="1" ht="15" customHeight="1" x14ac:dyDescent="0.2">
      <c r="A1203" s="152" t="s">
        <v>466</v>
      </c>
      <c r="B1203" s="153" t="s">
        <v>39</v>
      </c>
      <c r="C1203" s="91">
        <v>440</v>
      </c>
      <c r="D1203" s="154">
        <v>2000</v>
      </c>
      <c r="E1203" s="152"/>
      <c r="F1203" s="152" t="s">
        <v>8</v>
      </c>
      <c r="G1203" s="155" t="s">
        <v>146</v>
      </c>
      <c r="H1203" s="152" t="s">
        <v>467</v>
      </c>
      <c r="I1203" s="156">
        <v>43496</v>
      </c>
      <c r="J1203" s="152" t="s">
        <v>256</v>
      </c>
      <c r="K1203" s="152"/>
      <c r="L1203" s="152">
        <v>2</v>
      </c>
      <c r="M1203" s="152">
        <f t="shared" si="162"/>
        <v>880</v>
      </c>
      <c r="N1203" s="157">
        <f t="shared" si="161"/>
        <v>13.36898395721925</v>
      </c>
    </row>
    <row r="1204" spans="1:14" s="104" customFormat="1" x14ac:dyDescent="0.2">
      <c r="A1204" s="98" t="s">
        <v>466</v>
      </c>
      <c r="B1204" s="99" t="s">
        <v>39</v>
      </c>
      <c r="C1204" s="91">
        <v>450</v>
      </c>
      <c r="D1204" s="100">
        <v>2000</v>
      </c>
      <c r="E1204" s="98"/>
      <c r="F1204" s="98" t="s">
        <v>8</v>
      </c>
      <c r="G1204" s="101" t="s">
        <v>146</v>
      </c>
      <c r="H1204" s="98" t="s">
        <v>467</v>
      </c>
      <c r="I1204" s="102">
        <v>43496</v>
      </c>
      <c r="J1204" s="98" t="s">
        <v>256</v>
      </c>
      <c r="K1204" s="98"/>
      <c r="L1204" s="98">
        <v>2</v>
      </c>
      <c r="M1204" s="98">
        <f t="shared" si="162"/>
        <v>900</v>
      </c>
      <c r="N1204" s="103">
        <f t="shared" si="161"/>
        <v>13.071895424836601</v>
      </c>
    </row>
    <row r="1205" spans="1:14" s="158" customFormat="1" ht="15" customHeight="1" x14ac:dyDescent="0.2">
      <c r="A1205" s="152" t="s">
        <v>466</v>
      </c>
      <c r="B1205" s="153" t="s">
        <v>39</v>
      </c>
      <c r="C1205" s="91">
        <v>480</v>
      </c>
      <c r="D1205" s="154">
        <v>1000</v>
      </c>
      <c r="E1205" s="152"/>
      <c r="F1205" s="152" t="s">
        <v>8</v>
      </c>
      <c r="G1205" s="155" t="s">
        <v>146</v>
      </c>
      <c r="H1205" s="152" t="s">
        <v>467</v>
      </c>
      <c r="I1205" s="156">
        <v>43496</v>
      </c>
      <c r="J1205" s="152" t="s">
        <v>256</v>
      </c>
      <c r="K1205" s="152"/>
      <c r="L1205" s="152">
        <v>2</v>
      </c>
      <c r="M1205" s="152">
        <f t="shared" si="162"/>
        <v>960</v>
      </c>
      <c r="N1205" s="157">
        <f t="shared" si="161"/>
        <v>6.1274509803921564</v>
      </c>
    </row>
    <row r="1206" spans="1:14" s="104" customFormat="1" x14ac:dyDescent="0.2">
      <c r="A1206" s="98" t="s">
        <v>466</v>
      </c>
      <c r="B1206" s="99" t="s">
        <v>39</v>
      </c>
      <c r="C1206" s="91">
        <v>500</v>
      </c>
      <c r="D1206" s="100">
        <v>1000</v>
      </c>
      <c r="E1206" s="98"/>
      <c r="F1206" s="98" t="s">
        <v>8</v>
      </c>
      <c r="G1206" s="101">
        <v>4</v>
      </c>
      <c r="H1206" s="98" t="s">
        <v>467</v>
      </c>
      <c r="I1206" s="102">
        <v>43496</v>
      </c>
      <c r="J1206" s="98" t="s">
        <v>256</v>
      </c>
      <c r="K1206" s="98"/>
      <c r="L1206" s="98">
        <v>2</v>
      </c>
      <c r="M1206" s="98">
        <f t="shared" si="162"/>
        <v>1000</v>
      </c>
      <c r="N1206" s="103">
        <f t="shared" si="161"/>
        <v>5.882352941176471</v>
      </c>
    </row>
    <row r="1207" spans="1:14" ht="15" customHeight="1" x14ac:dyDescent="0.2">
      <c r="A1207" s="1" t="s">
        <v>466</v>
      </c>
      <c r="B1207" s="2" t="s">
        <v>39</v>
      </c>
      <c r="C1207" s="2">
        <v>1020</v>
      </c>
      <c r="D1207" s="7">
        <v>4000</v>
      </c>
      <c r="H1207" s="1" t="s">
        <v>25</v>
      </c>
      <c r="I1207" s="8">
        <v>43496</v>
      </c>
      <c r="J1207" s="16" t="s">
        <v>256</v>
      </c>
      <c r="L1207" s="3">
        <v>1</v>
      </c>
      <c r="M1207" s="10">
        <f t="shared" si="162"/>
        <v>1020</v>
      </c>
      <c r="N1207" s="29">
        <f t="shared" si="161"/>
        <v>23.068050749711649</v>
      </c>
    </row>
    <row r="1208" spans="1:14" ht="15" customHeight="1" x14ac:dyDescent="0.2">
      <c r="A1208" s="1" t="s">
        <v>466</v>
      </c>
      <c r="B1208" s="2" t="s">
        <v>39</v>
      </c>
      <c r="C1208" s="2">
        <v>1200</v>
      </c>
      <c r="D1208" s="7">
        <v>5000</v>
      </c>
      <c r="H1208" s="1" t="s">
        <v>25</v>
      </c>
      <c r="I1208" s="8">
        <v>43496</v>
      </c>
      <c r="J1208" s="16" t="s">
        <v>256</v>
      </c>
      <c r="L1208" s="3">
        <v>1</v>
      </c>
      <c r="M1208" s="10">
        <f t="shared" si="162"/>
        <v>1200</v>
      </c>
      <c r="N1208" s="29">
        <f t="shared" si="161"/>
        <v>24.509803921568626</v>
      </c>
    </row>
    <row r="1209" spans="1:14" x14ac:dyDescent="0.2">
      <c r="A1209" s="1" t="s">
        <v>466</v>
      </c>
      <c r="B1209" s="2" t="s">
        <v>39</v>
      </c>
      <c r="C1209" s="2">
        <v>1260</v>
      </c>
      <c r="D1209" s="7">
        <v>5000</v>
      </c>
      <c r="G1209" s="41">
        <v>4</v>
      </c>
      <c r="H1209" s="1" t="s">
        <v>25</v>
      </c>
      <c r="I1209" s="8">
        <v>43496</v>
      </c>
      <c r="J1209" s="16" t="s">
        <v>256</v>
      </c>
      <c r="L1209" s="3">
        <v>1</v>
      </c>
      <c r="M1209" s="10">
        <f t="shared" si="162"/>
        <v>1260</v>
      </c>
      <c r="N1209" s="29">
        <f t="shared" si="161"/>
        <v>23.34267040149393</v>
      </c>
    </row>
    <row r="1210" spans="1:14" ht="15" hidden="1" customHeight="1" x14ac:dyDescent="0.2">
      <c r="A1210" s="1" t="s">
        <v>466</v>
      </c>
      <c r="B1210" s="2" t="s">
        <v>37</v>
      </c>
      <c r="C1210" s="2">
        <v>1000</v>
      </c>
      <c r="D1210" s="7">
        <v>1000</v>
      </c>
      <c r="H1210" s="1" t="s">
        <v>25</v>
      </c>
      <c r="I1210" s="8">
        <v>43496</v>
      </c>
      <c r="J1210" s="16" t="s">
        <v>256</v>
      </c>
      <c r="N1210" s="29" t="e">
        <f t="shared" si="161"/>
        <v>#DIV/0!</v>
      </c>
    </row>
    <row r="1211" spans="1:14" ht="15" hidden="1" customHeight="1" x14ac:dyDescent="0.2">
      <c r="A1211" s="1" t="s">
        <v>466</v>
      </c>
      <c r="B1211" s="2" t="s">
        <v>37</v>
      </c>
      <c r="C1211" s="2">
        <v>940</v>
      </c>
      <c r="D1211" s="7">
        <v>2000</v>
      </c>
      <c r="H1211" s="1" t="s">
        <v>25</v>
      </c>
      <c r="I1211" s="8">
        <v>43496</v>
      </c>
      <c r="J1211" s="16" t="s">
        <v>256</v>
      </c>
      <c r="N1211" s="29" t="e">
        <f t="shared" si="161"/>
        <v>#DIV/0!</v>
      </c>
    </row>
    <row r="1212" spans="1:14" ht="15" hidden="1" customHeight="1" x14ac:dyDescent="0.2">
      <c r="A1212" s="1" t="s">
        <v>466</v>
      </c>
      <c r="B1212" s="2" t="s">
        <v>37</v>
      </c>
      <c r="C1212" s="2">
        <v>1240</v>
      </c>
      <c r="D1212" s="7">
        <v>1000</v>
      </c>
      <c r="H1212" s="1" t="s">
        <v>25</v>
      </c>
      <c r="I1212" s="8">
        <v>43496</v>
      </c>
      <c r="J1212" s="16" t="s">
        <v>256</v>
      </c>
      <c r="N1212" s="29" t="e">
        <f t="shared" si="161"/>
        <v>#DIV/0!</v>
      </c>
    </row>
    <row r="1213" spans="1:14" ht="15" hidden="1" customHeight="1" x14ac:dyDescent="0.2">
      <c r="A1213" s="1" t="s">
        <v>466</v>
      </c>
      <c r="B1213" s="2" t="s">
        <v>37</v>
      </c>
      <c r="C1213" s="2">
        <v>1290</v>
      </c>
      <c r="D1213" s="7">
        <v>3000</v>
      </c>
      <c r="H1213" s="1" t="s">
        <v>25</v>
      </c>
      <c r="I1213" s="8">
        <v>43496</v>
      </c>
      <c r="J1213" s="16" t="s">
        <v>256</v>
      </c>
      <c r="N1213" s="29" t="e">
        <f t="shared" si="161"/>
        <v>#DIV/0!</v>
      </c>
    </row>
    <row r="1214" spans="1:14" ht="15" hidden="1" customHeight="1" x14ac:dyDescent="0.2">
      <c r="A1214" s="1" t="s">
        <v>466</v>
      </c>
      <c r="B1214" s="2" t="s">
        <v>38</v>
      </c>
      <c r="C1214" s="2">
        <v>1200</v>
      </c>
      <c r="D1214" s="7">
        <v>2000</v>
      </c>
      <c r="H1214" s="1" t="s">
        <v>25</v>
      </c>
      <c r="I1214" s="8">
        <v>43496</v>
      </c>
      <c r="J1214" s="16" t="s">
        <v>256</v>
      </c>
      <c r="N1214" s="29" t="e">
        <f t="shared" si="161"/>
        <v>#DIV/0!</v>
      </c>
    </row>
    <row r="1215" spans="1:14" s="96" customFormat="1" ht="15" hidden="1" customHeight="1" x14ac:dyDescent="0.2">
      <c r="A1215" s="90" t="s">
        <v>466</v>
      </c>
      <c r="B1215" s="91" t="s">
        <v>36</v>
      </c>
      <c r="C1215" s="91">
        <v>360</v>
      </c>
      <c r="D1215" s="92">
        <v>5000</v>
      </c>
      <c r="E1215" s="90">
        <f>1443.9+3561.9</f>
        <v>5005.8</v>
      </c>
      <c r="F1215" s="90" t="s">
        <v>8</v>
      </c>
      <c r="G1215" s="93">
        <v>1</v>
      </c>
      <c r="H1215" s="90" t="s">
        <v>467</v>
      </c>
      <c r="I1215" s="94">
        <v>43496</v>
      </c>
      <c r="J1215" s="90" t="s">
        <v>256</v>
      </c>
      <c r="K1215" s="90"/>
      <c r="L1215" s="90">
        <v>3</v>
      </c>
      <c r="M1215" s="90">
        <f t="shared" ref="M1215:M1216" si="163">L1215*C1215</f>
        <v>1080</v>
      </c>
      <c r="N1215" s="95">
        <f t="shared" si="161"/>
        <v>-3.1590413943356106E-2</v>
      </c>
    </row>
    <row r="1216" spans="1:14" s="158" customFormat="1" ht="15" customHeight="1" x14ac:dyDescent="0.2">
      <c r="A1216" s="152" t="s">
        <v>468</v>
      </c>
      <c r="B1216" s="153" t="s">
        <v>39</v>
      </c>
      <c r="C1216" s="153">
        <v>645</v>
      </c>
      <c r="D1216" s="154">
        <v>1600</v>
      </c>
      <c r="E1216" s="152"/>
      <c r="F1216" s="152" t="s">
        <v>8</v>
      </c>
      <c r="G1216" s="155" t="s">
        <v>146</v>
      </c>
      <c r="H1216" s="152" t="s">
        <v>469</v>
      </c>
      <c r="I1216" s="156">
        <v>43496</v>
      </c>
      <c r="J1216" s="152" t="s">
        <v>141</v>
      </c>
      <c r="K1216" s="152"/>
      <c r="L1216" s="152">
        <v>1</v>
      </c>
      <c r="M1216" s="152">
        <f t="shared" si="163"/>
        <v>645</v>
      </c>
      <c r="N1216" s="157">
        <f t="shared" si="161"/>
        <v>14.59188326493388</v>
      </c>
    </row>
    <row r="1217" spans="1:14" ht="15" hidden="1" customHeight="1" x14ac:dyDescent="0.2">
      <c r="A1217" s="1" t="s">
        <v>468</v>
      </c>
      <c r="B1217" s="2" t="s">
        <v>37</v>
      </c>
      <c r="C1217" s="2">
        <v>600</v>
      </c>
      <c r="D1217" s="7">
        <v>3200</v>
      </c>
      <c r="H1217" s="1" t="s">
        <v>469</v>
      </c>
      <c r="I1217" s="8">
        <v>43496</v>
      </c>
      <c r="J1217" s="16" t="s">
        <v>141</v>
      </c>
      <c r="N1217" s="29" t="e">
        <f t="shared" si="161"/>
        <v>#DIV/0!</v>
      </c>
    </row>
    <row r="1218" spans="1:14" ht="15" hidden="1" customHeight="1" x14ac:dyDescent="0.2">
      <c r="A1218" s="1" t="s">
        <v>468</v>
      </c>
      <c r="B1218" s="2" t="s">
        <v>37</v>
      </c>
      <c r="C1218" s="2">
        <v>840</v>
      </c>
      <c r="D1218" s="7">
        <v>750</v>
      </c>
      <c r="H1218" s="1" t="s">
        <v>469</v>
      </c>
      <c r="I1218" s="8">
        <v>43496</v>
      </c>
      <c r="J1218" s="16" t="s">
        <v>141</v>
      </c>
      <c r="N1218" s="29" t="e">
        <f t="shared" si="161"/>
        <v>#DIV/0!</v>
      </c>
    </row>
    <row r="1219" spans="1:14" ht="15" hidden="1" customHeight="1" x14ac:dyDescent="0.2">
      <c r="A1219" s="1" t="s">
        <v>468</v>
      </c>
      <c r="B1219" s="2" t="s">
        <v>37</v>
      </c>
      <c r="C1219" s="2">
        <v>1200</v>
      </c>
      <c r="D1219" s="7">
        <v>1000</v>
      </c>
      <c r="H1219" s="1" t="s">
        <v>469</v>
      </c>
      <c r="I1219" s="8">
        <v>43496</v>
      </c>
      <c r="J1219" s="16" t="s">
        <v>141</v>
      </c>
      <c r="N1219" s="29" t="e">
        <f t="shared" si="161"/>
        <v>#DIV/0!</v>
      </c>
    </row>
    <row r="1220" spans="1:14" ht="15" hidden="1" customHeight="1" x14ac:dyDescent="0.2">
      <c r="A1220" s="1" t="s">
        <v>468</v>
      </c>
      <c r="B1220" s="2" t="s">
        <v>38</v>
      </c>
      <c r="C1220" s="2">
        <v>760</v>
      </c>
      <c r="D1220" s="7">
        <v>4500</v>
      </c>
      <c r="H1220" s="1" t="s">
        <v>469</v>
      </c>
      <c r="I1220" s="8">
        <v>43496</v>
      </c>
      <c r="J1220" s="16" t="s">
        <v>141</v>
      </c>
      <c r="N1220" s="29" t="e">
        <f t="shared" si="161"/>
        <v>#DIV/0!</v>
      </c>
    </row>
    <row r="1221" spans="1:14" ht="15" hidden="1" customHeight="1" x14ac:dyDescent="0.2">
      <c r="A1221" s="1" t="s">
        <v>468</v>
      </c>
      <c r="B1221" s="2" t="s">
        <v>38</v>
      </c>
      <c r="C1221" s="2">
        <v>800</v>
      </c>
      <c r="D1221" s="7">
        <v>700</v>
      </c>
      <c r="H1221" s="1" t="s">
        <v>469</v>
      </c>
      <c r="I1221" s="8">
        <v>43496</v>
      </c>
      <c r="J1221" s="16" t="s">
        <v>141</v>
      </c>
      <c r="N1221" s="29" t="e">
        <f t="shared" si="161"/>
        <v>#DIV/0!</v>
      </c>
    </row>
    <row r="1222" spans="1:14" ht="15" hidden="1" customHeight="1" x14ac:dyDescent="0.2">
      <c r="A1222" s="1" t="s">
        <v>468</v>
      </c>
      <c r="B1222" s="2" t="s">
        <v>38</v>
      </c>
      <c r="C1222" s="2">
        <v>1000</v>
      </c>
      <c r="D1222" s="7">
        <v>800</v>
      </c>
      <c r="H1222" s="1" t="s">
        <v>469</v>
      </c>
      <c r="I1222" s="8">
        <v>43496</v>
      </c>
      <c r="J1222" s="16" t="s">
        <v>141</v>
      </c>
      <c r="N1222" s="29" t="e">
        <f t="shared" si="161"/>
        <v>#DIV/0!</v>
      </c>
    </row>
    <row r="1223" spans="1:14" ht="15" hidden="1" customHeight="1" x14ac:dyDescent="0.2">
      <c r="A1223" s="1" t="s">
        <v>468</v>
      </c>
      <c r="B1223" s="2" t="s">
        <v>38</v>
      </c>
      <c r="C1223" s="2">
        <v>1140</v>
      </c>
      <c r="D1223" s="7">
        <v>1000</v>
      </c>
      <c r="H1223" s="1" t="s">
        <v>469</v>
      </c>
      <c r="I1223" s="8">
        <v>43496</v>
      </c>
      <c r="J1223" s="16" t="s">
        <v>141</v>
      </c>
      <c r="N1223" s="29" t="e">
        <f t="shared" si="161"/>
        <v>#DIV/0!</v>
      </c>
    </row>
    <row r="1224" spans="1:14" s="148" customFormat="1" ht="15" hidden="1" customHeight="1" x14ac:dyDescent="0.2">
      <c r="A1224" s="142" t="s">
        <v>468</v>
      </c>
      <c r="B1224" s="143" t="s">
        <v>36</v>
      </c>
      <c r="C1224" s="143">
        <v>760</v>
      </c>
      <c r="D1224" s="144">
        <v>1800</v>
      </c>
      <c r="E1224" s="142">
        <f>1289.5+566.3</f>
        <v>1855.8</v>
      </c>
      <c r="F1224" s="142" t="s">
        <v>8</v>
      </c>
      <c r="G1224" s="145">
        <v>1</v>
      </c>
      <c r="H1224" s="142" t="s">
        <v>469</v>
      </c>
      <c r="I1224" s="146">
        <v>43496</v>
      </c>
      <c r="J1224" s="142" t="s">
        <v>141</v>
      </c>
      <c r="K1224" s="142"/>
      <c r="L1224" s="142">
        <v>1</v>
      </c>
      <c r="M1224" s="142">
        <f t="shared" ref="M1224:M1225" si="164">L1224*C1224</f>
        <v>760</v>
      </c>
      <c r="N1224" s="147">
        <f t="shared" si="161"/>
        <v>-0.43188854489164047</v>
      </c>
    </row>
    <row r="1225" spans="1:14" s="96" customFormat="1" ht="15" hidden="1" customHeight="1" x14ac:dyDescent="0.2">
      <c r="A1225" s="90" t="s">
        <v>468</v>
      </c>
      <c r="B1225" s="91" t="s">
        <v>36</v>
      </c>
      <c r="C1225" s="91">
        <v>840</v>
      </c>
      <c r="D1225" s="92">
        <v>1400</v>
      </c>
      <c r="E1225" s="90">
        <f>548.4+863.1</f>
        <v>1411.5</v>
      </c>
      <c r="F1225" s="90" t="s">
        <v>8</v>
      </c>
      <c r="G1225" s="93">
        <v>1</v>
      </c>
      <c r="H1225" s="90" t="s">
        <v>469</v>
      </c>
      <c r="I1225" s="94">
        <v>43496</v>
      </c>
      <c r="J1225" s="90" t="s">
        <v>141</v>
      </c>
      <c r="K1225" s="90"/>
      <c r="L1225" s="90">
        <v>1</v>
      </c>
      <c r="M1225" s="90">
        <f t="shared" si="164"/>
        <v>840</v>
      </c>
      <c r="N1225" s="95">
        <f t="shared" si="161"/>
        <v>-8.0532212885154053E-2</v>
      </c>
    </row>
    <row r="1226" spans="1:14" ht="15" hidden="1" customHeight="1" x14ac:dyDescent="0.2">
      <c r="A1226" s="1" t="s">
        <v>470</v>
      </c>
      <c r="B1226" s="2" t="s">
        <v>37</v>
      </c>
      <c r="C1226" s="2">
        <v>630</v>
      </c>
      <c r="D1226" s="7">
        <v>600</v>
      </c>
      <c r="H1226" s="1" t="s">
        <v>471</v>
      </c>
      <c r="I1226" s="8">
        <v>43496</v>
      </c>
      <c r="J1226" s="16" t="s">
        <v>129</v>
      </c>
      <c r="N1226" s="29" t="e">
        <f t="shared" si="161"/>
        <v>#DIV/0!</v>
      </c>
    </row>
    <row r="1227" spans="1:14" ht="15" hidden="1" customHeight="1" x14ac:dyDescent="0.2">
      <c r="A1227" s="1" t="s">
        <v>470</v>
      </c>
      <c r="B1227" s="2" t="s">
        <v>37</v>
      </c>
      <c r="C1227" s="2">
        <v>320</v>
      </c>
      <c r="D1227" s="7">
        <v>400</v>
      </c>
      <c r="H1227" s="1" t="s">
        <v>471</v>
      </c>
      <c r="I1227" s="8">
        <v>43496</v>
      </c>
      <c r="J1227" s="16" t="s">
        <v>129</v>
      </c>
      <c r="N1227" s="29" t="e">
        <f t="shared" si="161"/>
        <v>#DIV/0!</v>
      </c>
    </row>
    <row r="1228" spans="1:14" ht="15" hidden="1" customHeight="1" x14ac:dyDescent="0.2">
      <c r="A1228" s="1" t="s">
        <v>470</v>
      </c>
      <c r="B1228" s="2" t="s">
        <v>37</v>
      </c>
      <c r="C1228" s="2">
        <v>340</v>
      </c>
      <c r="D1228" s="7">
        <v>400</v>
      </c>
      <c r="H1228" s="1" t="s">
        <v>471</v>
      </c>
      <c r="I1228" s="8">
        <v>43496</v>
      </c>
      <c r="J1228" s="16" t="s">
        <v>129</v>
      </c>
      <c r="N1228" s="29" t="e">
        <f t="shared" si="161"/>
        <v>#DIV/0!</v>
      </c>
    </row>
    <row r="1229" spans="1:14" ht="15" hidden="1" customHeight="1" x14ac:dyDescent="0.2">
      <c r="A1229" s="1" t="s">
        <v>470</v>
      </c>
      <c r="B1229" s="2" t="s">
        <v>37</v>
      </c>
      <c r="C1229" s="2">
        <v>740</v>
      </c>
      <c r="D1229" s="7">
        <v>600</v>
      </c>
      <c r="H1229" s="1" t="s">
        <v>471</v>
      </c>
      <c r="I1229" s="8">
        <v>43496</v>
      </c>
      <c r="J1229" s="16" t="s">
        <v>129</v>
      </c>
      <c r="N1229" s="29" t="e">
        <f t="shared" si="161"/>
        <v>#DIV/0!</v>
      </c>
    </row>
    <row r="1230" spans="1:14" ht="15" hidden="1" customHeight="1" x14ac:dyDescent="0.2">
      <c r="A1230" s="1" t="s">
        <v>470</v>
      </c>
      <c r="B1230" s="2" t="s">
        <v>37</v>
      </c>
      <c r="C1230" s="2">
        <v>380</v>
      </c>
      <c r="D1230" s="7">
        <v>1100</v>
      </c>
      <c r="H1230" s="1" t="s">
        <v>471</v>
      </c>
      <c r="I1230" s="8">
        <v>43496</v>
      </c>
      <c r="J1230" s="16" t="s">
        <v>129</v>
      </c>
      <c r="N1230" s="29" t="e">
        <f t="shared" si="161"/>
        <v>#DIV/0!</v>
      </c>
    </row>
    <row r="1231" spans="1:14" ht="15" hidden="1" customHeight="1" x14ac:dyDescent="0.2">
      <c r="A1231" s="1" t="s">
        <v>470</v>
      </c>
      <c r="B1231" s="2" t="s">
        <v>37</v>
      </c>
      <c r="C1231" s="2">
        <v>360</v>
      </c>
      <c r="D1231" s="7">
        <v>400</v>
      </c>
      <c r="H1231" s="1" t="s">
        <v>471</v>
      </c>
      <c r="I1231" s="8">
        <v>43496</v>
      </c>
      <c r="J1231" s="16" t="s">
        <v>129</v>
      </c>
      <c r="N1231" s="29" t="e">
        <f t="shared" si="161"/>
        <v>#DIV/0!</v>
      </c>
    </row>
    <row r="1232" spans="1:14" ht="15" hidden="1" customHeight="1" x14ac:dyDescent="0.2">
      <c r="A1232" s="1" t="s">
        <v>470</v>
      </c>
      <c r="B1232" s="2" t="s">
        <v>37</v>
      </c>
      <c r="C1232" s="2">
        <v>320</v>
      </c>
      <c r="D1232" s="7">
        <v>400</v>
      </c>
      <c r="H1232" s="1" t="s">
        <v>471</v>
      </c>
      <c r="I1232" s="8">
        <v>43496</v>
      </c>
      <c r="J1232" s="16" t="s">
        <v>129</v>
      </c>
      <c r="N1232" s="29" t="e">
        <f t="shared" si="161"/>
        <v>#DIV/0!</v>
      </c>
    </row>
    <row r="1233" spans="1:14" ht="15" hidden="1" customHeight="1" x14ac:dyDescent="0.2">
      <c r="A1233" s="1" t="s">
        <v>470</v>
      </c>
      <c r="B1233" s="2" t="s">
        <v>37</v>
      </c>
      <c r="C1233" s="2">
        <v>450</v>
      </c>
      <c r="D1233" s="7">
        <v>600</v>
      </c>
      <c r="H1233" s="1" t="s">
        <v>471</v>
      </c>
      <c r="I1233" s="8">
        <v>43496</v>
      </c>
      <c r="J1233" s="16" t="s">
        <v>129</v>
      </c>
      <c r="N1233" s="29" t="e">
        <f t="shared" si="161"/>
        <v>#DIV/0!</v>
      </c>
    </row>
    <row r="1234" spans="1:14" ht="15" hidden="1" customHeight="1" x14ac:dyDescent="0.2">
      <c r="A1234" s="1" t="s">
        <v>470</v>
      </c>
      <c r="B1234" s="2" t="s">
        <v>37</v>
      </c>
      <c r="C1234" s="2">
        <v>250</v>
      </c>
      <c r="D1234" s="7">
        <v>300</v>
      </c>
      <c r="H1234" s="1" t="s">
        <v>473</v>
      </c>
      <c r="I1234" s="8">
        <v>43496</v>
      </c>
      <c r="J1234" s="16" t="s">
        <v>129</v>
      </c>
      <c r="N1234" s="29" t="e">
        <f t="shared" si="161"/>
        <v>#DIV/0!</v>
      </c>
    </row>
    <row r="1235" spans="1:14" ht="15" hidden="1" customHeight="1" x14ac:dyDescent="0.2">
      <c r="A1235" s="1" t="s">
        <v>470</v>
      </c>
      <c r="B1235" s="2" t="s">
        <v>37</v>
      </c>
      <c r="C1235" s="2">
        <v>200</v>
      </c>
      <c r="D1235" s="7">
        <v>200</v>
      </c>
      <c r="H1235" s="1" t="s">
        <v>473</v>
      </c>
      <c r="I1235" s="8">
        <v>43496</v>
      </c>
      <c r="J1235" s="16" t="s">
        <v>129</v>
      </c>
      <c r="N1235" s="29" t="e">
        <f t="shared" si="161"/>
        <v>#DIV/0!</v>
      </c>
    </row>
    <row r="1236" spans="1:14" ht="15" hidden="1" customHeight="1" x14ac:dyDescent="0.2">
      <c r="A1236" s="1" t="s">
        <v>470</v>
      </c>
      <c r="B1236" s="2" t="s">
        <v>37</v>
      </c>
      <c r="C1236" s="2">
        <v>280</v>
      </c>
      <c r="D1236" s="7">
        <v>1100</v>
      </c>
      <c r="H1236" s="1" t="s">
        <v>473</v>
      </c>
      <c r="I1236" s="8">
        <v>43496</v>
      </c>
      <c r="J1236" s="16" t="s">
        <v>129</v>
      </c>
      <c r="N1236" s="29" t="e">
        <f t="shared" si="161"/>
        <v>#DIV/0!</v>
      </c>
    </row>
    <row r="1237" spans="1:14" s="60" customFormat="1" ht="15" hidden="1" customHeight="1" x14ac:dyDescent="0.2">
      <c r="A1237" s="55" t="s">
        <v>470</v>
      </c>
      <c r="B1237" s="54" t="s">
        <v>38</v>
      </c>
      <c r="C1237" s="54">
        <v>250</v>
      </c>
      <c r="D1237" s="56">
        <v>600</v>
      </c>
      <c r="E1237" s="55">
        <f>356.4</f>
        <v>356.4</v>
      </c>
      <c r="F1237" s="55"/>
      <c r="G1237" s="57"/>
      <c r="H1237" s="55" t="s">
        <v>473</v>
      </c>
      <c r="I1237" s="58">
        <v>43496</v>
      </c>
      <c r="J1237" s="55" t="s">
        <v>129</v>
      </c>
      <c r="K1237" s="55"/>
      <c r="L1237" s="55"/>
      <c r="M1237" s="55"/>
      <c r="N1237" s="59" t="e">
        <f t="shared" si="161"/>
        <v>#DIV/0!</v>
      </c>
    </row>
    <row r="1238" spans="1:14" ht="15" hidden="1" customHeight="1" x14ac:dyDescent="0.2">
      <c r="A1238" s="1" t="s">
        <v>470</v>
      </c>
      <c r="B1238" s="2" t="s">
        <v>37</v>
      </c>
      <c r="C1238" s="2">
        <v>195</v>
      </c>
      <c r="D1238" s="7">
        <v>400</v>
      </c>
      <c r="H1238" s="1" t="s">
        <v>472</v>
      </c>
      <c r="I1238" s="8">
        <v>43496</v>
      </c>
      <c r="J1238" s="16" t="s">
        <v>129</v>
      </c>
      <c r="N1238" s="29" t="e">
        <f t="shared" si="161"/>
        <v>#DIV/0!</v>
      </c>
    </row>
    <row r="1239" spans="1:14" ht="15" hidden="1" customHeight="1" x14ac:dyDescent="0.2">
      <c r="A1239" s="1" t="s">
        <v>470</v>
      </c>
      <c r="B1239" s="2" t="s">
        <v>37</v>
      </c>
      <c r="C1239" s="2">
        <v>250</v>
      </c>
      <c r="D1239" s="7">
        <v>750</v>
      </c>
      <c r="H1239" s="1" t="s">
        <v>472</v>
      </c>
      <c r="I1239" s="8">
        <v>43496</v>
      </c>
      <c r="J1239" s="16" t="s">
        <v>129</v>
      </c>
      <c r="N1239" s="29" t="e">
        <f t="shared" si="161"/>
        <v>#DIV/0!</v>
      </c>
    </row>
    <row r="1240" spans="1:14" ht="15" hidden="1" customHeight="1" x14ac:dyDescent="0.2">
      <c r="A1240" s="1" t="s">
        <v>470</v>
      </c>
      <c r="B1240" s="2" t="s">
        <v>37</v>
      </c>
      <c r="C1240" s="2">
        <v>500</v>
      </c>
      <c r="D1240" s="7">
        <v>700</v>
      </c>
      <c r="H1240" s="1" t="s">
        <v>471</v>
      </c>
      <c r="I1240" s="8">
        <v>43496</v>
      </c>
      <c r="J1240" s="16" t="s">
        <v>129</v>
      </c>
      <c r="N1240" s="29" t="e">
        <f t="shared" si="161"/>
        <v>#DIV/0!</v>
      </c>
    </row>
    <row r="1241" spans="1:14" ht="15" hidden="1" customHeight="1" x14ac:dyDescent="0.2">
      <c r="A1241" s="1" t="s">
        <v>470</v>
      </c>
      <c r="B1241" s="2" t="s">
        <v>37</v>
      </c>
      <c r="C1241" s="2">
        <v>620</v>
      </c>
      <c r="D1241" s="7">
        <v>300</v>
      </c>
      <c r="H1241" s="1" t="s">
        <v>471</v>
      </c>
      <c r="I1241" s="8">
        <v>43496</v>
      </c>
      <c r="J1241" s="16" t="s">
        <v>129</v>
      </c>
      <c r="N1241" s="29" t="e">
        <f t="shared" si="161"/>
        <v>#DIV/0!</v>
      </c>
    </row>
    <row r="1242" spans="1:14" s="148" customFormat="1" ht="15" hidden="1" customHeight="1" x14ac:dyDescent="0.2">
      <c r="A1242" s="142" t="s">
        <v>470</v>
      </c>
      <c r="B1242" s="143" t="s">
        <v>36</v>
      </c>
      <c r="C1242" s="143">
        <v>430</v>
      </c>
      <c r="D1242" s="144">
        <v>500</v>
      </c>
      <c r="E1242" s="142">
        <f>483.8</f>
        <v>483.8</v>
      </c>
      <c r="F1242" s="142" t="s">
        <v>8</v>
      </c>
      <c r="G1242" s="145">
        <v>1</v>
      </c>
      <c r="H1242" s="142" t="s">
        <v>471</v>
      </c>
      <c r="I1242" s="146">
        <v>43496</v>
      </c>
      <c r="J1242" s="142" t="s">
        <v>129</v>
      </c>
      <c r="K1242" s="142"/>
      <c r="L1242" s="142">
        <v>2</v>
      </c>
      <c r="M1242" s="10">
        <f t="shared" ref="M1242" si="165">L1242*C1242</f>
        <v>860</v>
      </c>
      <c r="N1242" s="147">
        <f t="shared" si="161"/>
        <v>0.11080711354309157</v>
      </c>
    </row>
    <row r="1243" spans="1:14" s="96" customFormat="1" ht="15" hidden="1" customHeight="1" x14ac:dyDescent="0.2">
      <c r="A1243" s="90" t="s">
        <v>470</v>
      </c>
      <c r="B1243" s="91" t="s">
        <v>36</v>
      </c>
      <c r="C1243" s="91">
        <v>360</v>
      </c>
      <c r="D1243" s="92">
        <v>600</v>
      </c>
      <c r="E1243" s="90">
        <f>613.2</f>
        <v>613.20000000000005</v>
      </c>
      <c r="F1243" s="90" t="s">
        <v>8</v>
      </c>
      <c r="G1243" s="93">
        <v>1</v>
      </c>
      <c r="H1243" s="90" t="s">
        <v>471</v>
      </c>
      <c r="I1243" s="94">
        <v>43496</v>
      </c>
      <c r="J1243" s="90" t="s">
        <v>129</v>
      </c>
      <c r="K1243" s="90"/>
      <c r="L1243" s="90">
        <v>3</v>
      </c>
      <c r="M1243" s="90">
        <f t="shared" ref="M1243" si="166">L1243*C1243</f>
        <v>1080</v>
      </c>
      <c r="N1243" s="95">
        <f t="shared" si="161"/>
        <v>-7.1895424836601551E-2</v>
      </c>
    </row>
    <row r="1244" spans="1:14" ht="15" hidden="1" customHeight="1" x14ac:dyDescent="0.2">
      <c r="A1244" s="1" t="s">
        <v>470</v>
      </c>
      <c r="B1244" s="2" t="s">
        <v>37</v>
      </c>
      <c r="C1244" s="2">
        <v>400</v>
      </c>
      <c r="D1244" s="7">
        <v>400</v>
      </c>
      <c r="H1244" s="1" t="s">
        <v>473</v>
      </c>
      <c r="I1244" s="8">
        <v>43496</v>
      </c>
      <c r="J1244" s="16" t="s">
        <v>129</v>
      </c>
      <c r="N1244" s="29" t="e">
        <f t="shared" si="161"/>
        <v>#DIV/0!</v>
      </c>
    </row>
    <row r="1245" spans="1:14" s="158" customFormat="1" x14ac:dyDescent="0.2">
      <c r="A1245" s="152" t="s">
        <v>470</v>
      </c>
      <c r="B1245" s="153" t="s">
        <v>39</v>
      </c>
      <c r="C1245" s="153">
        <v>340</v>
      </c>
      <c r="D1245" s="154">
        <v>600</v>
      </c>
      <c r="E1245" s="152"/>
      <c r="F1245" s="152"/>
      <c r="G1245" s="155" t="s">
        <v>146</v>
      </c>
      <c r="H1245" s="152" t="s">
        <v>471</v>
      </c>
      <c r="I1245" s="156">
        <v>43496</v>
      </c>
      <c r="J1245" s="152" t="s">
        <v>129</v>
      </c>
      <c r="K1245" s="152"/>
      <c r="L1245" s="152">
        <v>3</v>
      </c>
      <c r="M1245" s="152">
        <f t="shared" ref="M1245:M1246" si="167">L1245*C1245</f>
        <v>1020</v>
      </c>
      <c r="N1245" s="157">
        <f t="shared" si="161"/>
        <v>3.4602076124567471</v>
      </c>
    </row>
    <row r="1246" spans="1:14" s="104" customFormat="1" x14ac:dyDescent="0.2">
      <c r="A1246" s="98" t="s">
        <v>470</v>
      </c>
      <c r="B1246" s="99" t="s">
        <v>39</v>
      </c>
      <c r="C1246" s="91">
        <v>380</v>
      </c>
      <c r="D1246" s="100">
        <v>1100</v>
      </c>
      <c r="E1246" s="98"/>
      <c r="F1246" s="98" t="s">
        <v>8</v>
      </c>
      <c r="G1246" s="101">
        <v>4</v>
      </c>
      <c r="H1246" s="98" t="s">
        <v>471</v>
      </c>
      <c r="I1246" s="102">
        <v>43496</v>
      </c>
      <c r="J1246" s="98" t="s">
        <v>129</v>
      </c>
      <c r="K1246" s="98"/>
      <c r="L1246" s="98">
        <v>2</v>
      </c>
      <c r="M1246" s="98">
        <f t="shared" si="167"/>
        <v>760</v>
      </c>
      <c r="N1246" s="103">
        <f t="shared" si="161"/>
        <v>8.5139318885448905</v>
      </c>
    </row>
    <row r="1247" spans="1:14" s="96" customFormat="1" ht="15" hidden="1" customHeight="1" x14ac:dyDescent="0.2">
      <c r="A1247" s="90" t="s">
        <v>369</v>
      </c>
      <c r="B1247" s="91" t="s">
        <v>36</v>
      </c>
      <c r="C1247" s="91">
        <v>420</v>
      </c>
      <c r="D1247" s="92">
        <v>200</v>
      </c>
      <c r="E1247" s="90">
        <f>217.8</f>
        <v>217.8</v>
      </c>
      <c r="F1247" s="90" t="s">
        <v>8</v>
      </c>
      <c r="G1247" s="93">
        <v>1</v>
      </c>
      <c r="H1247" s="90"/>
      <c r="I1247" s="94">
        <v>43496</v>
      </c>
      <c r="J1247" s="90" t="s">
        <v>212</v>
      </c>
      <c r="K1247" s="90"/>
      <c r="L1247" s="90">
        <v>2</v>
      </c>
      <c r="M1247" s="90">
        <f t="shared" ref="M1247:M1251" si="168">L1247*C1247</f>
        <v>840</v>
      </c>
      <c r="N1247" s="95">
        <f t="shared" si="161"/>
        <v>-0.12464985994397766</v>
      </c>
    </row>
    <row r="1248" spans="1:14" x14ac:dyDescent="0.2">
      <c r="A1248" s="1" t="s">
        <v>178</v>
      </c>
      <c r="B1248" s="2" t="s">
        <v>39</v>
      </c>
      <c r="C1248" s="2">
        <v>320</v>
      </c>
      <c r="D1248" s="7">
        <v>500</v>
      </c>
      <c r="G1248" s="41">
        <v>3</v>
      </c>
      <c r="I1248" s="8">
        <v>43496</v>
      </c>
      <c r="J1248" s="16" t="s">
        <v>5</v>
      </c>
      <c r="L1248" s="3">
        <v>3</v>
      </c>
      <c r="M1248" s="10">
        <f t="shared" si="168"/>
        <v>960</v>
      </c>
      <c r="N1248" s="29">
        <f t="shared" si="161"/>
        <v>3.0637254901960782</v>
      </c>
    </row>
    <row r="1249" spans="1:14" s="158" customFormat="1" x14ac:dyDescent="0.2">
      <c r="A1249" s="152" t="s">
        <v>178</v>
      </c>
      <c r="B1249" s="153" t="s">
        <v>39</v>
      </c>
      <c r="C1249" s="153">
        <v>340</v>
      </c>
      <c r="D1249" s="154">
        <v>200</v>
      </c>
      <c r="E1249" s="152"/>
      <c r="F1249" s="152"/>
      <c r="G1249" s="155" t="s">
        <v>146</v>
      </c>
      <c r="H1249" s="152"/>
      <c r="I1249" s="156">
        <v>43496</v>
      </c>
      <c r="J1249" s="152" t="s">
        <v>5</v>
      </c>
      <c r="K1249" s="152"/>
      <c r="L1249" s="152">
        <v>3</v>
      </c>
      <c r="M1249" s="152">
        <f t="shared" si="168"/>
        <v>1020</v>
      </c>
      <c r="N1249" s="157">
        <f t="shared" si="161"/>
        <v>1.1534025374855825</v>
      </c>
    </row>
    <row r="1250" spans="1:14" s="104" customFormat="1" x14ac:dyDescent="0.2">
      <c r="A1250" s="98" t="s">
        <v>178</v>
      </c>
      <c r="B1250" s="99" t="s">
        <v>39</v>
      </c>
      <c r="C1250" s="91">
        <v>450</v>
      </c>
      <c r="D1250" s="100">
        <v>500</v>
      </c>
      <c r="E1250" s="98"/>
      <c r="F1250" s="98" t="s">
        <v>8</v>
      </c>
      <c r="G1250" s="101" t="s">
        <v>146</v>
      </c>
      <c r="H1250" s="98"/>
      <c r="I1250" s="102">
        <v>43496</v>
      </c>
      <c r="J1250" s="98" t="s">
        <v>5</v>
      </c>
      <c r="K1250" s="98"/>
      <c r="L1250" s="98">
        <v>2</v>
      </c>
      <c r="M1250" s="98">
        <f t="shared" si="168"/>
        <v>900</v>
      </c>
      <c r="N1250" s="103">
        <f t="shared" si="161"/>
        <v>3.2679738562091503</v>
      </c>
    </row>
    <row r="1251" spans="1:14" s="104" customFormat="1" x14ac:dyDescent="0.2">
      <c r="A1251" s="98" t="s">
        <v>178</v>
      </c>
      <c r="B1251" s="99" t="s">
        <v>39</v>
      </c>
      <c r="C1251" s="91">
        <v>500</v>
      </c>
      <c r="D1251" s="100">
        <v>500</v>
      </c>
      <c r="E1251" s="98"/>
      <c r="F1251" s="98" t="s">
        <v>8</v>
      </c>
      <c r="G1251" s="101">
        <v>2</v>
      </c>
      <c r="H1251" s="98"/>
      <c r="I1251" s="102">
        <v>43496</v>
      </c>
      <c r="J1251" s="98" t="s">
        <v>5</v>
      </c>
      <c r="K1251" s="98"/>
      <c r="L1251" s="98">
        <v>2</v>
      </c>
      <c r="M1251" s="98">
        <f t="shared" si="168"/>
        <v>1000</v>
      </c>
      <c r="N1251" s="103">
        <f t="shared" si="161"/>
        <v>2.9411764705882355</v>
      </c>
    </row>
    <row r="1252" spans="1:14" ht="15" hidden="1" customHeight="1" x14ac:dyDescent="0.2">
      <c r="A1252" s="1" t="s">
        <v>178</v>
      </c>
      <c r="B1252" s="2" t="s">
        <v>37</v>
      </c>
      <c r="C1252" s="2">
        <v>300</v>
      </c>
      <c r="D1252" s="7">
        <v>150</v>
      </c>
      <c r="I1252" s="8">
        <v>43496</v>
      </c>
      <c r="J1252" s="16" t="s">
        <v>5</v>
      </c>
    </row>
    <row r="1253" spans="1:14" ht="15" hidden="1" customHeight="1" x14ac:dyDescent="0.2">
      <c r="A1253" s="1" t="s">
        <v>178</v>
      </c>
      <c r="B1253" s="2" t="s">
        <v>37</v>
      </c>
      <c r="C1253" s="2">
        <v>390</v>
      </c>
      <c r="D1253" s="7">
        <v>700</v>
      </c>
      <c r="I1253" s="8">
        <v>43496</v>
      </c>
      <c r="J1253" s="16" t="s">
        <v>5</v>
      </c>
    </row>
    <row r="1254" spans="1:14" ht="15" hidden="1" customHeight="1" x14ac:dyDescent="0.2">
      <c r="A1254" s="1" t="s">
        <v>178</v>
      </c>
      <c r="B1254" s="2" t="s">
        <v>37</v>
      </c>
      <c r="C1254" s="2">
        <v>430</v>
      </c>
      <c r="D1254" s="7">
        <v>1500</v>
      </c>
      <c r="I1254" s="8">
        <v>43496</v>
      </c>
      <c r="J1254" s="16" t="s">
        <v>5</v>
      </c>
    </row>
    <row r="1255" spans="1:14" ht="15" hidden="1" customHeight="1" x14ac:dyDescent="0.2">
      <c r="A1255" s="1" t="s">
        <v>178</v>
      </c>
      <c r="B1255" s="2" t="s">
        <v>37</v>
      </c>
      <c r="C1255" s="2">
        <v>460</v>
      </c>
      <c r="D1255" s="7">
        <v>850</v>
      </c>
      <c r="I1255" s="8">
        <v>43496</v>
      </c>
      <c r="J1255" s="16" t="s">
        <v>5</v>
      </c>
    </row>
    <row r="1256" spans="1:14" ht="15" hidden="1" customHeight="1" x14ac:dyDescent="0.2">
      <c r="A1256" s="1" t="s">
        <v>178</v>
      </c>
      <c r="B1256" s="2" t="s">
        <v>37</v>
      </c>
      <c r="C1256" s="2">
        <v>490</v>
      </c>
      <c r="D1256" s="7">
        <v>600</v>
      </c>
      <c r="I1256" s="8">
        <v>43496</v>
      </c>
      <c r="J1256" s="16" t="s">
        <v>5</v>
      </c>
    </row>
    <row r="1257" spans="1:14" ht="15" hidden="1" customHeight="1" x14ac:dyDescent="0.2">
      <c r="A1257" s="1" t="s">
        <v>178</v>
      </c>
      <c r="B1257" s="2" t="s">
        <v>37</v>
      </c>
      <c r="C1257" s="2">
        <v>520</v>
      </c>
      <c r="D1257" s="7">
        <v>750</v>
      </c>
      <c r="I1257" s="8">
        <v>43496</v>
      </c>
      <c r="J1257" s="16" t="s">
        <v>5</v>
      </c>
    </row>
    <row r="1258" spans="1:14" ht="15" hidden="1" customHeight="1" x14ac:dyDescent="0.2">
      <c r="A1258" s="1" t="s">
        <v>178</v>
      </c>
      <c r="B1258" s="2" t="s">
        <v>38</v>
      </c>
      <c r="C1258" s="2">
        <v>400</v>
      </c>
      <c r="D1258" s="7">
        <v>1000</v>
      </c>
      <c r="E1258" s="1">
        <f>296.8</f>
        <v>296.8</v>
      </c>
      <c r="I1258" s="8">
        <v>43496</v>
      </c>
      <c r="J1258" s="16" t="s">
        <v>5</v>
      </c>
    </row>
    <row r="1259" spans="1:14" ht="15" hidden="1" customHeight="1" x14ac:dyDescent="0.2">
      <c r="A1259" s="1" t="s">
        <v>474</v>
      </c>
      <c r="B1259" s="2" t="s">
        <v>40</v>
      </c>
      <c r="C1259" s="2">
        <v>1000</v>
      </c>
      <c r="D1259" s="7">
        <v>500</v>
      </c>
      <c r="I1259" s="8">
        <v>43496</v>
      </c>
      <c r="J1259" s="16" t="s">
        <v>13</v>
      </c>
    </row>
    <row r="1260" spans="1:14" ht="15" hidden="1" customHeight="1" x14ac:dyDescent="0.2">
      <c r="A1260" s="1" t="s">
        <v>474</v>
      </c>
      <c r="B1260" s="2" t="s">
        <v>40</v>
      </c>
      <c r="C1260" s="2">
        <v>1200</v>
      </c>
      <c r="D1260" s="7">
        <v>2000</v>
      </c>
      <c r="I1260" s="8">
        <v>43496</v>
      </c>
      <c r="J1260" s="16" t="s">
        <v>13</v>
      </c>
    </row>
    <row r="1261" spans="1:14" s="104" customFormat="1" ht="15" customHeight="1" x14ac:dyDescent="0.2">
      <c r="A1261" s="98" t="s">
        <v>474</v>
      </c>
      <c r="B1261" s="99" t="s">
        <v>39</v>
      </c>
      <c r="C1261" s="99">
        <v>860</v>
      </c>
      <c r="D1261" s="100">
        <v>1000</v>
      </c>
      <c r="E1261" s="98"/>
      <c r="F1261" s="98" t="s">
        <v>8</v>
      </c>
      <c r="G1261" s="101" t="s">
        <v>146</v>
      </c>
      <c r="H1261" s="98"/>
      <c r="I1261" s="102">
        <v>43496</v>
      </c>
      <c r="J1261" s="98" t="s">
        <v>13</v>
      </c>
      <c r="K1261" s="98"/>
      <c r="L1261" s="98">
        <v>1</v>
      </c>
      <c r="M1261" s="98">
        <f t="shared" ref="M1261:M1265" si="169">L1261*C1261</f>
        <v>860</v>
      </c>
      <c r="N1261" s="103">
        <f t="shared" ref="N1261:N1265" si="170">(D1261-E1261)/(M1261*0.17)</f>
        <v>6.8399452804377558</v>
      </c>
    </row>
    <row r="1262" spans="1:14" ht="15.75" customHeight="1" x14ac:dyDescent="0.2">
      <c r="A1262" s="1" t="s">
        <v>474</v>
      </c>
      <c r="B1262" s="2" t="s">
        <v>39</v>
      </c>
      <c r="C1262" s="2">
        <v>1200</v>
      </c>
      <c r="D1262" s="7">
        <v>2000</v>
      </c>
      <c r="G1262" s="41">
        <v>1</v>
      </c>
      <c r="I1262" s="8">
        <v>43496</v>
      </c>
      <c r="J1262" s="16" t="s">
        <v>13</v>
      </c>
      <c r="L1262" s="3">
        <v>1</v>
      </c>
      <c r="M1262" s="10">
        <f t="shared" si="169"/>
        <v>1200</v>
      </c>
      <c r="N1262" s="29">
        <f t="shared" si="170"/>
        <v>9.8039215686274499</v>
      </c>
    </row>
    <row r="1263" spans="1:14" s="158" customFormat="1" ht="15" customHeight="1" x14ac:dyDescent="0.2">
      <c r="A1263" s="152" t="s">
        <v>474</v>
      </c>
      <c r="B1263" s="153" t="s">
        <v>39</v>
      </c>
      <c r="C1263" s="153">
        <v>640</v>
      </c>
      <c r="D1263" s="154">
        <v>500</v>
      </c>
      <c r="E1263" s="152"/>
      <c r="F1263" s="152" t="s">
        <v>8</v>
      </c>
      <c r="G1263" s="155" t="s">
        <v>146</v>
      </c>
      <c r="H1263" s="152"/>
      <c r="I1263" s="156">
        <v>43496</v>
      </c>
      <c r="J1263" s="152" t="s">
        <v>13</v>
      </c>
      <c r="K1263" s="152"/>
      <c r="L1263" s="152">
        <v>1</v>
      </c>
      <c r="M1263" s="152">
        <f t="shared" si="169"/>
        <v>640</v>
      </c>
      <c r="N1263" s="157">
        <f t="shared" si="170"/>
        <v>4.5955882352941169</v>
      </c>
    </row>
    <row r="1264" spans="1:14" x14ac:dyDescent="0.2">
      <c r="A1264" s="1" t="s">
        <v>474</v>
      </c>
      <c r="B1264" s="2" t="s">
        <v>39</v>
      </c>
      <c r="C1264" s="2">
        <v>1040</v>
      </c>
      <c r="D1264" s="7">
        <v>1000</v>
      </c>
      <c r="G1264" s="41">
        <v>1</v>
      </c>
      <c r="I1264" s="8">
        <v>43496</v>
      </c>
      <c r="J1264" s="16" t="s">
        <v>13</v>
      </c>
      <c r="L1264" s="3">
        <v>1</v>
      </c>
      <c r="M1264" s="10">
        <f t="shared" si="169"/>
        <v>1040</v>
      </c>
      <c r="N1264" s="29">
        <f t="shared" si="170"/>
        <v>5.6561085972850673</v>
      </c>
    </row>
    <row r="1265" spans="1:14" s="104" customFormat="1" ht="15" customHeight="1" x14ac:dyDescent="0.2">
      <c r="A1265" s="98" t="s">
        <v>474</v>
      </c>
      <c r="B1265" s="99" t="s">
        <v>39</v>
      </c>
      <c r="C1265" s="99">
        <v>1000</v>
      </c>
      <c r="D1265" s="100">
        <v>2000</v>
      </c>
      <c r="E1265" s="98"/>
      <c r="F1265" s="98" t="s">
        <v>8</v>
      </c>
      <c r="G1265" s="101" t="s">
        <v>146</v>
      </c>
      <c r="H1265" s="98"/>
      <c r="I1265" s="102">
        <v>43496</v>
      </c>
      <c r="J1265" s="98" t="s">
        <v>13</v>
      </c>
      <c r="K1265" s="98"/>
      <c r="L1265" s="98">
        <v>1</v>
      </c>
      <c r="M1265" s="98">
        <f t="shared" si="169"/>
        <v>1000</v>
      </c>
      <c r="N1265" s="103">
        <f t="shared" si="170"/>
        <v>11.764705882352942</v>
      </c>
    </row>
    <row r="1266" spans="1:14" ht="15" hidden="1" customHeight="1" x14ac:dyDescent="0.2">
      <c r="A1266" s="1" t="s">
        <v>474</v>
      </c>
      <c r="B1266" s="2" t="s">
        <v>37</v>
      </c>
      <c r="C1266" s="2">
        <v>1160</v>
      </c>
      <c r="D1266" s="7">
        <v>1000</v>
      </c>
      <c r="I1266" s="8">
        <v>43496</v>
      </c>
      <c r="J1266" s="16" t="s">
        <v>13</v>
      </c>
    </row>
    <row r="1267" spans="1:14" ht="15" hidden="1" customHeight="1" x14ac:dyDescent="0.2">
      <c r="A1267" s="1" t="s">
        <v>474</v>
      </c>
      <c r="B1267" s="2" t="s">
        <v>37</v>
      </c>
      <c r="C1267" s="2">
        <v>1200</v>
      </c>
      <c r="D1267" s="7">
        <v>2000</v>
      </c>
      <c r="I1267" s="8">
        <v>43496</v>
      </c>
      <c r="J1267" s="16" t="s">
        <v>13</v>
      </c>
    </row>
    <row r="1268" spans="1:14" ht="15" hidden="1" customHeight="1" x14ac:dyDescent="0.2">
      <c r="A1268" s="1" t="s">
        <v>474</v>
      </c>
      <c r="B1268" s="2" t="s">
        <v>37</v>
      </c>
      <c r="C1268" s="2">
        <v>1000</v>
      </c>
      <c r="D1268" s="7">
        <v>1000</v>
      </c>
      <c r="I1268" s="8">
        <v>43496</v>
      </c>
      <c r="J1268" s="16" t="s">
        <v>13</v>
      </c>
    </row>
    <row r="1269" spans="1:14" s="96" customFormat="1" ht="15" hidden="1" customHeight="1" x14ac:dyDescent="0.2">
      <c r="A1269" s="90" t="s">
        <v>474</v>
      </c>
      <c r="B1269" s="91" t="s">
        <v>36</v>
      </c>
      <c r="C1269" s="91">
        <v>720</v>
      </c>
      <c r="D1269" s="92">
        <v>1000</v>
      </c>
      <c r="E1269" s="90">
        <f>434.8+524.8</f>
        <v>959.59999999999991</v>
      </c>
      <c r="F1269" s="90" t="s">
        <v>8</v>
      </c>
      <c r="G1269" s="93">
        <v>1</v>
      </c>
      <c r="H1269" s="90"/>
      <c r="I1269" s="94">
        <v>43496</v>
      </c>
      <c r="J1269" s="90" t="s">
        <v>13</v>
      </c>
      <c r="K1269" s="90"/>
      <c r="L1269" s="90">
        <v>1</v>
      </c>
      <c r="M1269" s="90">
        <f t="shared" ref="M1269:M1273" si="171">L1269*C1269</f>
        <v>720</v>
      </c>
      <c r="N1269" s="95">
        <f t="shared" ref="N1269:N1273" si="172">(D1269-E1269)/(M1269*0.17)</f>
        <v>0.3300653594771249</v>
      </c>
    </row>
    <row r="1270" spans="1:14" s="96" customFormat="1" ht="15" hidden="1" customHeight="1" x14ac:dyDescent="0.2">
      <c r="A1270" s="90" t="s">
        <v>475</v>
      </c>
      <c r="B1270" s="91" t="s">
        <v>36</v>
      </c>
      <c r="C1270" s="91">
        <v>500</v>
      </c>
      <c r="D1270" s="92">
        <v>550</v>
      </c>
      <c r="E1270" s="90">
        <f>549.4</f>
        <v>549.4</v>
      </c>
      <c r="F1270" s="90" t="s">
        <v>8</v>
      </c>
      <c r="G1270" s="93">
        <v>1</v>
      </c>
      <c r="H1270" s="90"/>
      <c r="I1270" s="90">
        <v>1.02</v>
      </c>
      <c r="J1270" s="90" t="s">
        <v>476</v>
      </c>
      <c r="K1270" s="90"/>
      <c r="L1270" s="90">
        <v>2</v>
      </c>
      <c r="M1270" s="90">
        <f t="shared" si="171"/>
        <v>1000</v>
      </c>
      <c r="N1270" s="95">
        <f t="shared" si="172"/>
        <v>3.5294117647060161E-3</v>
      </c>
    </row>
    <row r="1271" spans="1:14" s="96" customFormat="1" ht="15" hidden="1" customHeight="1" x14ac:dyDescent="0.2">
      <c r="A1271" s="90" t="s">
        <v>478</v>
      </c>
      <c r="B1271" s="91" t="s">
        <v>36</v>
      </c>
      <c r="C1271" s="91">
        <v>600</v>
      </c>
      <c r="D1271" s="92">
        <v>100</v>
      </c>
      <c r="E1271" s="90">
        <f>104.5</f>
        <v>104.5</v>
      </c>
      <c r="F1271" s="90" t="s">
        <v>8</v>
      </c>
      <c r="G1271" s="93" t="s">
        <v>146</v>
      </c>
      <c r="H1271" s="90" t="s">
        <v>477</v>
      </c>
      <c r="I1271" s="90">
        <v>1.02</v>
      </c>
      <c r="J1271" s="90" t="s">
        <v>479</v>
      </c>
      <c r="K1271" s="90"/>
      <c r="L1271" s="90">
        <v>1</v>
      </c>
      <c r="M1271" s="90">
        <f t="shared" si="171"/>
        <v>600</v>
      </c>
      <c r="N1271" s="95">
        <f t="shared" si="172"/>
        <v>-4.4117647058823525E-2</v>
      </c>
    </row>
    <row r="1272" spans="1:14" s="96" customFormat="1" ht="15" hidden="1" customHeight="1" x14ac:dyDescent="0.2">
      <c r="A1272" s="90" t="s">
        <v>480</v>
      </c>
      <c r="B1272" s="91" t="s">
        <v>36</v>
      </c>
      <c r="C1272" s="91">
        <v>460</v>
      </c>
      <c r="D1272" s="92">
        <f>1500+1000</f>
        <v>2500</v>
      </c>
      <c r="E1272" s="90">
        <f>950.6+1566.2</f>
        <v>2516.8000000000002</v>
      </c>
      <c r="F1272" s="90" t="s">
        <v>8</v>
      </c>
      <c r="G1272" s="93">
        <v>1</v>
      </c>
      <c r="H1272" s="90">
        <v>250</v>
      </c>
      <c r="I1272" s="90">
        <v>1.02</v>
      </c>
      <c r="J1272" s="90" t="s">
        <v>481</v>
      </c>
      <c r="K1272" s="90"/>
      <c r="L1272" s="90">
        <v>2</v>
      </c>
      <c r="M1272" s="90">
        <f t="shared" si="171"/>
        <v>920</v>
      </c>
      <c r="N1272" s="95">
        <f t="shared" si="172"/>
        <v>-0.10741687979539757</v>
      </c>
    </row>
    <row r="1273" spans="1:14" s="96" customFormat="1" ht="15" hidden="1" customHeight="1" x14ac:dyDescent="0.2">
      <c r="A1273" s="90" t="s">
        <v>482</v>
      </c>
      <c r="B1273" s="91" t="s">
        <v>36</v>
      </c>
      <c r="C1273" s="91">
        <v>700</v>
      </c>
      <c r="D1273" s="92">
        <v>1000</v>
      </c>
      <c r="E1273" s="90">
        <f>998.8</f>
        <v>998.8</v>
      </c>
      <c r="F1273" s="90" t="s">
        <v>8</v>
      </c>
      <c r="G1273" s="93">
        <v>1</v>
      </c>
      <c r="H1273" s="90"/>
      <c r="I1273" s="90">
        <v>1.02</v>
      </c>
      <c r="J1273" s="90" t="s">
        <v>485</v>
      </c>
      <c r="K1273" s="90"/>
      <c r="L1273" s="90">
        <v>2</v>
      </c>
      <c r="M1273" s="90">
        <f t="shared" si="171"/>
        <v>1400</v>
      </c>
      <c r="N1273" s="95">
        <f t="shared" si="172"/>
        <v>5.0420168067228793E-3</v>
      </c>
    </row>
    <row r="1274" spans="1:14" ht="15" hidden="1" customHeight="1" x14ac:dyDescent="0.2">
      <c r="A1274" s="1" t="s">
        <v>482</v>
      </c>
      <c r="B1274" s="2" t="s">
        <v>38</v>
      </c>
      <c r="C1274" s="2">
        <v>700</v>
      </c>
      <c r="D1274" s="7">
        <v>1000</v>
      </c>
      <c r="I1274" s="1">
        <v>1.02</v>
      </c>
      <c r="J1274" s="16" t="s">
        <v>485</v>
      </c>
    </row>
    <row r="1275" spans="1:14" s="96" customFormat="1" ht="15" hidden="1" customHeight="1" x14ac:dyDescent="0.2">
      <c r="A1275" s="90" t="s">
        <v>483</v>
      </c>
      <c r="B1275" s="91" t="s">
        <v>36</v>
      </c>
      <c r="C1275" s="91">
        <v>495</v>
      </c>
      <c r="D1275" s="92">
        <v>1500</v>
      </c>
      <c r="E1275" s="90">
        <f>437.8+1087</f>
        <v>1524.8</v>
      </c>
      <c r="F1275" s="90" t="s">
        <v>8</v>
      </c>
      <c r="G1275" s="93">
        <v>1</v>
      </c>
      <c r="H1275" s="90"/>
      <c r="I1275" s="90">
        <v>1.02</v>
      </c>
      <c r="J1275" s="90" t="s">
        <v>484</v>
      </c>
      <c r="K1275" s="90"/>
      <c r="L1275" s="90">
        <v>2</v>
      </c>
      <c r="M1275" s="90">
        <f t="shared" ref="M1275:M1289" si="173">L1275*C1275</f>
        <v>990</v>
      </c>
      <c r="N1275" s="95">
        <f t="shared" ref="N1275:N1284" si="174">(D1275-E1275)/(M1275*0.17)</f>
        <v>-0.14735591206179413</v>
      </c>
    </row>
    <row r="1276" spans="1:14" s="96" customFormat="1" ht="15" hidden="1" customHeight="1" x14ac:dyDescent="0.2">
      <c r="A1276" s="90" t="s">
        <v>483</v>
      </c>
      <c r="B1276" s="91" t="s">
        <v>36</v>
      </c>
      <c r="C1276" s="91">
        <v>265</v>
      </c>
      <c r="D1276" s="92">
        <v>30</v>
      </c>
      <c r="E1276" s="90">
        <f>29.4</f>
        <v>29.4</v>
      </c>
      <c r="F1276" s="90" t="s">
        <v>8</v>
      </c>
      <c r="G1276" s="93" t="s">
        <v>146</v>
      </c>
      <c r="H1276" s="90"/>
      <c r="I1276" s="90">
        <v>1.02</v>
      </c>
      <c r="J1276" s="90" t="s">
        <v>484</v>
      </c>
      <c r="K1276" s="90"/>
      <c r="L1276" s="90">
        <v>5</v>
      </c>
      <c r="M1276" s="90">
        <f t="shared" si="173"/>
        <v>1325</v>
      </c>
      <c r="N1276" s="95">
        <f t="shared" si="174"/>
        <v>2.6637069922308605E-3</v>
      </c>
    </row>
    <row r="1277" spans="1:14" s="96" customFormat="1" ht="15" hidden="1" customHeight="1" x14ac:dyDescent="0.2">
      <c r="A1277" s="90" t="s">
        <v>486</v>
      </c>
      <c r="B1277" s="91" t="s">
        <v>36</v>
      </c>
      <c r="C1277" s="91">
        <v>245</v>
      </c>
      <c r="D1277" s="92">
        <v>1500</v>
      </c>
      <c r="E1277" s="90">
        <f>436+218.4+875.2</f>
        <v>1529.6</v>
      </c>
      <c r="F1277" s="90" t="s">
        <v>8</v>
      </c>
      <c r="G1277" s="93">
        <v>1</v>
      </c>
      <c r="H1277" s="90"/>
      <c r="I1277" s="90">
        <v>1.02</v>
      </c>
      <c r="J1277" s="90" t="s">
        <v>487</v>
      </c>
      <c r="K1277" s="90"/>
      <c r="L1277" s="90">
        <v>4</v>
      </c>
      <c r="M1277" s="90">
        <f t="shared" si="173"/>
        <v>980</v>
      </c>
      <c r="N1277" s="95">
        <f t="shared" si="174"/>
        <v>-0.17767106842737038</v>
      </c>
    </row>
    <row r="1278" spans="1:14" s="96" customFormat="1" ht="15" hidden="1" customHeight="1" x14ac:dyDescent="0.2">
      <c r="A1278" s="90" t="s">
        <v>488</v>
      </c>
      <c r="B1278" s="91" t="s">
        <v>36</v>
      </c>
      <c r="C1278" s="91">
        <v>505</v>
      </c>
      <c r="D1278" s="92">
        <v>2000</v>
      </c>
      <c r="E1278" s="90">
        <f>909.4+1257.4</f>
        <v>2166.8000000000002</v>
      </c>
      <c r="F1278" s="90" t="s">
        <v>8</v>
      </c>
      <c r="G1278" s="93">
        <v>1</v>
      </c>
      <c r="H1278" s="90"/>
      <c r="I1278" s="90">
        <v>1.02</v>
      </c>
      <c r="J1278" s="90" t="s">
        <v>489</v>
      </c>
      <c r="K1278" s="90"/>
      <c r="L1278" s="90">
        <v>2</v>
      </c>
      <c r="M1278" s="90">
        <f t="shared" si="173"/>
        <v>1010</v>
      </c>
      <c r="N1278" s="95">
        <f t="shared" si="174"/>
        <v>-0.97146185206756064</v>
      </c>
    </row>
    <row r="1279" spans="1:14" s="96" customFormat="1" ht="15" hidden="1" customHeight="1" x14ac:dyDescent="0.2">
      <c r="A1279" s="90" t="s">
        <v>488</v>
      </c>
      <c r="B1279" s="91" t="s">
        <v>36</v>
      </c>
      <c r="C1279" s="91">
        <v>265</v>
      </c>
      <c r="D1279" s="92">
        <v>400</v>
      </c>
      <c r="E1279" s="90">
        <f>409.4</f>
        <v>409.4</v>
      </c>
      <c r="F1279" s="90" t="s">
        <v>8</v>
      </c>
      <c r="G1279" s="93" t="s">
        <v>146</v>
      </c>
      <c r="H1279" s="90"/>
      <c r="I1279" s="90">
        <v>1.02</v>
      </c>
      <c r="J1279" s="90" t="s">
        <v>489</v>
      </c>
      <c r="K1279" s="90"/>
      <c r="L1279" s="90">
        <v>5</v>
      </c>
      <c r="M1279" s="90">
        <f t="shared" si="173"/>
        <v>1325</v>
      </c>
      <c r="N1279" s="95">
        <f t="shared" si="174"/>
        <v>-4.173140954494995E-2</v>
      </c>
    </row>
    <row r="1280" spans="1:14" s="96" customFormat="1" ht="15" hidden="1" customHeight="1" x14ac:dyDescent="0.2">
      <c r="A1280" s="90" t="s">
        <v>363</v>
      </c>
      <c r="B1280" s="91" t="s">
        <v>36</v>
      </c>
      <c r="C1280" s="91">
        <v>1000</v>
      </c>
      <c r="D1280" s="92">
        <v>1000</v>
      </c>
      <c r="E1280" s="90">
        <f>409.1+614.1</f>
        <v>1023.2</v>
      </c>
      <c r="F1280" s="90" t="s">
        <v>8</v>
      </c>
      <c r="G1280" s="93">
        <v>1</v>
      </c>
      <c r="H1280" s="90"/>
      <c r="I1280" s="90">
        <v>1.02</v>
      </c>
      <c r="J1280" s="90" t="s">
        <v>279</v>
      </c>
      <c r="K1280" s="90"/>
      <c r="L1280" s="90">
        <v>1</v>
      </c>
      <c r="M1280" s="90">
        <f t="shared" si="173"/>
        <v>1000</v>
      </c>
      <c r="N1280" s="95">
        <f t="shared" si="174"/>
        <v>-0.1364705882352944</v>
      </c>
    </row>
    <row r="1281" spans="1:14" s="96" customFormat="1" ht="2.25" hidden="1" customHeight="1" x14ac:dyDescent="0.2">
      <c r="A1281" s="90" t="s">
        <v>363</v>
      </c>
      <c r="B1281" s="91" t="s">
        <v>36</v>
      </c>
      <c r="C1281" s="91">
        <v>1100</v>
      </c>
      <c r="D1281" s="92">
        <v>2000</v>
      </c>
      <c r="E1281" s="90">
        <f>2005.2</f>
        <v>2005.2</v>
      </c>
      <c r="F1281" s="90" t="s">
        <v>8</v>
      </c>
      <c r="G1281" s="93">
        <v>1</v>
      </c>
      <c r="H1281" s="90"/>
      <c r="I1281" s="90">
        <v>1.02</v>
      </c>
      <c r="J1281" s="90" t="s">
        <v>279</v>
      </c>
      <c r="K1281" s="90"/>
      <c r="L1281" s="90">
        <v>1</v>
      </c>
      <c r="M1281" s="90">
        <f t="shared" si="173"/>
        <v>1100</v>
      </c>
      <c r="N1281" s="95">
        <f t="shared" si="174"/>
        <v>-2.7807486631016287E-2</v>
      </c>
    </row>
    <row r="1282" spans="1:14" s="71" customFormat="1" ht="15" hidden="1" customHeight="1" x14ac:dyDescent="0.2">
      <c r="A1282" s="65" t="s">
        <v>363</v>
      </c>
      <c r="B1282" s="66" t="s">
        <v>36</v>
      </c>
      <c r="C1282" s="66">
        <v>1290</v>
      </c>
      <c r="D1282" s="67">
        <v>1000</v>
      </c>
      <c r="E1282" s="65">
        <f>814.3+225.3</f>
        <v>1039.5999999999999</v>
      </c>
      <c r="F1282" s="65" t="s">
        <v>8</v>
      </c>
      <c r="G1282" s="68">
        <v>1</v>
      </c>
      <c r="H1282" s="65"/>
      <c r="I1282" s="65">
        <v>1.02</v>
      </c>
      <c r="J1282" s="65" t="s">
        <v>279</v>
      </c>
      <c r="K1282" s="65"/>
      <c r="L1282" s="65">
        <v>1</v>
      </c>
      <c r="M1282" s="10">
        <f t="shared" si="173"/>
        <v>1290</v>
      </c>
      <c r="N1282" s="70">
        <f t="shared" si="174"/>
        <v>-0.18057455540355635</v>
      </c>
    </row>
    <row r="1283" spans="1:14" s="148" customFormat="1" ht="15" hidden="1" customHeight="1" x14ac:dyDescent="0.2">
      <c r="A1283" s="142" t="s">
        <v>490</v>
      </c>
      <c r="B1283" s="143" t="s">
        <v>36</v>
      </c>
      <c r="C1283" s="143">
        <v>1050</v>
      </c>
      <c r="D1283" s="144">
        <v>2000</v>
      </c>
      <c r="E1283" s="142">
        <f>2113.6</f>
        <v>2113.6</v>
      </c>
      <c r="F1283" s="142" t="s">
        <v>8</v>
      </c>
      <c r="G1283" s="145">
        <v>1</v>
      </c>
      <c r="H1283" s="142"/>
      <c r="I1283" s="142">
        <v>1.02</v>
      </c>
      <c r="J1283" s="142" t="s">
        <v>256</v>
      </c>
      <c r="K1283" s="142"/>
      <c r="L1283" s="142">
        <v>1</v>
      </c>
      <c r="M1283" s="142">
        <f t="shared" si="173"/>
        <v>1050</v>
      </c>
      <c r="N1283" s="147">
        <f t="shared" si="174"/>
        <v>-0.63641456582633005</v>
      </c>
    </row>
    <row r="1284" spans="1:14" s="96" customFormat="1" ht="15" hidden="1" customHeight="1" x14ac:dyDescent="0.2">
      <c r="A1284" s="90" t="s">
        <v>490</v>
      </c>
      <c r="B1284" s="91" t="s">
        <v>36</v>
      </c>
      <c r="C1284" s="91">
        <v>1200</v>
      </c>
      <c r="D1284" s="92">
        <v>2000</v>
      </c>
      <c r="E1284" s="90">
        <f>2102.5</f>
        <v>2102.5</v>
      </c>
      <c r="F1284" s="90" t="s">
        <v>8</v>
      </c>
      <c r="G1284" s="93">
        <v>1</v>
      </c>
      <c r="H1284" s="90"/>
      <c r="I1284" s="90">
        <v>1.02</v>
      </c>
      <c r="J1284" s="90" t="s">
        <v>256</v>
      </c>
      <c r="K1284" s="90"/>
      <c r="L1284" s="90">
        <v>1</v>
      </c>
      <c r="M1284" s="90">
        <f t="shared" si="173"/>
        <v>1200</v>
      </c>
      <c r="N1284" s="95">
        <f t="shared" si="174"/>
        <v>-0.50245098039215674</v>
      </c>
    </row>
    <row r="1285" spans="1:14" ht="15" hidden="1" customHeight="1" x14ac:dyDescent="0.2">
      <c r="L1285" s="10">
        <v>1</v>
      </c>
      <c r="M1285" s="10">
        <f t="shared" si="173"/>
        <v>0</v>
      </c>
    </row>
    <row r="1286" spans="1:14" ht="15" hidden="1" customHeight="1" x14ac:dyDescent="0.2">
      <c r="M1286" s="10">
        <f t="shared" si="173"/>
        <v>0</v>
      </c>
    </row>
    <row r="1287" spans="1:14" s="96" customFormat="1" ht="15" hidden="1" customHeight="1" x14ac:dyDescent="0.2">
      <c r="A1287" s="90" t="s">
        <v>375</v>
      </c>
      <c r="B1287" s="91" t="s">
        <v>36</v>
      </c>
      <c r="C1287" s="91">
        <v>220</v>
      </c>
      <c r="D1287" s="92">
        <v>200</v>
      </c>
      <c r="E1287" s="90">
        <f>210</f>
        <v>210</v>
      </c>
      <c r="F1287" s="90" t="s">
        <v>8</v>
      </c>
      <c r="G1287" s="93">
        <v>1</v>
      </c>
      <c r="H1287" s="90"/>
      <c r="I1287" s="90"/>
      <c r="J1287" s="90" t="s">
        <v>376</v>
      </c>
      <c r="K1287" s="90"/>
      <c r="L1287" s="90">
        <v>5</v>
      </c>
      <c r="M1287" s="90">
        <f t="shared" si="173"/>
        <v>1100</v>
      </c>
      <c r="N1287" s="95">
        <f t="shared" ref="N1287:N1289" si="175">(D1287-E1287)/(M1287*0.17)</f>
        <v>-5.3475935828877004E-2</v>
      </c>
    </row>
    <row r="1288" spans="1:14" ht="15" hidden="1" customHeight="1" x14ac:dyDescent="0.2">
      <c r="A1288" s="1" t="s">
        <v>491</v>
      </c>
      <c r="B1288" s="2" t="s">
        <v>37</v>
      </c>
      <c r="C1288" s="2">
        <v>220</v>
      </c>
      <c r="D1288" s="7">
        <v>200</v>
      </c>
      <c r="E1288" s="1">
        <f>180</f>
        <v>180</v>
      </c>
      <c r="J1288" s="16" t="s">
        <v>256</v>
      </c>
      <c r="L1288" s="10">
        <v>1</v>
      </c>
      <c r="M1288" s="10">
        <f t="shared" si="173"/>
        <v>220</v>
      </c>
      <c r="N1288" s="29">
        <f t="shared" si="175"/>
        <v>0.53475935828876997</v>
      </c>
    </row>
    <row r="1289" spans="1:14" s="71" customFormat="1" ht="15" hidden="1" customHeight="1" x14ac:dyDescent="0.2">
      <c r="A1289" s="65" t="s">
        <v>184</v>
      </c>
      <c r="B1289" s="66" t="s">
        <v>39</v>
      </c>
      <c r="C1289" s="66">
        <v>500</v>
      </c>
      <c r="D1289" s="67">
        <v>600</v>
      </c>
      <c r="E1289" s="65">
        <f>598</f>
        <v>598</v>
      </c>
      <c r="F1289" s="65" t="s">
        <v>8</v>
      </c>
      <c r="G1289" s="68">
        <v>1</v>
      </c>
      <c r="H1289" s="65"/>
      <c r="I1289" s="69">
        <v>43500</v>
      </c>
      <c r="J1289" s="65" t="s">
        <v>185</v>
      </c>
      <c r="K1289" s="65"/>
      <c r="L1289" s="65">
        <v>2</v>
      </c>
      <c r="M1289" s="65">
        <f t="shared" si="173"/>
        <v>1000</v>
      </c>
      <c r="N1289" s="70">
        <f t="shared" si="175"/>
        <v>1.1764705882352941E-2</v>
      </c>
    </row>
    <row r="1290" spans="1:14" ht="15" hidden="1" customHeight="1" x14ac:dyDescent="0.2">
      <c r="A1290" s="1" t="s">
        <v>184</v>
      </c>
      <c r="B1290" s="2" t="s">
        <v>38</v>
      </c>
      <c r="C1290" s="2">
        <v>600</v>
      </c>
      <c r="D1290" s="7">
        <v>1200</v>
      </c>
      <c r="I1290" s="8">
        <v>43500</v>
      </c>
      <c r="J1290" s="16" t="s">
        <v>185</v>
      </c>
    </row>
    <row r="1291" spans="1:14" s="148" customFormat="1" ht="15" hidden="1" customHeight="1" x14ac:dyDescent="0.2">
      <c r="A1291" s="142" t="s">
        <v>184</v>
      </c>
      <c r="B1291" s="143" t="s">
        <v>36</v>
      </c>
      <c r="C1291" s="143">
        <v>840</v>
      </c>
      <c r="D1291" s="144">
        <v>1000</v>
      </c>
      <c r="E1291" s="142">
        <f>1054.7</f>
        <v>1054.7</v>
      </c>
      <c r="F1291" s="142" t="s">
        <v>8</v>
      </c>
      <c r="G1291" s="145">
        <v>1</v>
      </c>
      <c r="H1291" s="142"/>
      <c r="I1291" s="146">
        <v>43500</v>
      </c>
      <c r="J1291" s="142" t="s">
        <v>185</v>
      </c>
      <c r="K1291" s="142"/>
      <c r="L1291" s="142">
        <v>1</v>
      </c>
      <c r="M1291" s="142">
        <f t="shared" ref="M1291" si="176">L1291*C1291</f>
        <v>840</v>
      </c>
      <c r="N1291" s="147">
        <f t="shared" ref="N1291" si="177">(D1291-E1291)/(M1291*0.17)</f>
        <v>-0.38305322128851571</v>
      </c>
    </row>
    <row r="1292" spans="1:14" ht="15" hidden="1" customHeight="1" x14ac:dyDescent="0.2">
      <c r="A1292" s="1" t="s">
        <v>491</v>
      </c>
      <c r="B1292" s="2" t="s">
        <v>37</v>
      </c>
      <c r="C1292" s="2">
        <v>155</v>
      </c>
      <c r="D1292" s="7">
        <v>100</v>
      </c>
      <c r="H1292" s="1" t="s">
        <v>492</v>
      </c>
      <c r="I1292" s="8">
        <v>43500</v>
      </c>
      <c r="J1292" s="16" t="s">
        <v>256</v>
      </c>
    </row>
    <row r="1293" spans="1:14" ht="15" hidden="1" customHeight="1" x14ac:dyDescent="0.2">
      <c r="A1293" s="1" t="s">
        <v>491</v>
      </c>
      <c r="B1293" s="2" t="s">
        <v>37</v>
      </c>
      <c r="C1293" s="2">
        <v>160</v>
      </c>
      <c r="D1293" s="7">
        <v>100</v>
      </c>
      <c r="H1293" s="1" t="s">
        <v>492</v>
      </c>
      <c r="I1293" s="8">
        <v>43500</v>
      </c>
      <c r="J1293" s="16" t="s">
        <v>256</v>
      </c>
    </row>
    <row r="1294" spans="1:14" ht="15" hidden="1" customHeight="1" x14ac:dyDescent="0.2">
      <c r="A1294" s="1" t="s">
        <v>491</v>
      </c>
      <c r="B1294" s="2" t="s">
        <v>37</v>
      </c>
      <c r="C1294" s="2">
        <v>165</v>
      </c>
      <c r="D1294" s="7">
        <v>100</v>
      </c>
      <c r="H1294" s="1" t="s">
        <v>492</v>
      </c>
      <c r="I1294" s="8">
        <v>43500</v>
      </c>
      <c r="J1294" s="16" t="s">
        <v>256</v>
      </c>
    </row>
    <row r="1295" spans="1:14" ht="15" hidden="1" customHeight="1" x14ac:dyDescent="0.2">
      <c r="A1295" s="1" t="s">
        <v>491</v>
      </c>
      <c r="B1295" s="2" t="s">
        <v>37</v>
      </c>
      <c r="C1295" s="2">
        <v>185</v>
      </c>
      <c r="D1295" s="7">
        <v>50</v>
      </c>
      <c r="H1295" s="1" t="s">
        <v>492</v>
      </c>
      <c r="I1295" s="8">
        <v>43500</v>
      </c>
      <c r="J1295" s="16" t="s">
        <v>256</v>
      </c>
    </row>
    <row r="1296" spans="1:14" ht="15" hidden="1" customHeight="1" x14ac:dyDescent="0.2">
      <c r="A1296" s="1" t="s">
        <v>491</v>
      </c>
      <c r="B1296" s="2" t="s">
        <v>37</v>
      </c>
      <c r="C1296" s="2">
        <v>195</v>
      </c>
      <c r="D1296" s="7">
        <v>100</v>
      </c>
      <c r="H1296" s="1" t="s">
        <v>492</v>
      </c>
      <c r="I1296" s="8">
        <v>43500</v>
      </c>
      <c r="J1296" s="16" t="s">
        <v>256</v>
      </c>
    </row>
    <row r="1297" spans="1:14" ht="15" hidden="1" customHeight="1" x14ac:dyDescent="0.2">
      <c r="A1297" s="1" t="s">
        <v>491</v>
      </c>
      <c r="B1297" s="2" t="s">
        <v>37</v>
      </c>
      <c r="C1297" s="2">
        <v>205</v>
      </c>
      <c r="D1297" s="7">
        <v>100</v>
      </c>
      <c r="H1297" s="1" t="s">
        <v>492</v>
      </c>
      <c r="I1297" s="8">
        <v>43500</v>
      </c>
      <c r="J1297" s="16" t="s">
        <v>256</v>
      </c>
    </row>
    <row r="1298" spans="1:14" ht="15" hidden="1" customHeight="1" x14ac:dyDescent="0.2">
      <c r="A1298" s="1" t="s">
        <v>491</v>
      </c>
      <c r="B1298" s="2" t="s">
        <v>37</v>
      </c>
      <c r="C1298" s="2">
        <v>215</v>
      </c>
      <c r="D1298" s="7">
        <v>50</v>
      </c>
      <c r="H1298" s="1" t="s">
        <v>492</v>
      </c>
      <c r="I1298" s="8">
        <v>43500</v>
      </c>
      <c r="J1298" s="16" t="s">
        <v>256</v>
      </c>
    </row>
    <row r="1299" spans="1:14" ht="15" hidden="1" customHeight="1" x14ac:dyDescent="0.2">
      <c r="A1299" s="1" t="s">
        <v>491</v>
      </c>
      <c r="B1299" s="2" t="s">
        <v>37</v>
      </c>
      <c r="C1299" s="2">
        <v>230</v>
      </c>
      <c r="D1299" s="7">
        <v>50</v>
      </c>
      <c r="H1299" s="1" t="s">
        <v>492</v>
      </c>
      <c r="I1299" s="8">
        <v>43500</v>
      </c>
      <c r="J1299" s="16" t="s">
        <v>256</v>
      </c>
    </row>
    <row r="1300" spans="1:14" ht="15" hidden="1" customHeight="1" x14ac:dyDescent="0.2">
      <c r="A1300" s="1" t="s">
        <v>491</v>
      </c>
      <c r="B1300" s="2" t="s">
        <v>37</v>
      </c>
      <c r="C1300" s="2">
        <v>270</v>
      </c>
      <c r="D1300" s="7">
        <v>50</v>
      </c>
      <c r="H1300" s="1" t="s">
        <v>492</v>
      </c>
      <c r="I1300" s="8">
        <v>43500</v>
      </c>
      <c r="J1300" s="16" t="s">
        <v>256</v>
      </c>
    </row>
    <row r="1301" spans="1:14" ht="15" hidden="1" customHeight="1" x14ac:dyDescent="0.2">
      <c r="A1301" s="1" t="s">
        <v>491</v>
      </c>
      <c r="B1301" s="2" t="s">
        <v>37</v>
      </c>
      <c r="C1301" s="2">
        <v>280</v>
      </c>
      <c r="D1301" s="7">
        <v>50</v>
      </c>
      <c r="H1301" s="1" t="s">
        <v>492</v>
      </c>
      <c r="I1301" s="8">
        <v>43500</v>
      </c>
      <c r="J1301" s="16" t="s">
        <v>256</v>
      </c>
    </row>
    <row r="1302" spans="1:14" ht="15" customHeight="1" x14ac:dyDescent="0.2">
      <c r="A1302" s="1" t="s">
        <v>363</v>
      </c>
      <c r="B1302" s="2" t="s">
        <v>39</v>
      </c>
      <c r="C1302" s="2">
        <v>630</v>
      </c>
      <c r="D1302" s="7">
        <v>700</v>
      </c>
      <c r="I1302" s="8">
        <v>43500</v>
      </c>
      <c r="J1302" s="16" t="s">
        <v>137</v>
      </c>
      <c r="L1302" s="3">
        <v>1</v>
      </c>
      <c r="M1302" s="10">
        <f t="shared" ref="M1302:M1306" si="178">L1302*C1302</f>
        <v>630</v>
      </c>
      <c r="N1302" s="29">
        <f t="shared" ref="N1302:N1306" si="179">(D1302-E1302)/(M1302*0.17)</f>
        <v>6.5359477124183005</v>
      </c>
    </row>
    <row r="1303" spans="1:14" s="71" customFormat="1" ht="15" hidden="1" customHeight="1" x14ac:dyDescent="0.2">
      <c r="A1303" s="65" t="s">
        <v>363</v>
      </c>
      <c r="B1303" s="66" t="s">
        <v>39</v>
      </c>
      <c r="C1303" s="66">
        <v>900</v>
      </c>
      <c r="D1303" s="67">
        <v>7500</v>
      </c>
      <c r="E1303" s="65">
        <f>1649.2+194.4+3105.1+2669</f>
        <v>7617.7</v>
      </c>
      <c r="F1303" s="65" t="s">
        <v>8</v>
      </c>
      <c r="G1303" s="68">
        <v>1</v>
      </c>
      <c r="H1303" s="65"/>
      <c r="I1303" s="69">
        <v>43500</v>
      </c>
      <c r="J1303" s="65" t="s">
        <v>137</v>
      </c>
      <c r="K1303" s="65"/>
      <c r="L1303" s="65">
        <v>1</v>
      </c>
      <c r="M1303" s="65">
        <f t="shared" si="178"/>
        <v>900</v>
      </c>
      <c r="N1303" s="70">
        <f t="shared" si="179"/>
        <v>-0.76928104575163281</v>
      </c>
    </row>
    <row r="1304" spans="1:14" s="71" customFormat="1" ht="15" hidden="1" customHeight="1" x14ac:dyDescent="0.2">
      <c r="A1304" s="65" t="s">
        <v>363</v>
      </c>
      <c r="B1304" s="66" t="s">
        <v>39</v>
      </c>
      <c r="C1304" s="66">
        <v>1000</v>
      </c>
      <c r="D1304" s="67">
        <v>3500</v>
      </c>
      <c r="E1304" s="98">
        <f>1303.5+2243.8</f>
        <v>3547.3</v>
      </c>
      <c r="F1304" s="65" t="s">
        <v>8</v>
      </c>
      <c r="G1304" s="68">
        <v>1</v>
      </c>
      <c r="H1304" s="65"/>
      <c r="I1304" s="69">
        <v>43500</v>
      </c>
      <c r="J1304" s="65" t="s">
        <v>137</v>
      </c>
      <c r="K1304" s="65"/>
      <c r="L1304" s="65">
        <v>1</v>
      </c>
      <c r="M1304" s="65">
        <f t="shared" si="178"/>
        <v>1000</v>
      </c>
      <c r="N1304" s="70">
        <f t="shared" si="179"/>
        <v>-0.27823529411764814</v>
      </c>
    </row>
    <row r="1305" spans="1:14" ht="15" customHeight="1" x14ac:dyDescent="0.2">
      <c r="A1305" s="1" t="s">
        <v>363</v>
      </c>
      <c r="B1305" s="2" t="s">
        <v>39</v>
      </c>
      <c r="C1305" s="2">
        <v>1060</v>
      </c>
      <c r="D1305" s="7">
        <v>1000</v>
      </c>
      <c r="I1305" s="8">
        <v>43500</v>
      </c>
      <c r="J1305" s="16" t="s">
        <v>137</v>
      </c>
      <c r="L1305" s="3">
        <v>1</v>
      </c>
      <c r="M1305" s="10">
        <f t="shared" si="178"/>
        <v>1060</v>
      </c>
      <c r="N1305" s="29">
        <f t="shared" si="179"/>
        <v>5.549389567147613</v>
      </c>
    </row>
    <row r="1306" spans="1:14" ht="15" customHeight="1" x14ac:dyDescent="0.2">
      <c r="A1306" s="1" t="s">
        <v>363</v>
      </c>
      <c r="B1306" s="2" t="s">
        <v>39</v>
      </c>
      <c r="C1306" s="2">
        <v>1140</v>
      </c>
      <c r="D1306" s="7">
        <v>1000</v>
      </c>
      <c r="I1306" s="8">
        <v>43500</v>
      </c>
      <c r="J1306" s="16" t="s">
        <v>137</v>
      </c>
      <c r="L1306" s="3">
        <v>1</v>
      </c>
      <c r="M1306" s="10">
        <f t="shared" si="178"/>
        <v>1140</v>
      </c>
      <c r="N1306" s="29">
        <f t="shared" si="179"/>
        <v>5.1599587203302368</v>
      </c>
    </row>
    <row r="1307" spans="1:14" ht="15" hidden="1" customHeight="1" x14ac:dyDescent="0.2">
      <c r="A1307" s="1" t="s">
        <v>363</v>
      </c>
      <c r="B1307" s="2" t="s">
        <v>37</v>
      </c>
      <c r="C1307" s="2">
        <v>700</v>
      </c>
      <c r="D1307" s="7">
        <v>500</v>
      </c>
      <c r="I1307" s="8">
        <v>43500</v>
      </c>
      <c r="J1307" s="16" t="s">
        <v>137</v>
      </c>
    </row>
    <row r="1308" spans="1:14" ht="15" hidden="1" customHeight="1" x14ac:dyDescent="0.2">
      <c r="A1308" s="1" t="s">
        <v>363</v>
      </c>
      <c r="B1308" s="2" t="s">
        <v>37</v>
      </c>
      <c r="C1308" s="2">
        <v>740</v>
      </c>
      <c r="D1308" s="7">
        <v>500</v>
      </c>
      <c r="I1308" s="8">
        <v>43500</v>
      </c>
      <c r="J1308" s="16" t="s">
        <v>137</v>
      </c>
    </row>
    <row r="1309" spans="1:14" ht="15" hidden="1" customHeight="1" x14ac:dyDescent="0.2">
      <c r="A1309" s="1" t="s">
        <v>363</v>
      </c>
      <c r="B1309" s="2" t="s">
        <v>37</v>
      </c>
      <c r="C1309" s="2">
        <v>820</v>
      </c>
      <c r="D1309" s="7">
        <v>500</v>
      </c>
      <c r="I1309" s="8">
        <v>43500</v>
      </c>
      <c r="J1309" s="16" t="s">
        <v>137</v>
      </c>
    </row>
    <row r="1310" spans="1:14" ht="15" hidden="1" customHeight="1" x14ac:dyDescent="0.2">
      <c r="A1310" s="1" t="s">
        <v>363</v>
      </c>
      <c r="B1310" s="2" t="s">
        <v>37</v>
      </c>
      <c r="C1310" s="2">
        <v>930</v>
      </c>
      <c r="D1310" s="7">
        <v>500</v>
      </c>
      <c r="I1310" s="8">
        <v>43500</v>
      </c>
      <c r="J1310" s="16" t="s">
        <v>137</v>
      </c>
    </row>
    <row r="1311" spans="1:14" ht="15" hidden="1" customHeight="1" x14ac:dyDescent="0.2">
      <c r="A1311" s="1" t="s">
        <v>363</v>
      </c>
      <c r="B1311" s="2" t="s">
        <v>37</v>
      </c>
      <c r="C1311" s="2">
        <v>1180</v>
      </c>
      <c r="D1311" s="7">
        <v>500</v>
      </c>
      <c r="I1311" s="8">
        <v>43500</v>
      </c>
      <c r="J1311" s="16" t="s">
        <v>137</v>
      </c>
    </row>
    <row r="1312" spans="1:14" ht="15" hidden="1" customHeight="1" x14ac:dyDescent="0.2">
      <c r="A1312" s="1" t="s">
        <v>363</v>
      </c>
      <c r="B1312" s="2" t="s">
        <v>37</v>
      </c>
      <c r="C1312" s="2">
        <v>1320</v>
      </c>
      <c r="D1312" s="7">
        <v>1000</v>
      </c>
      <c r="E1312" s="1" t="s">
        <v>316</v>
      </c>
      <c r="F1312" s="1" t="s">
        <v>316</v>
      </c>
      <c r="I1312" s="8">
        <v>43500</v>
      </c>
      <c r="J1312" s="16" t="s">
        <v>137</v>
      </c>
    </row>
    <row r="1313" spans="1:14" ht="15" hidden="1" customHeight="1" x14ac:dyDescent="0.2">
      <c r="A1313" s="1" t="s">
        <v>493</v>
      </c>
      <c r="B1313" s="2" t="s">
        <v>37</v>
      </c>
      <c r="C1313" s="2">
        <v>320</v>
      </c>
      <c r="D1313" s="7">
        <v>4000</v>
      </c>
      <c r="I1313" s="8">
        <v>43500</v>
      </c>
      <c r="J1313" s="16" t="s">
        <v>51</v>
      </c>
    </row>
    <row r="1314" spans="1:14" ht="15" hidden="1" customHeight="1" x14ac:dyDescent="0.2">
      <c r="A1314" s="1" t="s">
        <v>493</v>
      </c>
      <c r="B1314" s="2" t="s">
        <v>37</v>
      </c>
      <c r="C1314" s="2">
        <v>310</v>
      </c>
      <c r="D1314" s="7">
        <v>300</v>
      </c>
      <c r="I1314" s="8">
        <v>43500</v>
      </c>
      <c r="J1314" s="16" t="s">
        <v>51</v>
      </c>
    </row>
    <row r="1315" spans="1:14" ht="15" hidden="1" customHeight="1" x14ac:dyDescent="0.2">
      <c r="A1315" s="1" t="s">
        <v>493</v>
      </c>
      <c r="B1315" s="2" t="s">
        <v>37</v>
      </c>
      <c r="C1315" s="2">
        <v>300</v>
      </c>
      <c r="D1315" s="7">
        <v>2000</v>
      </c>
      <c r="I1315" s="8">
        <v>43500</v>
      </c>
      <c r="J1315" s="16" t="s">
        <v>51</v>
      </c>
    </row>
    <row r="1316" spans="1:14" ht="15" hidden="1" customHeight="1" x14ac:dyDescent="0.2">
      <c r="A1316" s="1" t="s">
        <v>494</v>
      </c>
      <c r="B1316" s="2" t="s">
        <v>37</v>
      </c>
      <c r="C1316" s="2">
        <v>430</v>
      </c>
      <c r="D1316" s="7">
        <v>130</v>
      </c>
      <c r="H1316" s="1" t="s">
        <v>492</v>
      </c>
      <c r="I1316" s="8">
        <v>43500</v>
      </c>
      <c r="J1316" s="16" t="s">
        <v>12</v>
      </c>
    </row>
    <row r="1317" spans="1:14" ht="15" hidden="1" customHeight="1" x14ac:dyDescent="0.2">
      <c r="A1317" s="1" t="s">
        <v>494</v>
      </c>
      <c r="B1317" s="2" t="s">
        <v>37</v>
      </c>
      <c r="C1317" s="2">
        <v>470</v>
      </c>
      <c r="D1317" s="7">
        <v>700</v>
      </c>
      <c r="H1317" s="1" t="s">
        <v>492</v>
      </c>
      <c r="I1317" s="8">
        <v>43500</v>
      </c>
      <c r="J1317" s="16" t="s">
        <v>12</v>
      </c>
    </row>
    <row r="1318" spans="1:14" ht="15" hidden="1" customHeight="1" x14ac:dyDescent="0.2">
      <c r="A1318" s="1" t="s">
        <v>495</v>
      </c>
      <c r="B1318" s="2" t="s">
        <v>37</v>
      </c>
      <c r="C1318" s="2">
        <v>395</v>
      </c>
      <c r="D1318" s="7">
        <v>4000</v>
      </c>
      <c r="H1318" s="1" t="s">
        <v>496</v>
      </c>
      <c r="I1318" s="8">
        <v>43500</v>
      </c>
      <c r="J1318" s="16" t="s">
        <v>340</v>
      </c>
    </row>
    <row r="1319" spans="1:14" ht="15" hidden="1" customHeight="1" x14ac:dyDescent="0.2">
      <c r="A1319" s="1" t="s">
        <v>495</v>
      </c>
      <c r="B1319" s="2" t="s">
        <v>37</v>
      </c>
      <c r="C1319" s="2">
        <v>840</v>
      </c>
      <c r="D1319" s="7">
        <v>750</v>
      </c>
      <c r="H1319" s="1" t="s">
        <v>306</v>
      </c>
      <c r="I1319" s="8">
        <v>43500</v>
      </c>
      <c r="J1319" s="16" t="s">
        <v>340</v>
      </c>
    </row>
    <row r="1320" spans="1:14" ht="15" hidden="1" customHeight="1" x14ac:dyDescent="0.2">
      <c r="A1320" s="1" t="s">
        <v>495</v>
      </c>
      <c r="B1320" s="2" t="s">
        <v>37</v>
      </c>
      <c r="C1320" s="2">
        <v>680</v>
      </c>
      <c r="D1320" s="7">
        <v>1300</v>
      </c>
      <c r="H1320" s="1" t="s">
        <v>306</v>
      </c>
      <c r="I1320" s="8">
        <v>43500</v>
      </c>
      <c r="J1320" s="16" t="s">
        <v>340</v>
      </c>
    </row>
    <row r="1321" spans="1:14" ht="15" hidden="1" customHeight="1" x14ac:dyDescent="0.2">
      <c r="A1321" s="1" t="s">
        <v>495</v>
      </c>
      <c r="B1321" s="2" t="s">
        <v>37</v>
      </c>
      <c r="C1321" s="2">
        <v>700</v>
      </c>
      <c r="D1321" s="7">
        <v>650</v>
      </c>
      <c r="H1321" s="1" t="s">
        <v>306</v>
      </c>
      <c r="I1321" s="8">
        <v>43500</v>
      </c>
      <c r="J1321" s="16" t="s">
        <v>340</v>
      </c>
    </row>
    <row r="1322" spans="1:14" ht="15" hidden="1" customHeight="1" x14ac:dyDescent="0.2">
      <c r="A1322" s="1" t="s">
        <v>495</v>
      </c>
      <c r="B1322" s="2" t="s">
        <v>37</v>
      </c>
      <c r="C1322" s="2">
        <v>760</v>
      </c>
      <c r="D1322" s="7">
        <f>1300-600</f>
        <v>700</v>
      </c>
      <c r="H1322" s="1" t="s">
        <v>306</v>
      </c>
      <c r="I1322" s="8">
        <v>43500</v>
      </c>
      <c r="J1322" s="16" t="s">
        <v>340</v>
      </c>
    </row>
    <row r="1323" spans="1:14" ht="15" hidden="1" customHeight="1" x14ac:dyDescent="0.2">
      <c r="A1323" s="1" t="s">
        <v>495</v>
      </c>
      <c r="B1323" s="2" t="s">
        <v>38</v>
      </c>
      <c r="C1323" s="2">
        <v>1185</v>
      </c>
      <c r="D1323" s="7">
        <v>2000</v>
      </c>
      <c r="H1323" s="1" t="s">
        <v>306</v>
      </c>
      <c r="I1323" s="8">
        <v>43500</v>
      </c>
      <c r="J1323" s="16" t="s">
        <v>497</v>
      </c>
    </row>
    <row r="1324" spans="1:14" ht="15" hidden="1" customHeight="1" x14ac:dyDescent="0.2">
      <c r="A1324" s="1" t="s">
        <v>495</v>
      </c>
      <c r="B1324" s="2" t="s">
        <v>38</v>
      </c>
      <c r="C1324" s="2">
        <v>960</v>
      </c>
      <c r="D1324" s="7">
        <v>850</v>
      </c>
      <c r="H1324" s="1" t="s">
        <v>306</v>
      </c>
      <c r="I1324" s="8">
        <v>43500</v>
      </c>
      <c r="J1324" s="16" t="s">
        <v>497</v>
      </c>
    </row>
    <row r="1325" spans="1:14" ht="15" hidden="1" customHeight="1" x14ac:dyDescent="0.2">
      <c r="A1325" s="1" t="s">
        <v>495</v>
      </c>
      <c r="B1325" s="2" t="s">
        <v>38</v>
      </c>
      <c r="C1325" s="2">
        <v>1160</v>
      </c>
      <c r="D1325" s="7">
        <v>1000</v>
      </c>
      <c r="H1325" s="1" t="s">
        <v>306</v>
      </c>
      <c r="I1325" s="8">
        <v>43500</v>
      </c>
      <c r="J1325" s="16" t="s">
        <v>497</v>
      </c>
    </row>
    <row r="1326" spans="1:14" ht="15" hidden="1" customHeight="1" x14ac:dyDescent="0.2">
      <c r="A1326" s="1" t="s">
        <v>498</v>
      </c>
      <c r="B1326" s="2" t="s">
        <v>40</v>
      </c>
      <c r="C1326" s="2">
        <v>1245</v>
      </c>
      <c r="D1326" s="7">
        <v>600</v>
      </c>
      <c r="I1326" s="8">
        <v>43500</v>
      </c>
      <c r="J1326" s="16" t="s">
        <v>13</v>
      </c>
    </row>
    <row r="1327" spans="1:14" s="104" customFormat="1" ht="15" customHeight="1" x14ac:dyDescent="0.2">
      <c r="A1327" s="98" t="s">
        <v>498</v>
      </c>
      <c r="B1327" s="99" t="s">
        <v>39</v>
      </c>
      <c r="C1327" s="99">
        <v>800</v>
      </c>
      <c r="D1327" s="100">
        <v>1000</v>
      </c>
      <c r="E1327" s="98"/>
      <c r="F1327" s="98" t="s">
        <v>8</v>
      </c>
      <c r="G1327" s="101" t="s">
        <v>146</v>
      </c>
      <c r="H1327" s="98"/>
      <c r="I1327" s="102">
        <v>43500</v>
      </c>
      <c r="J1327" s="98" t="s">
        <v>13</v>
      </c>
      <c r="K1327" s="98"/>
      <c r="L1327" s="98">
        <v>1</v>
      </c>
      <c r="M1327" s="98">
        <f t="shared" ref="M1327:M1333" si="180">L1327*C1327</f>
        <v>800</v>
      </c>
      <c r="N1327" s="103">
        <f t="shared" ref="N1327:N1333" si="181">(D1327-E1327)/(M1327*0.17)</f>
        <v>7.3529411764705879</v>
      </c>
    </row>
    <row r="1328" spans="1:14" s="104" customFormat="1" ht="15" customHeight="1" x14ac:dyDescent="0.2">
      <c r="A1328" s="98" t="s">
        <v>498</v>
      </c>
      <c r="B1328" s="99" t="s">
        <v>39</v>
      </c>
      <c r="C1328" s="99">
        <v>920</v>
      </c>
      <c r="D1328" s="100">
        <v>1000</v>
      </c>
      <c r="E1328" s="98"/>
      <c r="F1328" s="98" t="s">
        <v>8</v>
      </c>
      <c r="G1328" s="101" t="s">
        <v>146</v>
      </c>
      <c r="H1328" s="98"/>
      <c r="I1328" s="102">
        <v>43500</v>
      </c>
      <c r="J1328" s="98" t="s">
        <v>13</v>
      </c>
      <c r="K1328" s="98"/>
      <c r="L1328" s="98">
        <v>1</v>
      </c>
      <c r="M1328" s="98">
        <f t="shared" si="180"/>
        <v>920</v>
      </c>
      <c r="N1328" s="103">
        <f t="shared" si="181"/>
        <v>6.3938618925831197</v>
      </c>
    </row>
    <row r="1329" spans="1:14" s="158" customFormat="1" ht="15" customHeight="1" x14ac:dyDescent="0.2">
      <c r="A1329" s="152" t="s">
        <v>498</v>
      </c>
      <c r="B1329" s="153" t="s">
        <v>39</v>
      </c>
      <c r="C1329" s="153">
        <v>720</v>
      </c>
      <c r="D1329" s="154">
        <v>500</v>
      </c>
      <c r="E1329" s="152"/>
      <c r="F1329" s="152" t="s">
        <v>8</v>
      </c>
      <c r="G1329" s="155" t="s">
        <v>146</v>
      </c>
      <c r="H1329" s="152"/>
      <c r="I1329" s="156">
        <v>43500</v>
      </c>
      <c r="J1329" s="152" t="s">
        <v>13</v>
      </c>
      <c r="K1329" s="152"/>
      <c r="L1329" s="152">
        <v>1</v>
      </c>
      <c r="M1329" s="152">
        <f t="shared" si="180"/>
        <v>720</v>
      </c>
      <c r="N1329" s="157">
        <f t="shared" si="181"/>
        <v>4.0849673202614376</v>
      </c>
    </row>
    <row r="1330" spans="1:14" s="158" customFormat="1" ht="15" customHeight="1" x14ac:dyDescent="0.2">
      <c r="A1330" s="152" t="s">
        <v>498</v>
      </c>
      <c r="B1330" s="153" t="s">
        <v>39</v>
      </c>
      <c r="C1330" s="153">
        <v>780</v>
      </c>
      <c r="D1330" s="154">
        <v>500</v>
      </c>
      <c r="E1330" s="152"/>
      <c r="F1330" s="152" t="s">
        <v>8</v>
      </c>
      <c r="G1330" s="155" t="s">
        <v>146</v>
      </c>
      <c r="H1330" s="152"/>
      <c r="I1330" s="156">
        <v>43500</v>
      </c>
      <c r="J1330" s="152" t="s">
        <v>13</v>
      </c>
      <c r="K1330" s="152"/>
      <c r="L1330" s="152">
        <v>1</v>
      </c>
      <c r="M1330" s="152">
        <f t="shared" si="180"/>
        <v>780</v>
      </c>
      <c r="N1330" s="157">
        <f t="shared" si="181"/>
        <v>3.7707390648567114</v>
      </c>
    </row>
    <row r="1331" spans="1:14" s="104" customFormat="1" ht="15" customHeight="1" x14ac:dyDescent="0.2">
      <c r="A1331" s="98" t="s">
        <v>498</v>
      </c>
      <c r="B1331" s="99" t="s">
        <v>39</v>
      </c>
      <c r="C1331" s="99">
        <v>980</v>
      </c>
      <c r="D1331" s="100">
        <v>500</v>
      </c>
      <c r="E1331" s="98"/>
      <c r="F1331" s="98" t="s">
        <v>8</v>
      </c>
      <c r="G1331" s="101" t="s">
        <v>146</v>
      </c>
      <c r="H1331" s="98"/>
      <c r="I1331" s="102">
        <v>43500</v>
      </c>
      <c r="J1331" s="98" t="s">
        <v>13</v>
      </c>
      <c r="K1331" s="98"/>
      <c r="L1331" s="98">
        <v>1</v>
      </c>
      <c r="M1331" s="98">
        <f t="shared" si="180"/>
        <v>980</v>
      </c>
      <c r="N1331" s="103">
        <f t="shared" si="181"/>
        <v>3.0012004801920766</v>
      </c>
    </row>
    <row r="1332" spans="1:14" s="158" customFormat="1" x14ac:dyDescent="0.2">
      <c r="A1332" s="152" t="s">
        <v>498</v>
      </c>
      <c r="B1332" s="153" t="s">
        <v>39</v>
      </c>
      <c r="C1332" s="153">
        <v>1020</v>
      </c>
      <c r="D1332" s="154">
        <v>600</v>
      </c>
      <c r="E1332" s="152"/>
      <c r="F1332" s="152" t="s">
        <v>8</v>
      </c>
      <c r="G1332" s="155" t="s">
        <v>146</v>
      </c>
      <c r="H1332" s="152"/>
      <c r="I1332" s="156">
        <v>43500</v>
      </c>
      <c r="J1332" s="152" t="s">
        <v>13</v>
      </c>
      <c r="K1332" s="152"/>
      <c r="L1332" s="152">
        <v>1</v>
      </c>
      <c r="M1332" s="152">
        <f t="shared" si="180"/>
        <v>1020</v>
      </c>
      <c r="N1332" s="157">
        <f t="shared" si="181"/>
        <v>3.4602076124567471</v>
      </c>
    </row>
    <row r="1333" spans="1:14" s="158" customFormat="1" ht="15" customHeight="1" x14ac:dyDescent="0.2">
      <c r="A1333" s="152" t="s">
        <v>498</v>
      </c>
      <c r="B1333" s="153" t="s">
        <v>39</v>
      </c>
      <c r="C1333" s="153">
        <v>1065</v>
      </c>
      <c r="D1333" s="154">
        <v>500</v>
      </c>
      <c r="E1333" s="152"/>
      <c r="F1333" s="152" t="s">
        <v>8</v>
      </c>
      <c r="G1333" s="155" t="s">
        <v>146</v>
      </c>
      <c r="H1333" s="152"/>
      <c r="I1333" s="156">
        <v>43500</v>
      </c>
      <c r="J1333" s="152" t="s">
        <v>13</v>
      </c>
      <c r="K1333" s="152"/>
      <c r="L1333" s="152">
        <v>1</v>
      </c>
      <c r="M1333" s="152">
        <f t="shared" si="180"/>
        <v>1065</v>
      </c>
      <c r="N1333" s="157">
        <f t="shared" si="181"/>
        <v>2.7616680475006903</v>
      </c>
    </row>
    <row r="1334" spans="1:14" ht="15" hidden="1" customHeight="1" x14ac:dyDescent="0.2">
      <c r="A1334" s="1" t="s">
        <v>498</v>
      </c>
      <c r="B1334" s="2" t="s">
        <v>37</v>
      </c>
      <c r="C1334" s="2">
        <v>980</v>
      </c>
      <c r="D1334" s="7">
        <v>1000</v>
      </c>
      <c r="I1334" s="8">
        <v>43500</v>
      </c>
      <c r="J1334" s="16" t="s">
        <v>13</v>
      </c>
    </row>
    <row r="1335" spans="1:14" ht="15" hidden="1" customHeight="1" x14ac:dyDescent="0.2">
      <c r="A1335" s="1" t="s">
        <v>498</v>
      </c>
      <c r="B1335" s="2" t="s">
        <v>37</v>
      </c>
      <c r="C1335" s="2">
        <v>760</v>
      </c>
      <c r="D1335" s="7">
        <v>1000</v>
      </c>
      <c r="I1335" s="8">
        <v>43500</v>
      </c>
      <c r="J1335" s="16" t="s">
        <v>13</v>
      </c>
    </row>
    <row r="1336" spans="1:14" ht="15" hidden="1" customHeight="1" x14ac:dyDescent="0.2">
      <c r="A1336" s="1" t="s">
        <v>498</v>
      </c>
      <c r="B1336" s="2" t="s">
        <v>37</v>
      </c>
      <c r="C1336" s="2">
        <v>1120</v>
      </c>
      <c r="D1336" s="7">
        <v>1000</v>
      </c>
      <c r="I1336" s="8">
        <v>43500</v>
      </c>
      <c r="J1336" s="16" t="s">
        <v>13</v>
      </c>
    </row>
    <row r="1337" spans="1:14" ht="15" hidden="1" customHeight="1" x14ac:dyDescent="0.2">
      <c r="A1337" s="1" t="s">
        <v>498</v>
      </c>
      <c r="B1337" s="2" t="s">
        <v>37</v>
      </c>
      <c r="C1337" s="2">
        <v>1130</v>
      </c>
      <c r="D1337" s="7">
        <v>600</v>
      </c>
      <c r="I1337" s="8">
        <v>43500</v>
      </c>
      <c r="J1337" s="16" t="s">
        <v>13</v>
      </c>
    </row>
    <row r="1338" spans="1:14" ht="15" hidden="1" customHeight="1" x14ac:dyDescent="0.2">
      <c r="A1338" s="1" t="s">
        <v>498</v>
      </c>
      <c r="B1338" s="2" t="s">
        <v>37</v>
      </c>
      <c r="C1338" s="2">
        <v>1160</v>
      </c>
      <c r="D1338" s="7">
        <v>1000</v>
      </c>
      <c r="I1338" s="8">
        <v>43500</v>
      </c>
      <c r="J1338" s="16" t="s">
        <v>13</v>
      </c>
    </row>
    <row r="1339" spans="1:14" ht="15" hidden="1" customHeight="1" x14ac:dyDescent="0.2">
      <c r="A1339" s="1" t="s">
        <v>498</v>
      </c>
      <c r="B1339" s="2" t="s">
        <v>37</v>
      </c>
      <c r="C1339" s="2">
        <v>1180</v>
      </c>
      <c r="D1339" s="7">
        <v>500</v>
      </c>
      <c r="I1339" s="8">
        <v>43500</v>
      </c>
      <c r="J1339" s="16" t="s">
        <v>13</v>
      </c>
    </row>
    <row r="1340" spans="1:14" ht="15" hidden="1" customHeight="1" x14ac:dyDescent="0.2">
      <c r="A1340" s="1" t="s">
        <v>498</v>
      </c>
      <c r="B1340" s="2" t="s">
        <v>37</v>
      </c>
      <c r="C1340" s="2">
        <v>1280</v>
      </c>
      <c r="D1340" s="7">
        <v>1000</v>
      </c>
      <c r="I1340" s="8">
        <v>43500</v>
      </c>
      <c r="J1340" s="16" t="s">
        <v>13</v>
      </c>
    </row>
    <row r="1341" spans="1:14" s="158" customFormat="1" ht="15" customHeight="1" x14ac:dyDescent="0.2">
      <c r="A1341" s="152" t="s">
        <v>499</v>
      </c>
      <c r="B1341" s="153" t="s">
        <v>39</v>
      </c>
      <c r="C1341" s="153">
        <v>640</v>
      </c>
      <c r="D1341" s="154">
        <v>2800</v>
      </c>
      <c r="E1341" s="152"/>
      <c r="F1341" s="152" t="s">
        <v>8</v>
      </c>
      <c r="G1341" s="155" t="s">
        <v>146</v>
      </c>
      <c r="H1341" s="152"/>
      <c r="I1341" s="156">
        <v>43500</v>
      </c>
      <c r="J1341" s="152" t="s">
        <v>13</v>
      </c>
      <c r="K1341" s="152"/>
      <c r="L1341" s="152">
        <v>1</v>
      </c>
      <c r="M1341" s="152">
        <f t="shared" ref="M1341:M1352" si="182">L1341*C1341</f>
        <v>640</v>
      </c>
      <c r="N1341" s="157">
        <f t="shared" ref="N1341:N1386" si="183">(D1341-E1341)/(M1341*0.17)</f>
        <v>25.735294117647054</v>
      </c>
    </row>
    <row r="1342" spans="1:14" s="158" customFormat="1" ht="15" customHeight="1" x14ac:dyDescent="0.2">
      <c r="A1342" s="152" t="s">
        <v>499</v>
      </c>
      <c r="B1342" s="153" t="s">
        <v>39</v>
      </c>
      <c r="C1342" s="153">
        <v>680</v>
      </c>
      <c r="D1342" s="154">
        <v>500</v>
      </c>
      <c r="E1342" s="152"/>
      <c r="F1342" s="152" t="s">
        <v>8</v>
      </c>
      <c r="G1342" s="155" t="s">
        <v>146</v>
      </c>
      <c r="H1342" s="152"/>
      <c r="I1342" s="156">
        <v>43500</v>
      </c>
      <c r="J1342" s="152" t="s">
        <v>13</v>
      </c>
      <c r="K1342" s="152"/>
      <c r="L1342" s="152">
        <v>1</v>
      </c>
      <c r="M1342" s="152">
        <f t="shared" si="182"/>
        <v>680</v>
      </c>
      <c r="N1342" s="157">
        <f t="shared" si="183"/>
        <v>4.3252595155709344</v>
      </c>
    </row>
    <row r="1343" spans="1:14" x14ac:dyDescent="0.2">
      <c r="A1343" s="1" t="s">
        <v>499</v>
      </c>
      <c r="B1343" s="2" t="s">
        <v>39</v>
      </c>
      <c r="C1343" s="2">
        <v>700</v>
      </c>
      <c r="D1343" s="7">
        <v>6000</v>
      </c>
      <c r="G1343" s="41">
        <v>1</v>
      </c>
      <c r="I1343" s="8">
        <v>43500</v>
      </c>
      <c r="J1343" s="16" t="s">
        <v>13</v>
      </c>
      <c r="L1343" s="3">
        <v>1</v>
      </c>
      <c r="M1343" s="10">
        <f t="shared" si="182"/>
        <v>700</v>
      </c>
      <c r="N1343" s="29">
        <f t="shared" si="183"/>
        <v>50.420168067226882</v>
      </c>
    </row>
    <row r="1344" spans="1:14" x14ac:dyDescent="0.2">
      <c r="A1344" s="1" t="s">
        <v>499</v>
      </c>
      <c r="B1344" s="2" t="s">
        <v>39</v>
      </c>
      <c r="C1344" s="2">
        <v>720</v>
      </c>
      <c r="D1344" s="7">
        <v>1700</v>
      </c>
      <c r="G1344" s="41">
        <v>1</v>
      </c>
      <c r="I1344" s="8">
        <v>43500</v>
      </c>
      <c r="J1344" s="16" t="s">
        <v>13</v>
      </c>
      <c r="L1344" s="3">
        <v>1</v>
      </c>
      <c r="M1344" s="10">
        <f t="shared" si="182"/>
        <v>720</v>
      </c>
      <c r="N1344" s="29">
        <f t="shared" si="183"/>
        <v>13.888888888888888</v>
      </c>
    </row>
    <row r="1345" spans="1:14" s="158" customFormat="1" x14ac:dyDescent="0.2">
      <c r="A1345" s="152" t="s">
        <v>499</v>
      </c>
      <c r="B1345" s="153" t="s">
        <v>39</v>
      </c>
      <c r="C1345" s="153">
        <v>760</v>
      </c>
      <c r="D1345" s="154">
        <v>3500</v>
      </c>
      <c r="E1345" s="152"/>
      <c r="F1345" s="152"/>
      <c r="G1345" s="155" t="s">
        <v>146</v>
      </c>
      <c r="H1345" s="152"/>
      <c r="I1345" s="156">
        <v>43500</v>
      </c>
      <c r="J1345" s="152" t="s">
        <v>13</v>
      </c>
      <c r="K1345" s="152"/>
      <c r="L1345" s="152">
        <v>1</v>
      </c>
      <c r="M1345" s="152">
        <f t="shared" si="182"/>
        <v>760</v>
      </c>
      <c r="N1345" s="157">
        <f t="shared" si="183"/>
        <v>27.089783281733741</v>
      </c>
    </row>
    <row r="1346" spans="1:14" x14ac:dyDescent="0.2">
      <c r="A1346" s="1" t="s">
        <v>499</v>
      </c>
      <c r="B1346" s="2" t="s">
        <v>39</v>
      </c>
      <c r="C1346" s="2">
        <v>800</v>
      </c>
      <c r="D1346" s="7">
        <v>4000</v>
      </c>
      <c r="G1346" s="41">
        <v>1</v>
      </c>
      <c r="I1346" s="8">
        <v>43500</v>
      </c>
      <c r="J1346" s="16" t="s">
        <v>13</v>
      </c>
      <c r="L1346" s="3">
        <v>1</v>
      </c>
      <c r="M1346" s="10">
        <f t="shared" si="182"/>
        <v>800</v>
      </c>
      <c r="N1346" s="29">
        <f t="shared" si="183"/>
        <v>29.411764705882351</v>
      </c>
    </row>
    <row r="1347" spans="1:14" x14ac:dyDescent="0.2">
      <c r="A1347" s="1" t="s">
        <v>499</v>
      </c>
      <c r="B1347" s="2" t="s">
        <v>39</v>
      </c>
      <c r="C1347" s="2">
        <v>880</v>
      </c>
      <c r="D1347" s="7">
        <v>1000</v>
      </c>
      <c r="G1347" s="41">
        <v>1</v>
      </c>
      <c r="I1347" s="8">
        <v>43500</v>
      </c>
      <c r="J1347" s="16" t="s">
        <v>13</v>
      </c>
      <c r="L1347" s="3">
        <v>1</v>
      </c>
      <c r="M1347" s="10">
        <f t="shared" si="182"/>
        <v>880</v>
      </c>
      <c r="N1347" s="29">
        <f t="shared" si="183"/>
        <v>6.6844919786096249</v>
      </c>
    </row>
    <row r="1348" spans="1:14" s="104" customFormat="1" x14ac:dyDescent="0.2">
      <c r="A1348" s="98" t="s">
        <v>499</v>
      </c>
      <c r="B1348" s="99" t="s">
        <v>39</v>
      </c>
      <c r="C1348" s="99">
        <v>900</v>
      </c>
      <c r="D1348" s="100">
        <v>2500</v>
      </c>
      <c r="E1348" s="98"/>
      <c r="F1348" s="98"/>
      <c r="G1348" s="101">
        <v>1</v>
      </c>
      <c r="H1348" s="98"/>
      <c r="I1348" s="102">
        <v>43500</v>
      </c>
      <c r="J1348" s="98" t="s">
        <v>13</v>
      </c>
      <c r="K1348" s="98"/>
      <c r="L1348" s="98">
        <v>1</v>
      </c>
      <c r="M1348" s="98">
        <f t="shared" si="182"/>
        <v>900</v>
      </c>
      <c r="N1348" s="103">
        <f t="shared" si="183"/>
        <v>16.33986928104575</v>
      </c>
    </row>
    <row r="1349" spans="1:14" x14ac:dyDescent="0.2">
      <c r="A1349" s="1" t="s">
        <v>499</v>
      </c>
      <c r="B1349" s="2" t="s">
        <v>39</v>
      </c>
      <c r="C1349" s="2">
        <v>920</v>
      </c>
      <c r="D1349" s="7">
        <v>2500</v>
      </c>
      <c r="G1349" s="41">
        <v>1</v>
      </c>
      <c r="I1349" s="8">
        <v>43500</v>
      </c>
      <c r="J1349" s="16" t="s">
        <v>13</v>
      </c>
      <c r="L1349" s="3">
        <v>1</v>
      </c>
      <c r="M1349" s="10">
        <f t="shared" si="182"/>
        <v>920</v>
      </c>
      <c r="N1349" s="29">
        <f t="shared" si="183"/>
        <v>15.9846547314578</v>
      </c>
    </row>
    <row r="1350" spans="1:14" x14ac:dyDescent="0.2">
      <c r="A1350" s="1" t="s">
        <v>499</v>
      </c>
      <c r="B1350" s="2" t="s">
        <v>39</v>
      </c>
      <c r="C1350" s="2">
        <v>960</v>
      </c>
      <c r="D1350" s="7">
        <v>600</v>
      </c>
      <c r="G1350" s="41">
        <v>1</v>
      </c>
      <c r="I1350" s="8">
        <v>43500</v>
      </c>
      <c r="J1350" s="16" t="s">
        <v>13</v>
      </c>
      <c r="L1350" s="3">
        <v>1</v>
      </c>
      <c r="M1350" s="10">
        <f t="shared" si="182"/>
        <v>960</v>
      </c>
      <c r="N1350" s="29">
        <f t="shared" si="183"/>
        <v>3.6764705882352939</v>
      </c>
    </row>
    <row r="1351" spans="1:14" x14ac:dyDescent="0.2">
      <c r="A1351" s="1" t="s">
        <v>499</v>
      </c>
      <c r="B1351" s="2" t="s">
        <v>39</v>
      </c>
      <c r="C1351" s="2">
        <v>600</v>
      </c>
      <c r="D1351" s="7">
        <v>5000</v>
      </c>
      <c r="G1351" s="41">
        <v>1</v>
      </c>
      <c r="I1351" s="8">
        <v>43500</v>
      </c>
      <c r="J1351" s="16" t="s">
        <v>13</v>
      </c>
      <c r="L1351" s="3">
        <v>1</v>
      </c>
      <c r="M1351" s="10">
        <f t="shared" si="182"/>
        <v>600</v>
      </c>
      <c r="N1351" s="29">
        <f t="shared" si="183"/>
        <v>49.019607843137251</v>
      </c>
    </row>
    <row r="1352" spans="1:14" x14ac:dyDescent="0.2">
      <c r="A1352" s="1" t="s">
        <v>499</v>
      </c>
      <c r="B1352" s="2" t="s">
        <v>39</v>
      </c>
      <c r="C1352" s="2">
        <v>1200</v>
      </c>
      <c r="D1352" s="7">
        <v>400</v>
      </c>
      <c r="G1352" s="41">
        <v>1</v>
      </c>
      <c r="I1352" s="8">
        <v>43500</v>
      </c>
      <c r="J1352" s="16" t="s">
        <v>13</v>
      </c>
      <c r="L1352" s="3">
        <v>1</v>
      </c>
      <c r="M1352" s="10">
        <f t="shared" si="182"/>
        <v>1200</v>
      </c>
      <c r="N1352" s="29">
        <f t="shared" si="183"/>
        <v>1.9607843137254899</v>
      </c>
    </row>
    <row r="1353" spans="1:14" ht="15" hidden="1" customHeight="1" x14ac:dyDescent="0.2">
      <c r="A1353" s="1" t="s">
        <v>499</v>
      </c>
      <c r="B1353" s="2" t="s">
        <v>37</v>
      </c>
      <c r="C1353" s="2">
        <v>920</v>
      </c>
      <c r="D1353" s="7">
        <v>200</v>
      </c>
      <c r="I1353" s="8">
        <v>43500</v>
      </c>
      <c r="J1353" s="16" t="s">
        <v>13</v>
      </c>
      <c r="M1353" s="10">
        <f t="shared" ref="M1353:M1408" si="184">L1353*C1353</f>
        <v>0</v>
      </c>
      <c r="N1353" s="29" t="e">
        <f t="shared" si="183"/>
        <v>#DIV/0!</v>
      </c>
    </row>
    <row r="1354" spans="1:14" ht="15" hidden="1" customHeight="1" x14ac:dyDescent="0.2">
      <c r="A1354" s="1" t="s">
        <v>499</v>
      </c>
      <c r="B1354" s="2" t="s">
        <v>37</v>
      </c>
      <c r="C1354" s="2">
        <v>1000</v>
      </c>
      <c r="D1354" s="7">
        <v>500</v>
      </c>
      <c r="I1354" s="8">
        <v>43500</v>
      </c>
      <c r="J1354" s="16" t="s">
        <v>13</v>
      </c>
      <c r="M1354" s="10">
        <f t="shared" si="184"/>
        <v>0</v>
      </c>
      <c r="N1354" s="29" t="e">
        <f t="shared" si="183"/>
        <v>#DIV/0!</v>
      </c>
    </row>
    <row r="1355" spans="1:14" ht="15" hidden="1" customHeight="1" x14ac:dyDescent="0.2">
      <c r="A1355" s="1" t="s">
        <v>499</v>
      </c>
      <c r="B1355" s="2" t="s">
        <v>37</v>
      </c>
      <c r="C1355" s="2">
        <v>600</v>
      </c>
      <c r="D1355" s="7">
        <v>1100</v>
      </c>
      <c r="I1355" s="8">
        <v>43500</v>
      </c>
      <c r="J1355" s="16" t="s">
        <v>13</v>
      </c>
      <c r="M1355" s="10">
        <f t="shared" si="184"/>
        <v>0</v>
      </c>
      <c r="N1355" s="29" t="e">
        <f t="shared" si="183"/>
        <v>#DIV/0!</v>
      </c>
    </row>
    <row r="1356" spans="1:14" ht="15" hidden="1" customHeight="1" x14ac:dyDescent="0.2">
      <c r="A1356" s="1" t="s">
        <v>499</v>
      </c>
      <c r="B1356" s="2" t="s">
        <v>37</v>
      </c>
      <c r="C1356" s="2">
        <v>680</v>
      </c>
      <c r="D1356" s="7">
        <v>200</v>
      </c>
      <c r="I1356" s="8">
        <v>43500</v>
      </c>
      <c r="J1356" s="16" t="s">
        <v>13</v>
      </c>
      <c r="M1356" s="10">
        <f t="shared" si="184"/>
        <v>0</v>
      </c>
      <c r="N1356" s="29" t="e">
        <f t="shared" si="183"/>
        <v>#DIV/0!</v>
      </c>
    </row>
    <row r="1357" spans="1:14" ht="15" hidden="1" customHeight="1" x14ac:dyDescent="0.2">
      <c r="A1357" s="1" t="s">
        <v>499</v>
      </c>
      <c r="B1357" s="2" t="s">
        <v>37</v>
      </c>
      <c r="C1357" s="2">
        <v>700</v>
      </c>
      <c r="D1357" s="7">
        <v>500</v>
      </c>
      <c r="I1357" s="8">
        <v>43500</v>
      </c>
      <c r="J1357" s="16" t="s">
        <v>13</v>
      </c>
      <c r="M1357" s="10">
        <f t="shared" si="184"/>
        <v>0</v>
      </c>
      <c r="N1357" s="29" t="e">
        <f t="shared" si="183"/>
        <v>#DIV/0!</v>
      </c>
    </row>
    <row r="1358" spans="1:14" ht="15" hidden="1" customHeight="1" x14ac:dyDescent="0.2">
      <c r="A1358" s="1" t="s">
        <v>499</v>
      </c>
      <c r="B1358" s="2" t="s">
        <v>37</v>
      </c>
      <c r="C1358" s="2">
        <v>720</v>
      </c>
      <c r="D1358" s="7">
        <v>900</v>
      </c>
      <c r="I1358" s="8">
        <v>43500</v>
      </c>
      <c r="J1358" s="16" t="s">
        <v>13</v>
      </c>
      <c r="M1358" s="10">
        <f t="shared" si="184"/>
        <v>0</v>
      </c>
      <c r="N1358" s="29" t="e">
        <f t="shared" si="183"/>
        <v>#DIV/0!</v>
      </c>
    </row>
    <row r="1359" spans="1:14" ht="15" hidden="1" customHeight="1" x14ac:dyDescent="0.2">
      <c r="A1359" s="1" t="s">
        <v>499</v>
      </c>
      <c r="B1359" s="2" t="s">
        <v>37</v>
      </c>
      <c r="C1359" s="2">
        <v>760</v>
      </c>
      <c r="D1359" s="7">
        <v>500</v>
      </c>
      <c r="I1359" s="8">
        <v>43500</v>
      </c>
      <c r="J1359" s="16" t="s">
        <v>13</v>
      </c>
      <c r="M1359" s="10">
        <f t="shared" si="184"/>
        <v>0</v>
      </c>
      <c r="N1359" s="29" t="e">
        <f t="shared" si="183"/>
        <v>#DIV/0!</v>
      </c>
    </row>
    <row r="1360" spans="1:14" ht="15" hidden="1" customHeight="1" x14ac:dyDescent="0.2">
      <c r="A1360" s="1" t="s">
        <v>499</v>
      </c>
      <c r="B1360" s="2" t="s">
        <v>37</v>
      </c>
      <c r="C1360" s="2">
        <v>780</v>
      </c>
      <c r="D1360" s="7">
        <v>800</v>
      </c>
      <c r="I1360" s="8">
        <v>43500</v>
      </c>
      <c r="J1360" s="16" t="s">
        <v>13</v>
      </c>
      <c r="M1360" s="10">
        <f t="shared" si="184"/>
        <v>0</v>
      </c>
      <c r="N1360" s="29" t="e">
        <f t="shared" si="183"/>
        <v>#DIV/0!</v>
      </c>
    </row>
    <row r="1361" spans="1:14" ht="15" hidden="1" customHeight="1" x14ac:dyDescent="0.2">
      <c r="A1361" s="1" t="s">
        <v>499</v>
      </c>
      <c r="B1361" s="2" t="s">
        <v>37</v>
      </c>
      <c r="C1361" s="2">
        <v>800</v>
      </c>
      <c r="D1361" s="7">
        <v>2600</v>
      </c>
      <c r="I1361" s="8">
        <v>43500</v>
      </c>
      <c r="J1361" s="16" t="s">
        <v>13</v>
      </c>
      <c r="M1361" s="10">
        <f t="shared" si="184"/>
        <v>0</v>
      </c>
      <c r="N1361" s="29" t="e">
        <f t="shared" si="183"/>
        <v>#DIV/0!</v>
      </c>
    </row>
    <row r="1362" spans="1:14" ht="15" hidden="1" customHeight="1" x14ac:dyDescent="0.2">
      <c r="A1362" s="1" t="s">
        <v>499</v>
      </c>
      <c r="B1362" s="2" t="s">
        <v>37</v>
      </c>
      <c r="C1362" s="2">
        <v>840</v>
      </c>
      <c r="D1362" s="7">
        <v>1000</v>
      </c>
      <c r="I1362" s="8">
        <v>43500</v>
      </c>
      <c r="J1362" s="16" t="s">
        <v>13</v>
      </c>
      <c r="M1362" s="10">
        <f t="shared" si="184"/>
        <v>0</v>
      </c>
      <c r="N1362" s="29" t="e">
        <f t="shared" si="183"/>
        <v>#DIV/0!</v>
      </c>
    </row>
    <row r="1363" spans="1:14" ht="15" hidden="1" customHeight="1" x14ac:dyDescent="0.2">
      <c r="A1363" s="1" t="s">
        <v>499</v>
      </c>
      <c r="B1363" s="2" t="s">
        <v>37</v>
      </c>
      <c r="C1363" s="2">
        <v>860</v>
      </c>
      <c r="D1363" s="7">
        <v>200</v>
      </c>
      <c r="I1363" s="8">
        <v>43500</v>
      </c>
      <c r="J1363" s="16" t="s">
        <v>13</v>
      </c>
      <c r="M1363" s="10">
        <f t="shared" si="184"/>
        <v>0</v>
      </c>
      <c r="N1363" s="29" t="e">
        <f t="shared" si="183"/>
        <v>#DIV/0!</v>
      </c>
    </row>
    <row r="1364" spans="1:14" ht="15" hidden="1" customHeight="1" x14ac:dyDescent="0.2">
      <c r="A1364" s="1" t="s">
        <v>499</v>
      </c>
      <c r="B1364" s="2" t="s">
        <v>37</v>
      </c>
      <c r="C1364" s="2">
        <v>880</v>
      </c>
      <c r="D1364" s="7">
        <v>200</v>
      </c>
      <c r="I1364" s="8">
        <v>43500</v>
      </c>
      <c r="J1364" s="16" t="s">
        <v>13</v>
      </c>
      <c r="M1364" s="10">
        <f t="shared" si="184"/>
        <v>0</v>
      </c>
      <c r="N1364" s="29" t="e">
        <f t="shared" si="183"/>
        <v>#DIV/0!</v>
      </c>
    </row>
    <row r="1365" spans="1:14" ht="15" hidden="1" customHeight="1" x14ac:dyDescent="0.2">
      <c r="A1365" s="1" t="s">
        <v>499</v>
      </c>
      <c r="B1365" s="2" t="s">
        <v>37</v>
      </c>
      <c r="C1365" s="2">
        <v>900</v>
      </c>
      <c r="D1365" s="7">
        <v>200</v>
      </c>
      <c r="I1365" s="8">
        <v>43500</v>
      </c>
      <c r="J1365" s="16" t="s">
        <v>13</v>
      </c>
      <c r="M1365" s="10">
        <f t="shared" si="184"/>
        <v>0</v>
      </c>
      <c r="N1365" s="29" t="e">
        <f t="shared" si="183"/>
        <v>#DIV/0!</v>
      </c>
    </row>
    <row r="1366" spans="1:14" ht="15" hidden="1" customHeight="1" x14ac:dyDescent="0.2">
      <c r="A1366" s="1" t="s">
        <v>499</v>
      </c>
      <c r="B1366" s="2" t="s">
        <v>37</v>
      </c>
      <c r="C1366" s="2">
        <v>960</v>
      </c>
      <c r="D1366" s="7">
        <v>500</v>
      </c>
      <c r="I1366" s="8">
        <v>43500</v>
      </c>
      <c r="J1366" s="16" t="s">
        <v>13</v>
      </c>
      <c r="M1366" s="10">
        <f t="shared" si="184"/>
        <v>0</v>
      </c>
      <c r="N1366" s="29" t="e">
        <f t="shared" si="183"/>
        <v>#DIV/0!</v>
      </c>
    </row>
    <row r="1367" spans="1:14" ht="15" hidden="1" customHeight="1" x14ac:dyDescent="0.2">
      <c r="A1367" s="1" t="s">
        <v>499</v>
      </c>
      <c r="B1367" s="2" t="s">
        <v>37</v>
      </c>
      <c r="C1367" s="2">
        <v>1160</v>
      </c>
      <c r="D1367" s="7">
        <v>200</v>
      </c>
      <c r="I1367" s="8">
        <v>43500</v>
      </c>
      <c r="J1367" s="16" t="s">
        <v>13</v>
      </c>
      <c r="M1367" s="10">
        <f t="shared" si="184"/>
        <v>0</v>
      </c>
      <c r="N1367" s="29" t="e">
        <f t="shared" si="183"/>
        <v>#DIV/0!</v>
      </c>
    </row>
    <row r="1368" spans="1:14" ht="15" hidden="1" customHeight="1" x14ac:dyDescent="0.2">
      <c r="A1368" s="1" t="s">
        <v>499</v>
      </c>
      <c r="B1368" s="2" t="s">
        <v>37</v>
      </c>
      <c r="C1368" s="2">
        <v>1200</v>
      </c>
      <c r="D1368" s="7">
        <v>400</v>
      </c>
      <c r="I1368" s="8">
        <v>43500</v>
      </c>
      <c r="J1368" s="16" t="s">
        <v>13</v>
      </c>
      <c r="M1368" s="10">
        <f t="shared" si="184"/>
        <v>0</v>
      </c>
      <c r="N1368" s="29" t="e">
        <f t="shared" si="183"/>
        <v>#DIV/0!</v>
      </c>
    </row>
    <row r="1369" spans="1:14" ht="15" hidden="1" customHeight="1" x14ac:dyDescent="0.2">
      <c r="A1369" s="1" t="s">
        <v>499</v>
      </c>
      <c r="B1369" s="2" t="s">
        <v>38</v>
      </c>
      <c r="C1369" s="2">
        <v>720</v>
      </c>
      <c r="D1369" s="7">
        <v>1000</v>
      </c>
      <c r="I1369" s="8">
        <v>43500</v>
      </c>
      <c r="J1369" s="16" t="s">
        <v>13</v>
      </c>
      <c r="M1369" s="10">
        <f t="shared" si="184"/>
        <v>0</v>
      </c>
      <c r="N1369" s="29" t="e">
        <f t="shared" si="183"/>
        <v>#DIV/0!</v>
      </c>
    </row>
    <row r="1370" spans="1:14" ht="15" hidden="1" customHeight="1" x14ac:dyDescent="0.2">
      <c r="A1370" s="1" t="s">
        <v>499</v>
      </c>
      <c r="B1370" s="2" t="s">
        <v>38</v>
      </c>
      <c r="C1370" s="2">
        <v>1000</v>
      </c>
      <c r="D1370" s="7">
        <v>200</v>
      </c>
      <c r="I1370" s="8">
        <v>43500</v>
      </c>
      <c r="J1370" s="16" t="s">
        <v>13</v>
      </c>
      <c r="M1370" s="10">
        <f t="shared" si="184"/>
        <v>0</v>
      </c>
      <c r="N1370" s="29" t="e">
        <f t="shared" si="183"/>
        <v>#DIV/0!</v>
      </c>
    </row>
    <row r="1371" spans="1:14" s="71" customFormat="1" ht="15" hidden="1" customHeight="1" x14ac:dyDescent="0.2">
      <c r="A1371" s="65" t="s">
        <v>499</v>
      </c>
      <c r="B1371" s="66" t="s">
        <v>36</v>
      </c>
      <c r="C1371" s="66">
        <v>1080</v>
      </c>
      <c r="D1371" s="67">
        <v>500</v>
      </c>
      <c r="E1371" s="65">
        <f>468.9</f>
        <v>468.9</v>
      </c>
      <c r="F1371" s="65" t="s">
        <v>8</v>
      </c>
      <c r="G1371" s="68">
        <v>1</v>
      </c>
      <c r="H1371" s="65"/>
      <c r="I1371" s="69">
        <v>43500</v>
      </c>
      <c r="J1371" s="65" t="s">
        <v>13</v>
      </c>
      <c r="K1371" s="65"/>
      <c r="L1371" s="65">
        <v>1</v>
      </c>
      <c r="M1371" s="10">
        <f t="shared" si="184"/>
        <v>1080</v>
      </c>
      <c r="N1371" s="70">
        <f t="shared" si="183"/>
        <v>0.16938997821350774</v>
      </c>
    </row>
    <row r="1372" spans="1:14" ht="15" hidden="1" customHeight="1" x14ac:dyDescent="0.2">
      <c r="A1372" s="1" t="s">
        <v>499</v>
      </c>
      <c r="B1372" s="2" t="s">
        <v>36</v>
      </c>
      <c r="C1372" s="2">
        <v>720</v>
      </c>
      <c r="D1372" s="7">
        <v>1500</v>
      </c>
      <c r="E1372" s="1">
        <f>1543.1</f>
        <v>1543.1</v>
      </c>
      <c r="F1372" s="1" t="s">
        <v>8</v>
      </c>
      <c r="G1372" s="41">
        <v>1</v>
      </c>
      <c r="I1372" s="8">
        <v>43500</v>
      </c>
      <c r="J1372" s="16" t="s">
        <v>13</v>
      </c>
      <c r="L1372" s="10">
        <v>1</v>
      </c>
      <c r="M1372" s="10">
        <f t="shared" si="184"/>
        <v>720</v>
      </c>
      <c r="N1372" s="29">
        <f t="shared" si="183"/>
        <v>-0.3521241830065352</v>
      </c>
    </row>
    <row r="1373" spans="1:14" s="148" customFormat="1" ht="15" hidden="1" customHeight="1" x14ac:dyDescent="0.2">
      <c r="A1373" s="142" t="s">
        <v>499</v>
      </c>
      <c r="B1373" s="143" t="s">
        <v>36</v>
      </c>
      <c r="C1373" s="143">
        <v>760</v>
      </c>
      <c r="D1373" s="144">
        <v>1000</v>
      </c>
      <c r="E1373" s="142">
        <f>1085.4</f>
        <v>1085.4000000000001</v>
      </c>
      <c r="F1373" s="142" t="s">
        <v>8</v>
      </c>
      <c r="G1373" s="145">
        <v>1</v>
      </c>
      <c r="H1373" s="142"/>
      <c r="I1373" s="146">
        <v>43500</v>
      </c>
      <c r="J1373" s="142" t="s">
        <v>13</v>
      </c>
      <c r="K1373" s="142"/>
      <c r="L1373" s="142">
        <v>1</v>
      </c>
      <c r="M1373" s="142">
        <f t="shared" si="184"/>
        <v>760</v>
      </c>
      <c r="N1373" s="147">
        <f t="shared" si="183"/>
        <v>-0.66099071207430404</v>
      </c>
    </row>
    <row r="1374" spans="1:14" s="148" customFormat="1" ht="15" hidden="1" customHeight="1" x14ac:dyDescent="0.2">
      <c r="A1374" s="142" t="s">
        <v>499</v>
      </c>
      <c r="B1374" s="143" t="s">
        <v>36</v>
      </c>
      <c r="C1374" s="143">
        <v>800</v>
      </c>
      <c r="D1374" s="144">
        <v>1000</v>
      </c>
      <c r="E1374" s="142">
        <f>1038.3</f>
        <v>1038.3</v>
      </c>
      <c r="F1374" s="142" t="s">
        <v>8</v>
      </c>
      <c r="G1374" s="145">
        <v>1</v>
      </c>
      <c r="H1374" s="142"/>
      <c r="I1374" s="146">
        <v>43500</v>
      </c>
      <c r="J1374" s="142" t="s">
        <v>13</v>
      </c>
      <c r="K1374" s="142"/>
      <c r="L1374" s="142">
        <v>1</v>
      </c>
      <c r="M1374" s="142">
        <f t="shared" si="184"/>
        <v>800</v>
      </c>
      <c r="N1374" s="147">
        <f t="shared" si="183"/>
        <v>-0.2816176470588232</v>
      </c>
    </row>
    <row r="1375" spans="1:14" s="148" customFormat="1" ht="15" hidden="1" customHeight="1" x14ac:dyDescent="0.2">
      <c r="A1375" s="142" t="s">
        <v>499</v>
      </c>
      <c r="B1375" s="143" t="s">
        <v>36</v>
      </c>
      <c r="C1375" s="143">
        <v>840</v>
      </c>
      <c r="D1375" s="144">
        <v>200</v>
      </c>
      <c r="E1375" s="142">
        <f>202.5</f>
        <v>202.5</v>
      </c>
      <c r="F1375" s="142" t="s">
        <v>8</v>
      </c>
      <c r="G1375" s="145">
        <v>1</v>
      </c>
      <c r="H1375" s="142"/>
      <c r="I1375" s="146">
        <v>43500</v>
      </c>
      <c r="J1375" s="142" t="s">
        <v>13</v>
      </c>
      <c r="K1375" s="142"/>
      <c r="L1375" s="142">
        <v>1</v>
      </c>
      <c r="M1375" s="142">
        <f t="shared" si="184"/>
        <v>840</v>
      </c>
      <c r="N1375" s="147">
        <f t="shared" si="183"/>
        <v>-1.7507002801120448E-2</v>
      </c>
    </row>
    <row r="1376" spans="1:14" s="148" customFormat="1" ht="15" hidden="1" customHeight="1" x14ac:dyDescent="0.2">
      <c r="A1376" s="142" t="s">
        <v>499</v>
      </c>
      <c r="B1376" s="143" t="s">
        <v>36</v>
      </c>
      <c r="C1376" s="143">
        <v>920</v>
      </c>
      <c r="D1376" s="144">
        <v>500</v>
      </c>
      <c r="E1376" s="142">
        <f>526</f>
        <v>526</v>
      </c>
      <c r="F1376" s="142" t="s">
        <v>8</v>
      </c>
      <c r="G1376" s="145">
        <v>1</v>
      </c>
      <c r="H1376" s="142"/>
      <c r="I1376" s="146">
        <v>43500</v>
      </c>
      <c r="J1376" s="142" t="s">
        <v>13</v>
      </c>
      <c r="K1376" s="142"/>
      <c r="L1376" s="142">
        <v>1</v>
      </c>
      <c r="M1376" s="142">
        <f t="shared" si="184"/>
        <v>920</v>
      </c>
      <c r="N1376" s="147">
        <f t="shared" si="183"/>
        <v>-0.16624040920716113</v>
      </c>
    </row>
    <row r="1377" spans="1:14" s="104" customFormat="1" ht="15" customHeight="1" x14ac:dyDescent="0.2">
      <c r="A1377" s="98" t="s">
        <v>500</v>
      </c>
      <c r="B1377" s="99" t="s">
        <v>39</v>
      </c>
      <c r="C1377" s="91">
        <v>450</v>
      </c>
      <c r="D1377" s="100">
        <v>2000</v>
      </c>
      <c r="E1377" s="98"/>
      <c r="F1377" s="98" t="s">
        <v>8</v>
      </c>
      <c r="G1377" s="101" t="s">
        <v>146</v>
      </c>
      <c r="H1377" s="98" t="s">
        <v>131</v>
      </c>
      <c r="I1377" s="102">
        <v>43500</v>
      </c>
      <c r="J1377" s="98" t="s">
        <v>385</v>
      </c>
      <c r="K1377" s="98"/>
      <c r="L1377" s="98">
        <v>3</v>
      </c>
      <c r="M1377" s="98">
        <f t="shared" si="184"/>
        <v>1350</v>
      </c>
      <c r="N1377" s="103">
        <f t="shared" si="183"/>
        <v>8.7145969498910656</v>
      </c>
    </row>
    <row r="1378" spans="1:14" ht="15" hidden="1" customHeight="1" x14ac:dyDescent="0.2">
      <c r="A1378" s="1" t="s">
        <v>501</v>
      </c>
      <c r="B1378" s="2" t="s">
        <v>40</v>
      </c>
      <c r="C1378" s="2">
        <v>1160</v>
      </c>
      <c r="D1378" s="7">
        <v>500</v>
      </c>
      <c r="I1378" s="8">
        <v>43500</v>
      </c>
      <c r="J1378" s="16" t="s">
        <v>503</v>
      </c>
      <c r="M1378" s="10">
        <f t="shared" si="184"/>
        <v>0</v>
      </c>
      <c r="N1378" s="29" t="e">
        <f t="shared" si="183"/>
        <v>#DIV/0!</v>
      </c>
    </row>
    <row r="1379" spans="1:14" ht="15" hidden="1" customHeight="1" x14ac:dyDescent="0.2">
      <c r="A1379" s="1" t="s">
        <v>501</v>
      </c>
      <c r="B1379" s="2" t="s">
        <v>40</v>
      </c>
      <c r="C1379" s="2">
        <v>1200</v>
      </c>
      <c r="D1379" s="7">
        <v>1500</v>
      </c>
      <c r="I1379" s="8">
        <v>43500</v>
      </c>
      <c r="J1379" s="16" t="s">
        <v>503</v>
      </c>
      <c r="M1379" s="10">
        <f t="shared" si="184"/>
        <v>0</v>
      </c>
      <c r="N1379" s="29" t="e">
        <f t="shared" si="183"/>
        <v>#DIV/0!</v>
      </c>
    </row>
    <row r="1380" spans="1:14" ht="15" hidden="1" customHeight="1" x14ac:dyDescent="0.2">
      <c r="A1380" s="1" t="s">
        <v>501</v>
      </c>
      <c r="B1380" s="2" t="s">
        <v>40</v>
      </c>
      <c r="C1380" s="2">
        <v>1250</v>
      </c>
      <c r="D1380" s="7">
        <v>1000</v>
      </c>
      <c r="I1380" s="8">
        <v>43500</v>
      </c>
      <c r="J1380" s="16" t="s">
        <v>503</v>
      </c>
      <c r="M1380" s="10">
        <f t="shared" si="184"/>
        <v>0</v>
      </c>
      <c r="N1380" s="29" t="e">
        <f t="shared" si="183"/>
        <v>#DIV/0!</v>
      </c>
    </row>
    <row r="1381" spans="1:14" ht="15" hidden="1" customHeight="1" x14ac:dyDescent="0.2">
      <c r="A1381" s="1" t="s">
        <v>501</v>
      </c>
      <c r="B1381" s="2" t="s">
        <v>40</v>
      </c>
      <c r="C1381" s="2">
        <v>1300</v>
      </c>
      <c r="D1381" s="7">
        <v>1000</v>
      </c>
      <c r="I1381" s="8">
        <v>43500</v>
      </c>
      <c r="J1381" s="16" t="s">
        <v>503</v>
      </c>
      <c r="M1381" s="10">
        <f t="shared" si="184"/>
        <v>0</v>
      </c>
      <c r="N1381" s="29" t="e">
        <f t="shared" si="183"/>
        <v>#DIV/0!</v>
      </c>
    </row>
    <row r="1382" spans="1:14" ht="15" hidden="1" customHeight="1" x14ac:dyDescent="0.2">
      <c r="A1382" s="1" t="s">
        <v>501</v>
      </c>
      <c r="B1382" s="2" t="s">
        <v>40</v>
      </c>
      <c r="C1382" s="2">
        <v>1320</v>
      </c>
      <c r="D1382" s="7">
        <v>1000</v>
      </c>
      <c r="I1382" s="8">
        <v>43500</v>
      </c>
      <c r="J1382" s="16" t="s">
        <v>503</v>
      </c>
      <c r="M1382" s="10">
        <f t="shared" si="184"/>
        <v>0</v>
      </c>
      <c r="N1382" s="29" t="e">
        <f t="shared" si="183"/>
        <v>#DIV/0!</v>
      </c>
    </row>
    <row r="1383" spans="1:14" ht="15" hidden="1" customHeight="1" x14ac:dyDescent="0.2">
      <c r="A1383" s="1" t="s">
        <v>501</v>
      </c>
      <c r="B1383" s="2" t="s">
        <v>40</v>
      </c>
      <c r="C1383" s="2">
        <v>1380</v>
      </c>
      <c r="D1383" s="7">
        <v>1500</v>
      </c>
      <c r="I1383" s="8">
        <v>43500</v>
      </c>
      <c r="J1383" s="16" t="s">
        <v>503</v>
      </c>
      <c r="M1383" s="10">
        <f t="shared" si="184"/>
        <v>0</v>
      </c>
      <c r="N1383" s="29" t="e">
        <f t="shared" si="183"/>
        <v>#DIV/0!</v>
      </c>
    </row>
    <row r="1384" spans="1:14" x14ac:dyDescent="0.2">
      <c r="A1384" s="1" t="s">
        <v>501</v>
      </c>
      <c r="B1384" s="2" t="s">
        <v>39</v>
      </c>
      <c r="C1384" s="2">
        <v>1300</v>
      </c>
      <c r="D1384" s="7">
        <v>1000</v>
      </c>
      <c r="G1384" s="41">
        <v>3</v>
      </c>
      <c r="I1384" s="8">
        <v>43500</v>
      </c>
      <c r="J1384" s="16" t="s">
        <v>503</v>
      </c>
      <c r="L1384" s="10">
        <v>1</v>
      </c>
      <c r="M1384" s="10">
        <f t="shared" si="184"/>
        <v>1300</v>
      </c>
      <c r="N1384" s="29">
        <f t="shared" si="183"/>
        <v>4.5248868778280533</v>
      </c>
    </row>
    <row r="1385" spans="1:14" x14ac:dyDescent="0.2">
      <c r="A1385" s="1" t="s">
        <v>501</v>
      </c>
      <c r="B1385" s="2" t="s">
        <v>39</v>
      </c>
      <c r="C1385" s="2">
        <v>1340</v>
      </c>
      <c r="D1385" s="7">
        <v>1000</v>
      </c>
      <c r="G1385" s="41">
        <v>3</v>
      </c>
      <c r="I1385" s="8">
        <v>43500</v>
      </c>
      <c r="J1385" s="16" t="s">
        <v>503</v>
      </c>
      <c r="L1385" s="10">
        <v>1</v>
      </c>
      <c r="M1385" s="10">
        <f t="shared" si="184"/>
        <v>1340</v>
      </c>
      <c r="N1385" s="29">
        <f t="shared" si="183"/>
        <v>4.3898156277436344</v>
      </c>
    </row>
    <row r="1386" spans="1:14" x14ac:dyDescent="0.2">
      <c r="A1386" s="1" t="s">
        <v>501</v>
      </c>
      <c r="B1386" s="2" t="s">
        <v>39</v>
      </c>
      <c r="C1386" s="2">
        <v>1380</v>
      </c>
      <c r="D1386" s="7">
        <v>1000</v>
      </c>
      <c r="G1386" s="41">
        <v>3</v>
      </c>
      <c r="I1386" s="8">
        <v>43500</v>
      </c>
      <c r="J1386" s="16" t="s">
        <v>503</v>
      </c>
      <c r="L1386" s="10">
        <v>1</v>
      </c>
      <c r="M1386" s="10">
        <f t="shared" si="184"/>
        <v>1380</v>
      </c>
      <c r="N1386" s="29">
        <f t="shared" si="183"/>
        <v>4.2625745950554128</v>
      </c>
    </row>
    <row r="1387" spans="1:14" ht="15" hidden="1" customHeight="1" x14ac:dyDescent="0.2">
      <c r="A1387" s="1" t="s">
        <v>501</v>
      </c>
      <c r="B1387" s="2" t="s">
        <v>37</v>
      </c>
      <c r="C1387" s="2">
        <v>800</v>
      </c>
      <c r="D1387" s="7">
        <v>1000</v>
      </c>
      <c r="H1387" s="1" t="s">
        <v>502</v>
      </c>
      <c r="I1387" s="8">
        <v>43500</v>
      </c>
      <c r="J1387" s="16" t="s">
        <v>503</v>
      </c>
      <c r="M1387" s="10">
        <f t="shared" si="184"/>
        <v>0</v>
      </c>
    </row>
    <row r="1388" spans="1:14" ht="15" hidden="1" customHeight="1" x14ac:dyDescent="0.2">
      <c r="A1388" s="1" t="s">
        <v>501</v>
      </c>
      <c r="B1388" s="2" t="s">
        <v>37</v>
      </c>
      <c r="C1388" s="2">
        <v>900</v>
      </c>
      <c r="D1388" s="7">
        <v>1000</v>
      </c>
      <c r="H1388" s="1" t="s">
        <v>502</v>
      </c>
      <c r="I1388" s="8">
        <v>43500</v>
      </c>
      <c r="J1388" s="16" t="s">
        <v>503</v>
      </c>
      <c r="M1388" s="10">
        <f t="shared" si="184"/>
        <v>0</v>
      </c>
    </row>
    <row r="1389" spans="1:14" ht="15" hidden="1" customHeight="1" x14ac:dyDescent="0.2">
      <c r="A1389" s="1" t="s">
        <v>501</v>
      </c>
      <c r="B1389" s="2" t="s">
        <v>37</v>
      </c>
      <c r="C1389" s="2">
        <v>1200</v>
      </c>
      <c r="D1389" s="7">
        <v>1500</v>
      </c>
      <c r="H1389" s="1" t="s">
        <v>502</v>
      </c>
      <c r="I1389" s="8">
        <v>43500</v>
      </c>
      <c r="J1389" s="16" t="s">
        <v>503</v>
      </c>
      <c r="M1389" s="10">
        <f t="shared" si="184"/>
        <v>0</v>
      </c>
    </row>
    <row r="1390" spans="1:14" ht="15" hidden="1" customHeight="1" x14ac:dyDescent="0.2">
      <c r="A1390" s="1" t="s">
        <v>501</v>
      </c>
      <c r="B1390" s="2" t="s">
        <v>37</v>
      </c>
      <c r="C1390" s="2">
        <v>1260</v>
      </c>
      <c r="D1390" s="7">
        <v>1500</v>
      </c>
      <c r="H1390" s="1" t="s">
        <v>502</v>
      </c>
      <c r="I1390" s="8">
        <v>43500</v>
      </c>
      <c r="J1390" s="16" t="s">
        <v>503</v>
      </c>
      <c r="M1390" s="10">
        <f t="shared" si="184"/>
        <v>0</v>
      </c>
    </row>
    <row r="1391" spans="1:14" ht="15" hidden="1" customHeight="1" x14ac:dyDescent="0.2">
      <c r="A1391" s="1" t="s">
        <v>501</v>
      </c>
      <c r="B1391" s="2" t="s">
        <v>37</v>
      </c>
      <c r="C1391" s="2">
        <v>1300</v>
      </c>
      <c r="D1391" s="7">
        <v>1500</v>
      </c>
      <c r="H1391" s="1" t="s">
        <v>502</v>
      </c>
      <c r="I1391" s="8">
        <v>43500</v>
      </c>
      <c r="J1391" s="16" t="s">
        <v>503</v>
      </c>
      <c r="M1391" s="10">
        <f t="shared" si="184"/>
        <v>0</v>
      </c>
    </row>
    <row r="1392" spans="1:14" ht="15" hidden="1" customHeight="1" x14ac:dyDescent="0.2">
      <c r="A1392" s="1" t="s">
        <v>501</v>
      </c>
      <c r="B1392" s="2" t="s">
        <v>37</v>
      </c>
      <c r="C1392" s="2">
        <v>1320</v>
      </c>
      <c r="D1392" s="7">
        <v>1500</v>
      </c>
      <c r="H1392" s="1" t="s">
        <v>502</v>
      </c>
      <c r="I1392" s="8">
        <v>43500</v>
      </c>
      <c r="J1392" s="16" t="s">
        <v>503</v>
      </c>
      <c r="M1392" s="10">
        <f t="shared" si="184"/>
        <v>0</v>
      </c>
    </row>
    <row r="1393" spans="1:14" ht="15" hidden="1" customHeight="1" x14ac:dyDescent="0.2">
      <c r="A1393" s="1" t="s">
        <v>501</v>
      </c>
      <c r="B1393" s="2" t="s">
        <v>37</v>
      </c>
      <c r="C1393" s="2">
        <v>1380</v>
      </c>
      <c r="D1393" s="7">
        <v>1500</v>
      </c>
      <c r="H1393" s="1" t="s">
        <v>502</v>
      </c>
      <c r="I1393" s="8">
        <v>43500</v>
      </c>
      <c r="J1393" s="16" t="s">
        <v>503</v>
      </c>
      <c r="M1393" s="10">
        <f t="shared" si="184"/>
        <v>0</v>
      </c>
    </row>
    <row r="1394" spans="1:14" ht="15" hidden="1" customHeight="1" x14ac:dyDescent="0.2">
      <c r="A1394" s="1" t="s">
        <v>501</v>
      </c>
      <c r="B1394" s="2" t="s">
        <v>38</v>
      </c>
      <c r="C1394" s="2">
        <v>1300</v>
      </c>
      <c r="D1394" s="7">
        <v>500</v>
      </c>
      <c r="H1394" s="1" t="s">
        <v>502</v>
      </c>
      <c r="I1394" s="8">
        <v>43500</v>
      </c>
      <c r="J1394" s="16" t="s">
        <v>503</v>
      </c>
      <c r="M1394" s="10">
        <f t="shared" si="184"/>
        <v>0</v>
      </c>
    </row>
    <row r="1395" spans="1:14" ht="15" hidden="1" customHeight="1" x14ac:dyDescent="0.2">
      <c r="A1395" s="1" t="s">
        <v>501</v>
      </c>
      <c r="B1395" s="2" t="s">
        <v>38</v>
      </c>
      <c r="C1395" s="2">
        <v>1350</v>
      </c>
      <c r="D1395" s="7">
        <v>500</v>
      </c>
      <c r="H1395" s="1" t="s">
        <v>502</v>
      </c>
      <c r="I1395" s="8">
        <v>43500</v>
      </c>
      <c r="J1395" s="16" t="s">
        <v>503</v>
      </c>
      <c r="M1395" s="10">
        <f t="shared" si="184"/>
        <v>0</v>
      </c>
    </row>
    <row r="1396" spans="1:14" ht="15" hidden="1" customHeight="1" x14ac:dyDescent="0.2">
      <c r="A1396" s="1" t="s">
        <v>501</v>
      </c>
      <c r="B1396" s="2" t="s">
        <v>38</v>
      </c>
      <c r="C1396" s="2">
        <v>1400</v>
      </c>
      <c r="D1396" s="7">
        <v>500</v>
      </c>
      <c r="H1396" s="1" t="s">
        <v>502</v>
      </c>
      <c r="I1396" s="8">
        <v>43500</v>
      </c>
      <c r="J1396" s="16" t="s">
        <v>503</v>
      </c>
      <c r="M1396" s="10">
        <f t="shared" si="184"/>
        <v>0</v>
      </c>
    </row>
    <row r="1397" spans="1:14" s="148" customFormat="1" ht="15" hidden="1" customHeight="1" x14ac:dyDescent="0.2">
      <c r="A1397" s="142" t="s">
        <v>501</v>
      </c>
      <c r="B1397" s="143" t="s">
        <v>36</v>
      </c>
      <c r="C1397" s="143">
        <v>1240</v>
      </c>
      <c r="D1397" s="144">
        <v>1000</v>
      </c>
      <c r="E1397" s="142">
        <f>778.6+215.2</f>
        <v>993.8</v>
      </c>
      <c r="F1397" s="142" t="s">
        <v>8</v>
      </c>
      <c r="G1397" s="145">
        <v>1</v>
      </c>
      <c r="H1397" s="142" t="s">
        <v>502</v>
      </c>
      <c r="I1397" s="146">
        <v>43500</v>
      </c>
      <c r="J1397" s="142" t="s">
        <v>503</v>
      </c>
      <c r="K1397" s="142"/>
      <c r="L1397" s="142">
        <v>1</v>
      </c>
      <c r="M1397" s="10">
        <f t="shared" si="184"/>
        <v>1240</v>
      </c>
      <c r="N1397" s="147">
        <f t="shared" ref="N1397:N1401" si="185">(D1397-E1397)/(M1397*0.17)</f>
        <v>2.9411764705882568E-2</v>
      </c>
    </row>
    <row r="1398" spans="1:14" s="148" customFormat="1" ht="15" hidden="1" customHeight="1" x14ac:dyDescent="0.2">
      <c r="A1398" s="142" t="s">
        <v>501</v>
      </c>
      <c r="B1398" s="143" t="s">
        <v>36</v>
      </c>
      <c r="C1398" s="143">
        <v>1300</v>
      </c>
      <c r="D1398" s="144">
        <v>1000</v>
      </c>
      <c r="E1398" s="142">
        <f>822.6+226.9</f>
        <v>1049.5</v>
      </c>
      <c r="F1398" s="142" t="s">
        <v>8</v>
      </c>
      <c r="G1398" s="145">
        <v>1</v>
      </c>
      <c r="H1398" s="142" t="s">
        <v>502</v>
      </c>
      <c r="I1398" s="146">
        <v>43500</v>
      </c>
      <c r="J1398" s="142" t="s">
        <v>503</v>
      </c>
      <c r="K1398" s="142"/>
      <c r="L1398" s="142">
        <v>1</v>
      </c>
      <c r="M1398" s="10">
        <f t="shared" si="184"/>
        <v>1300</v>
      </c>
      <c r="N1398" s="147">
        <f t="shared" si="185"/>
        <v>-0.22398190045248867</v>
      </c>
    </row>
    <row r="1399" spans="1:14" s="71" customFormat="1" ht="15" hidden="1" customHeight="1" x14ac:dyDescent="0.2">
      <c r="A1399" s="65" t="s">
        <v>501</v>
      </c>
      <c r="B1399" s="66" t="s">
        <v>36</v>
      </c>
      <c r="C1399" s="66">
        <v>1360</v>
      </c>
      <c r="D1399" s="67">
        <v>500</v>
      </c>
      <c r="E1399" s="65">
        <f>592.3</f>
        <v>592.29999999999995</v>
      </c>
      <c r="F1399" s="65" t="s">
        <v>8</v>
      </c>
      <c r="G1399" s="68">
        <v>1</v>
      </c>
      <c r="H1399" s="65" t="s">
        <v>502</v>
      </c>
      <c r="I1399" s="69">
        <v>43500</v>
      </c>
      <c r="J1399" s="65" t="s">
        <v>503</v>
      </c>
      <c r="K1399" s="65"/>
      <c r="L1399" s="65">
        <v>1</v>
      </c>
      <c r="M1399" s="10">
        <f t="shared" si="184"/>
        <v>1360</v>
      </c>
      <c r="N1399" s="70">
        <f t="shared" si="185"/>
        <v>-0.39922145328719699</v>
      </c>
    </row>
    <row r="1400" spans="1:14" s="148" customFormat="1" ht="15" hidden="1" customHeight="1" x14ac:dyDescent="0.2">
      <c r="A1400" s="142" t="s">
        <v>501</v>
      </c>
      <c r="B1400" s="143" t="s">
        <v>36</v>
      </c>
      <c r="C1400" s="143">
        <v>1400</v>
      </c>
      <c r="D1400" s="144">
        <v>1000</v>
      </c>
      <c r="E1400" s="142">
        <f>1037.8</f>
        <v>1037.8</v>
      </c>
      <c r="F1400" s="142" t="s">
        <v>8</v>
      </c>
      <c r="G1400" s="145">
        <v>1</v>
      </c>
      <c r="H1400" s="142" t="s">
        <v>502</v>
      </c>
      <c r="I1400" s="146">
        <v>43500</v>
      </c>
      <c r="J1400" s="142" t="s">
        <v>503</v>
      </c>
      <c r="K1400" s="142"/>
      <c r="L1400" s="142">
        <v>1</v>
      </c>
      <c r="M1400" s="142">
        <f t="shared" si="184"/>
        <v>1400</v>
      </c>
      <c r="N1400" s="147">
        <f t="shared" si="185"/>
        <v>-0.1588235294117645</v>
      </c>
    </row>
    <row r="1401" spans="1:14" s="104" customFormat="1" x14ac:dyDescent="0.2">
      <c r="A1401" s="98" t="s">
        <v>491</v>
      </c>
      <c r="B1401" s="99" t="s">
        <v>39</v>
      </c>
      <c r="C1401" s="99">
        <v>900</v>
      </c>
      <c r="D1401" s="100">
        <v>3000</v>
      </c>
      <c r="E1401" s="98"/>
      <c r="F1401" s="98"/>
      <c r="G1401" s="101" t="s">
        <v>146</v>
      </c>
      <c r="H1401" s="98" t="s">
        <v>502</v>
      </c>
      <c r="I1401" s="102">
        <v>43500</v>
      </c>
      <c r="J1401" s="98" t="s">
        <v>504</v>
      </c>
      <c r="K1401" s="98"/>
      <c r="L1401" s="98">
        <v>1</v>
      </c>
      <c r="M1401" s="98">
        <f t="shared" si="184"/>
        <v>900</v>
      </c>
      <c r="N1401" s="103">
        <f t="shared" si="185"/>
        <v>19.607843137254903</v>
      </c>
    </row>
    <row r="1402" spans="1:14" ht="15" hidden="1" customHeight="1" x14ac:dyDescent="0.2">
      <c r="A1402" s="1" t="s">
        <v>491</v>
      </c>
      <c r="B1402" s="2" t="s">
        <v>37</v>
      </c>
      <c r="C1402" s="2">
        <v>1080</v>
      </c>
      <c r="D1402" s="7">
        <v>2000</v>
      </c>
      <c r="H1402" s="1" t="s">
        <v>502</v>
      </c>
      <c r="I1402" s="8">
        <v>43500</v>
      </c>
      <c r="J1402" s="16" t="s">
        <v>504</v>
      </c>
      <c r="M1402" s="10">
        <f t="shared" si="184"/>
        <v>0</v>
      </c>
    </row>
    <row r="1403" spans="1:14" s="158" customFormat="1" ht="15" customHeight="1" x14ac:dyDescent="0.2">
      <c r="A1403" s="152" t="s">
        <v>505</v>
      </c>
      <c r="B1403" s="153" t="s">
        <v>39</v>
      </c>
      <c r="C1403" s="91">
        <v>170</v>
      </c>
      <c r="D1403" s="154">
        <v>500</v>
      </c>
      <c r="E1403" s="152"/>
      <c r="F1403" s="152" t="s">
        <v>8</v>
      </c>
      <c r="G1403" s="155" t="s">
        <v>146</v>
      </c>
      <c r="H1403" s="152" t="s">
        <v>467</v>
      </c>
      <c r="I1403" s="156">
        <v>43501</v>
      </c>
      <c r="J1403" s="152" t="s">
        <v>506</v>
      </c>
      <c r="K1403" s="152"/>
      <c r="L1403" s="152">
        <v>6</v>
      </c>
      <c r="M1403" s="152">
        <f t="shared" si="184"/>
        <v>1020</v>
      </c>
      <c r="N1403" s="157">
        <f t="shared" ref="N1403:N1404" si="186">(D1403-E1403)/(M1403*0.17)</f>
        <v>2.8835063437139561</v>
      </c>
    </row>
    <row r="1404" spans="1:14" s="158" customFormat="1" ht="15" customHeight="1" x14ac:dyDescent="0.2">
      <c r="A1404" s="152" t="s">
        <v>505</v>
      </c>
      <c r="B1404" s="153" t="s">
        <v>39</v>
      </c>
      <c r="C1404" s="91">
        <v>180</v>
      </c>
      <c r="D1404" s="154">
        <v>200</v>
      </c>
      <c r="E1404" s="152"/>
      <c r="F1404" s="152" t="s">
        <v>8</v>
      </c>
      <c r="G1404" s="155" t="s">
        <v>146</v>
      </c>
      <c r="H1404" s="152" t="s">
        <v>467</v>
      </c>
      <c r="I1404" s="156">
        <v>43501</v>
      </c>
      <c r="J1404" s="152" t="s">
        <v>506</v>
      </c>
      <c r="K1404" s="152"/>
      <c r="L1404" s="152">
        <v>5</v>
      </c>
      <c r="M1404" s="152">
        <f t="shared" si="184"/>
        <v>900</v>
      </c>
      <c r="N1404" s="157">
        <f t="shared" si="186"/>
        <v>1.3071895424836601</v>
      </c>
    </row>
    <row r="1405" spans="1:14" ht="15" hidden="1" customHeight="1" x14ac:dyDescent="0.2">
      <c r="A1405" s="1" t="s">
        <v>507</v>
      </c>
      <c r="B1405" s="2" t="s">
        <v>40</v>
      </c>
      <c r="C1405" s="2">
        <v>1020</v>
      </c>
      <c r="D1405" s="7">
        <v>4000</v>
      </c>
      <c r="I1405" s="8">
        <v>43501</v>
      </c>
      <c r="J1405" s="16" t="s">
        <v>13</v>
      </c>
      <c r="M1405" s="10">
        <f t="shared" si="184"/>
        <v>0</v>
      </c>
    </row>
    <row r="1406" spans="1:14" ht="15" hidden="1" customHeight="1" x14ac:dyDescent="0.2">
      <c r="A1406" s="1" t="s">
        <v>507</v>
      </c>
      <c r="B1406" s="2" t="s">
        <v>40</v>
      </c>
      <c r="C1406" s="2">
        <v>1100</v>
      </c>
      <c r="D1406" s="7">
        <v>750</v>
      </c>
      <c r="I1406" s="8">
        <v>43501</v>
      </c>
      <c r="J1406" s="16" t="s">
        <v>13</v>
      </c>
      <c r="M1406" s="10">
        <f t="shared" si="184"/>
        <v>0</v>
      </c>
    </row>
    <row r="1407" spans="1:14" ht="15" hidden="1" customHeight="1" x14ac:dyDescent="0.2">
      <c r="A1407" s="1" t="s">
        <v>507</v>
      </c>
      <c r="B1407" s="2" t="s">
        <v>37</v>
      </c>
      <c r="C1407" s="2">
        <v>960</v>
      </c>
      <c r="D1407" s="7">
        <v>5400</v>
      </c>
      <c r="I1407" s="8">
        <v>43501</v>
      </c>
      <c r="J1407" s="16" t="s">
        <v>13</v>
      </c>
      <c r="M1407" s="10">
        <f t="shared" si="184"/>
        <v>0</v>
      </c>
    </row>
    <row r="1408" spans="1:14" ht="15" hidden="1" customHeight="1" x14ac:dyDescent="0.2">
      <c r="A1408" s="1" t="s">
        <v>508</v>
      </c>
      <c r="B1408" s="2" t="s">
        <v>40</v>
      </c>
      <c r="C1408" s="2">
        <v>680</v>
      </c>
      <c r="D1408" s="7">
        <v>600</v>
      </c>
      <c r="H1408" s="1" t="s">
        <v>25</v>
      </c>
      <c r="I1408" s="8">
        <v>43501</v>
      </c>
      <c r="J1408" s="16" t="s">
        <v>509</v>
      </c>
      <c r="M1408" s="10">
        <f t="shared" si="184"/>
        <v>0</v>
      </c>
    </row>
    <row r="1409" spans="1:14" ht="15" hidden="1" customHeight="1" x14ac:dyDescent="0.2">
      <c r="A1409" s="1" t="s">
        <v>299</v>
      </c>
      <c r="B1409" s="2" t="s">
        <v>40</v>
      </c>
      <c r="C1409" s="2">
        <v>1120</v>
      </c>
      <c r="D1409" s="7">
        <v>550</v>
      </c>
      <c r="H1409" s="1" t="s">
        <v>451</v>
      </c>
      <c r="I1409" s="8">
        <v>43502</v>
      </c>
      <c r="J1409" s="16" t="s">
        <v>266</v>
      </c>
      <c r="L1409" s="10">
        <v>1</v>
      </c>
      <c r="N1409" s="29" t="e">
        <f t="shared" ref="N1409" si="187">(D1409-E1409)/(M1409*0.17)</f>
        <v>#DIV/0!</v>
      </c>
    </row>
    <row r="1410" spans="1:14" ht="15" hidden="1" customHeight="1" x14ac:dyDescent="0.2">
      <c r="A1410" s="1" t="s">
        <v>299</v>
      </c>
      <c r="B1410" s="2" t="s">
        <v>40</v>
      </c>
      <c r="C1410" s="2">
        <v>1100</v>
      </c>
      <c r="D1410" s="7">
        <v>400</v>
      </c>
      <c r="H1410" s="1" t="s">
        <v>451</v>
      </c>
      <c r="I1410" s="8">
        <v>43502</v>
      </c>
      <c r="J1410" s="16" t="s">
        <v>266</v>
      </c>
      <c r="L1410" s="10">
        <v>1</v>
      </c>
    </row>
    <row r="1411" spans="1:14" ht="15" hidden="1" customHeight="1" x14ac:dyDescent="0.2">
      <c r="A1411" s="1" t="s">
        <v>299</v>
      </c>
      <c r="B1411" s="2" t="s">
        <v>40</v>
      </c>
      <c r="C1411" s="2">
        <v>1190</v>
      </c>
      <c r="D1411" s="7">
        <v>2300</v>
      </c>
      <c r="H1411" s="1" t="s">
        <v>451</v>
      </c>
      <c r="I1411" s="8">
        <v>43502</v>
      </c>
      <c r="J1411" s="16" t="s">
        <v>266</v>
      </c>
      <c r="L1411" s="10">
        <v>1</v>
      </c>
    </row>
    <row r="1412" spans="1:14" ht="15" hidden="1" customHeight="1" x14ac:dyDescent="0.2">
      <c r="A1412" s="1" t="s">
        <v>510</v>
      </c>
      <c r="B1412" s="2" t="s">
        <v>40</v>
      </c>
      <c r="C1412" s="2">
        <v>620</v>
      </c>
      <c r="D1412" s="7">
        <v>2000</v>
      </c>
      <c r="I1412" s="8">
        <v>43502</v>
      </c>
      <c r="J1412" s="16" t="s">
        <v>511</v>
      </c>
    </row>
    <row r="1413" spans="1:14" s="158" customFormat="1" ht="15" customHeight="1" x14ac:dyDescent="0.2">
      <c r="A1413" s="152" t="s">
        <v>512</v>
      </c>
      <c r="B1413" s="153" t="s">
        <v>39</v>
      </c>
      <c r="C1413" s="153">
        <v>705</v>
      </c>
      <c r="D1413" s="154">
        <v>162</v>
      </c>
      <c r="E1413" s="152"/>
      <c r="F1413" s="152" t="s">
        <v>8</v>
      </c>
      <c r="G1413" s="155" t="s">
        <v>146</v>
      </c>
      <c r="H1413" s="152" t="s">
        <v>513</v>
      </c>
      <c r="I1413" s="156">
        <v>43502</v>
      </c>
      <c r="J1413" s="152" t="s">
        <v>514</v>
      </c>
      <c r="K1413" s="152" t="s">
        <v>515</v>
      </c>
      <c r="L1413" s="152">
        <v>1</v>
      </c>
      <c r="M1413" s="152">
        <f t="shared" ref="M1413:M1416" si="188">L1413*C1413</f>
        <v>705</v>
      </c>
      <c r="N1413" s="157">
        <f t="shared" ref="N1413:N1461" si="189">(D1413-E1413)/(M1413*0.17)</f>
        <v>1.3516896120150186</v>
      </c>
    </row>
    <row r="1414" spans="1:14" ht="15" hidden="1" customHeight="1" x14ac:dyDescent="0.2">
      <c r="A1414" s="1" t="s">
        <v>516</v>
      </c>
      <c r="B1414" s="2" t="s">
        <v>38</v>
      </c>
      <c r="C1414" s="2">
        <v>240</v>
      </c>
      <c r="D1414" s="7">
        <v>100</v>
      </c>
      <c r="H1414" s="1" t="s">
        <v>314</v>
      </c>
      <c r="I1414" s="8">
        <v>43502</v>
      </c>
      <c r="J1414" s="16" t="s">
        <v>315</v>
      </c>
      <c r="L1414" s="10">
        <v>1</v>
      </c>
      <c r="M1414" s="10">
        <f t="shared" si="188"/>
        <v>240</v>
      </c>
      <c r="N1414" s="29">
        <f t="shared" si="189"/>
        <v>2.4509803921568625</v>
      </c>
    </row>
    <row r="1415" spans="1:14" ht="15" hidden="1" customHeight="1" x14ac:dyDescent="0.2">
      <c r="A1415" s="1" t="s">
        <v>516</v>
      </c>
      <c r="B1415" s="2" t="s">
        <v>38</v>
      </c>
      <c r="C1415" s="2">
        <v>375</v>
      </c>
      <c r="D1415" s="7">
        <v>100</v>
      </c>
      <c r="H1415" s="1" t="s">
        <v>314</v>
      </c>
      <c r="I1415" s="8">
        <v>43502</v>
      </c>
      <c r="J1415" s="16" t="s">
        <v>315</v>
      </c>
      <c r="L1415" s="10">
        <v>1</v>
      </c>
      <c r="M1415" s="10">
        <f t="shared" si="188"/>
        <v>375</v>
      </c>
      <c r="N1415" s="29">
        <f t="shared" si="189"/>
        <v>1.5686274509803919</v>
      </c>
    </row>
    <row r="1416" spans="1:14" ht="15" hidden="1" customHeight="1" x14ac:dyDescent="0.2">
      <c r="A1416" s="1" t="s">
        <v>517</v>
      </c>
      <c r="B1416" s="2" t="s">
        <v>38</v>
      </c>
      <c r="C1416" s="2">
        <v>450</v>
      </c>
      <c r="D1416" s="7">
        <v>1000</v>
      </c>
      <c r="I1416" s="8">
        <v>43502</v>
      </c>
      <c r="J1416" s="16" t="s">
        <v>518</v>
      </c>
      <c r="L1416" s="10">
        <v>1</v>
      </c>
      <c r="M1416" s="10">
        <f t="shared" si="188"/>
        <v>450</v>
      </c>
      <c r="N1416" s="29">
        <f t="shared" si="189"/>
        <v>13.071895424836601</v>
      </c>
    </row>
    <row r="1417" spans="1:14" ht="15" hidden="1" customHeight="1" x14ac:dyDescent="0.2">
      <c r="A1417" s="1" t="s">
        <v>520</v>
      </c>
      <c r="B1417" s="2" t="s">
        <v>40</v>
      </c>
      <c r="C1417" s="2">
        <v>157</v>
      </c>
      <c r="D1417" s="7">
        <v>2</v>
      </c>
      <c r="I1417" s="8">
        <v>43502</v>
      </c>
      <c r="J1417" s="16" t="s">
        <v>7</v>
      </c>
      <c r="N1417" s="29" t="e">
        <f t="shared" si="189"/>
        <v>#DIV/0!</v>
      </c>
    </row>
    <row r="1418" spans="1:14" ht="15" hidden="1" customHeight="1" x14ac:dyDescent="0.2">
      <c r="A1418" s="1" t="s">
        <v>519</v>
      </c>
      <c r="B1418" s="2" t="s">
        <v>38</v>
      </c>
      <c r="C1418" s="2">
        <v>450</v>
      </c>
      <c r="D1418" s="7">
        <v>500</v>
      </c>
      <c r="I1418" s="8">
        <v>43502</v>
      </c>
      <c r="J1418" s="16" t="s">
        <v>7</v>
      </c>
      <c r="N1418" s="29" t="e">
        <f t="shared" si="189"/>
        <v>#DIV/0!</v>
      </c>
    </row>
    <row r="1419" spans="1:14" ht="15" hidden="1" customHeight="1" x14ac:dyDescent="0.2">
      <c r="A1419" s="1" t="s">
        <v>519</v>
      </c>
      <c r="B1419" s="2" t="s">
        <v>38</v>
      </c>
      <c r="C1419" s="2">
        <v>510</v>
      </c>
      <c r="D1419" s="7">
        <v>300</v>
      </c>
      <c r="I1419" s="8">
        <v>43502</v>
      </c>
      <c r="J1419" s="16" t="s">
        <v>7</v>
      </c>
      <c r="N1419" s="29" t="e">
        <f t="shared" si="189"/>
        <v>#DIV/0!</v>
      </c>
    </row>
    <row r="1420" spans="1:14" ht="15" hidden="1" customHeight="1" x14ac:dyDescent="0.2">
      <c r="A1420" s="1" t="s">
        <v>521</v>
      </c>
      <c r="B1420" s="2" t="s">
        <v>38</v>
      </c>
      <c r="C1420" s="2">
        <v>930</v>
      </c>
      <c r="D1420" s="7">
        <v>200</v>
      </c>
      <c r="H1420" s="1" t="s">
        <v>28</v>
      </c>
      <c r="I1420" s="8">
        <v>43502</v>
      </c>
      <c r="J1420" s="16" t="s">
        <v>17</v>
      </c>
      <c r="N1420" s="29" t="e">
        <f t="shared" si="189"/>
        <v>#DIV/0!</v>
      </c>
    </row>
    <row r="1421" spans="1:14" s="158" customFormat="1" ht="15" customHeight="1" x14ac:dyDescent="0.2">
      <c r="A1421" s="152" t="s">
        <v>522</v>
      </c>
      <c r="B1421" s="153" t="s">
        <v>39</v>
      </c>
      <c r="C1421" s="91">
        <v>260</v>
      </c>
      <c r="D1421" s="154">
        <v>150</v>
      </c>
      <c r="E1421" s="152"/>
      <c r="F1421" s="152"/>
      <c r="G1421" s="155" t="s">
        <v>146</v>
      </c>
      <c r="H1421" s="152">
        <v>300</v>
      </c>
      <c r="I1421" s="156">
        <v>43502</v>
      </c>
      <c r="J1421" s="152" t="s">
        <v>197</v>
      </c>
      <c r="K1421" s="152"/>
      <c r="L1421" s="152">
        <v>3</v>
      </c>
      <c r="M1421" s="152">
        <f t="shared" ref="M1421:M1424" si="190">L1421*C1421</f>
        <v>780</v>
      </c>
      <c r="N1421" s="157">
        <f t="shared" si="189"/>
        <v>1.1312217194570133</v>
      </c>
    </row>
    <row r="1422" spans="1:14" x14ac:dyDescent="0.2">
      <c r="A1422" s="1" t="s">
        <v>522</v>
      </c>
      <c r="B1422" s="2" t="s">
        <v>39</v>
      </c>
      <c r="C1422" s="2">
        <v>420</v>
      </c>
      <c r="D1422" s="7">
        <v>500</v>
      </c>
      <c r="G1422" s="41">
        <v>4</v>
      </c>
      <c r="H1422" s="1">
        <v>300</v>
      </c>
      <c r="I1422" s="8">
        <v>43502</v>
      </c>
      <c r="J1422" s="16" t="s">
        <v>197</v>
      </c>
      <c r="L1422" s="10">
        <v>3</v>
      </c>
      <c r="M1422" s="10">
        <f t="shared" si="190"/>
        <v>1260</v>
      </c>
      <c r="N1422" s="29">
        <f t="shared" si="189"/>
        <v>2.3342670401493928</v>
      </c>
    </row>
    <row r="1423" spans="1:14" s="158" customFormat="1" ht="15" customHeight="1" x14ac:dyDescent="0.2">
      <c r="A1423" s="152" t="s">
        <v>522</v>
      </c>
      <c r="B1423" s="153" t="s">
        <v>39</v>
      </c>
      <c r="C1423" s="91">
        <v>480</v>
      </c>
      <c r="D1423" s="154">
        <v>160</v>
      </c>
      <c r="E1423" s="152"/>
      <c r="F1423" s="152" t="s">
        <v>8</v>
      </c>
      <c r="G1423" s="155" t="s">
        <v>146</v>
      </c>
      <c r="H1423" s="152">
        <v>300</v>
      </c>
      <c r="I1423" s="156">
        <v>43502</v>
      </c>
      <c r="J1423" s="152" t="s">
        <v>197</v>
      </c>
      <c r="K1423" s="152"/>
      <c r="L1423" s="152">
        <v>2</v>
      </c>
      <c r="M1423" s="152">
        <f t="shared" si="190"/>
        <v>960</v>
      </c>
      <c r="N1423" s="157">
        <f t="shared" si="189"/>
        <v>0.98039215686274495</v>
      </c>
    </row>
    <row r="1424" spans="1:14" s="158" customFormat="1" ht="15" customHeight="1" x14ac:dyDescent="0.2">
      <c r="A1424" s="152" t="s">
        <v>522</v>
      </c>
      <c r="B1424" s="153" t="s">
        <v>39</v>
      </c>
      <c r="C1424" s="91">
        <v>550</v>
      </c>
      <c r="D1424" s="154">
        <v>400</v>
      </c>
      <c r="E1424" s="152"/>
      <c r="F1424" s="152" t="s">
        <v>8</v>
      </c>
      <c r="G1424" s="155" t="s">
        <v>146</v>
      </c>
      <c r="H1424" s="152">
        <v>300</v>
      </c>
      <c r="I1424" s="156">
        <v>43502</v>
      </c>
      <c r="J1424" s="152" t="s">
        <v>197</v>
      </c>
      <c r="K1424" s="152"/>
      <c r="L1424" s="152">
        <v>2</v>
      </c>
      <c r="M1424" s="152">
        <f t="shared" si="190"/>
        <v>1100</v>
      </c>
      <c r="N1424" s="157">
        <f t="shared" si="189"/>
        <v>2.1390374331550803</v>
      </c>
    </row>
    <row r="1425" spans="1:14" ht="15" hidden="1" customHeight="1" x14ac:dyDescent="0.2">
      <c r="A1425" s="1" t="s">
        <v>522</v>
      </c>
      <c r="B1425" s="2" t="s">
        <v>37</v>
      </c>
      <c r="C1425" s="2">
        <v>500</v>
      </c>
      <c r="D1425" s="7">
        <v>1000</v>
      </c>
      <c r="H1425" s="1">
        <v>300</v>
      </c>
      <c r="I1425" s="8">
        <v>43502</v>
      </c>
      <c r="J1425" s="16" t="s">
        <v>197</v>
      </c>
      <c r="N1425" s="29" t="e">
        <f t="shared" si="189"/>
        <v>#DIV/0!</v>
      </c>
    </row>
    <row r="1426" spans="1:14" s="71" customFormat="1" ht="15" hidden="1" customHeight="1" x14ac:dyDescent="0.2">
      <c r="A1426" s="65" t="s">
        <v>522</v>
      </c>
      <c r="B1426" s="66" t="s">
        <v>36</v>
      </c>
      <c r="C1426" s="66">
        <v>800</v>
      </c>
      <c r="D1426" s="67">
        <v>200</v>
      </c>
      <c r="E1426" s="65">
        <f>191.9</f>
        <v>191.9</v>
      </c>
      <c r="F1426" s="65" t="s">
        <v>8</v>
      </c>
      <c r="G1426" s="68"/>
      <c r="H1426" s="65">
        <v>300</v>
      </c>
      <c r="I1426" s="69">
        <v>43502</v>
      </c>
      <c r="J1426" s="65" t="s">
        <v>197</v>
      </c>
      <c r="K1426" s="65"/>
      <c r="L1426" s="65"/>
      <c r="M1426" s="65">
        <f t="shared" ref="M1426:M1427" si="191">L1426*C1426</f>
        <v>0</v>
      </c>
      <c r="N1426" s="70" t="e">
        <f t="shared" si="189"/>
        <v>#DIV/0!</v>
      </c>
    </row>
    <row r="1427" spans="1:14" s="71" customFormat="1" ht="15" hidden="1" customHeight="1" x14ac:dyDescent="0.2">
      <c r="A1427" s="65" t="s">
        <v>523</v>
      </c>
      <c r="B1427" s="66" t="s">
        <v>36</v>
      </c>
      <c r="C1427" s="66">
        <v>480</v>
      </c>
      <c r="D1427" s="67">
        <v>1000</v>
      </c>
      <c r="E1427" s="65">
        <f>1132.6</f>
        <v>1132.5999999999999</v>
      </c>
      <c r="F1427" s="65" t="s">
        <v>8</v>
      </c>
      <c r="G1427" s="68"/>
      <c r="H1427" s="65"/>
      <c r="I1427" s="69">
        <v>43502</v>
      </c>
      <c r="J1427" s="65" t="s">
        <v>524</v>
      </c>
      <c r="K1427" s="65"/>
      <c r="L1427" s="65">
        <v>2</v>
      </c>
      <c r="M1427" s="65">
        <f t="shared" si="191"/>
        <v>960</v>
      </c>
      <c r="N1427" s="70">
        <f t="shared" si="189"/>
        <v>-0.81249999999999933</v>
      </c>
    </row>
    <row r="1428" spans="1:14" ht="15" hidden="1" customHeight="1" x14ac:dyDescent="0.2">
      <c r="A1428" s="1" t="s">
        <v>390</v>
      </c>
      <c r="B1428" s="2" t="s">
        <v>40</v>
      </c>
      <c r="C1428" s="2">
        <v>1280</v>
      </c>
      <c r="D1428" s="7">
        <v>500</v>
      </c>
      <c r="H1428" s="1" t="s">
        <v>25</v>
      </c>
      <c r="I1428" s="8">
        <v>43502</v>
      </c>
      <c r="J1428" s="16" t="s">
        <v>49</v>
      </c>
      <c r="N1428" s="29" t="e">
        <f t="shared" si="189"/>
        <v>#DIV/0!</v>
      </c>
    </row>
    <row r="1429" spans="1:14" ht="15" hidden="1" customHeight="1" x14ac:dyDescent="0.2">
      <c r="A1429" s="1" t="s">
        <v>390</v>
      </c>
      <c r="B1429" s="2" t="s">
        <v>40</v>
      </c>
      <c r="C1429" s="2">
        <v>1100</v>
      </c>
      <c r="D1429" s="7">
        <v>500</v>
      </c>
      <c r="H1429" s="1" t="s">
        <v>25</v>
      </c>
      <c r="I1429" s="8">
        <v>43502</v>
      </c>
      <c r="J1429" s="16" t="s">
        <v>49</v>
      </c>
      <c r="N1429" s="29" t="e">
        <f t="shared" si="189"/>
        <v>#DIV/0!</v>
      </c>
    </row>
    <row r="1430" spans="1:14" ht="15" hidden="1" customHeight="1" x14ac:dyDescent="0.2">
      <c r="A1430" s="1" t="s">
        <v>390</v>
      </c>
      <c r="B1430" s="2" t="s">
        <v>40</v>
      </c>
      <c r="C1430" s="2">
        <v>1320</v>
      </c>
      <c r="D1430" s="7">
        <v>1000</v>
      </c>
      <c r="H1430" s="1" t="s">
        <v>25</v>
      </c>
      <c r="I1430" s="8">
        <v>43502</v>
      </c>
      <c r="J1430" s="16" t="s">
        <v>49</v>
      </c>
      <c r="N1430" s="29" t="e">
        <f t="shared" si="189"/>
        <v>#DIV/0!</v>
      </c>
    </row>
    <row r="1431" spans="1:14" ht="15" hidden="1" customHeight="1" x14ac:dyDescent="0.2">
      <c r="A1431" s="1" t="s">
        <v>390</v>
      </c>
      <c r="B1431" s="2" t="s">
        <v>40</v>
      </c>
      <c r="C1431" s="2">
        <v>1380</v>
      </c>
      <c r="D1431" s="7">
        <v>1000</v>
      </c>
      <c r="H1431" s="1" t="s">
        <v>25</v>
      </c>
      <c r="I1431" s="8">
        <v>43502</v>
      </c>
      <c r="J1431" s="16" t="s">
        <v>49</v>
      </c>
      <c r="N1431" s="29" t="e">
        <f t="shared" si="189"/>
        <v>#DIV/0!</v>
      </c>
    </row>
    <row r="1432" spans="1:14" ht="15" hidden="1" customHeight="1" x14ac:dyDescent="0.2">
      <c r="A1432" s="1" t="s">
        <v>390</v>
      </c>
      <c r="B1432" s="2" t="s">
        <v>40</v>
      </c>
      <c r="C1432" s="2">
        <v>1200</v>
      </c>
      <c r="D1432" s="7">
        <v>1000</v>
      </c>
      <c r="H1432" s="1" t="s">
        <v>25</v>
      </c>
      <c r="I1432" s="8">
        <v>43502</v>
      </c>
      <c r="J1432" s="16" t="s">
        <v>49</v>
      </c>
      <c r="N1432" s="29" t="e">
        <f t="shared" si="189"/>
        <v>#DIV/0!</v>
      </c>
    </row>
    <row r="1433" spans="1:14" x14ac:dyDescent="0.2">
      <c r="A1433" s="1" t="s">
        <v>390</v>
      </c>
      <c r="B1433" s="2" t="s">
        <v>39</v>
      </c>
      <c r="C1433" s="2">
        <v>1200</v>
      </c>
      <c r="D1433" s="7">
        <v>500</v>
      </c>
      <c r="G1433" s="41">
        <v>3</v>
      </c>
      <c r="H1433" s="1" t="s">
        <v>25</v>
      </c>
      <c r="I1433" s="8">
        <v>43502</v>
      </c>
      <c r="J1433" s="16" t="s">
        <v>49</v>
      </c>
      <c r="L1433" s="10">
        <v>1</v>
      </c>
      <c r="M1433" s="10">
        <f t="shared" ref="M1433:M1437" si="192">L1433*C1433</f>
        <v>1200</v>
      </c>
      <c r="N1433" s="29">
        <f t="shared" si="189"/>
        <v>2.4509803921568625</v>
      </c>
    </row>
    <row r="1434" spans="1:14" x14ac:dyDescent="0.2">
      <c r="A1434" s="1" t="s">
        <v>390</v>
      </c>
      <c r="B1434" s="2" t="s">
        <v>39</v>
      </c>
      <c r="C1434" s="2">
        <v>1240</v>
      </c>
      <c r="D1434" s="7">
        <v>500</v>
      </c>
      <c r="G1434" s="41">
        <v>3</v>
      </c>
      <c r="H1434" s="1" t="s">
        <v>25</v>
      </c>
      <c r="I1434" s="8">
        <v>43502</v>
      </c>
      <c r="J1434" s="16" t="s">
        <v>49</v>
      </c>
      <c r="L1434" s="10">
        <v>1</v>
      </c>
      <c r="M1434" s="10">
        <f t="shared" si="192"/>
        <v>1240</v>
      </c>
      <c r="N1434" s="29">
        <f t="shared" si="189"/>
        <v>2.3719165085388991</v>
      </c>
    </row>
    <row r="1435" spans="1:14" x14ac:dyDescent="0.2">
      <c r="A1435" s="1" t="s">
        <v>390</v>
      </c>
      <c r="B1435" s="2" t="s">
        <v>39</v>
      </c>
      <c r="C1435" s="2">
        <v>1280</v>
      </c>
      <c r="D1435" s="7">
        <v>500</v>
      </c>
      <c r="G1435" s="41">
        <v>3</v>
      </c>
      <c r="H1435" s="1" t="s">
        <v>25</v>
      </c>
      <c r="I1435" s="8">
        <v>43502</v>
      </c>
      <c r="J1435" s="16" t="s">
        <v>49</v>
      </c>
      <c r="L1435" s="10">
        <v>1</v>
      </c>
      <c r="M1435" s="10">
        <f t="shared" si="192"/>
        <v>1280</v>
      </c>
      <c r="N1435" s="29">
        <f t="shared" si="189"/>
        <v>2.2977941176470584</v>
      </c>
    </row>
    <row r="1436" spans="1:14" x14ac:dyDescent="0.2">
      <c r="A1436" s="1" t="s">
        <v>390</v>
      </c>
      <c r="B1436" s="2" t="s">
        <v>39</v>
      </c>
      <c r="C1436" s="2">
        <v>1320</v>
      </c>
      <c r="D1436" s="7">
        <v>500</v>
      </c>
      <c r="G1436" s="41">
        <v>3</v>
      </c>
      <c r="H1436" s="1" t="s">
        <v>25</v>
      </c>
      <c r="I1436" s="8">
        <v>43502</v>
      </c>
      <c r="J1436" s="16" t="s">
        <v>49</v>
      </c>
      <c r="L1436" s="10">
        <v>1</v>
      </c>
      <c r="M1436" s="10">
        <f t="shared" si="192"/>
        <v>1320</v>
      </c>
      <c r="N1436" s="29">
        <f t="shared" si="189"/>
        <v>2.2281639928698751</v>
      </c>
    </row>
    <row r="1437" spans="1:14" x14ac:dyDescent="0.2">
      <c r="A1437" s="1" t="s">
        <v>390</v>
      </c>
      <c r="B1437" s="2" t="s">
        <v>39</v>
      </c>
      <c r="C1437" s="2">
        <v>1380</v>
      </c>
      <c r="D1437" s="7">
        <v>500</v>
      </c>
      <c r="G1437" s="41">
        <v>3</v>
      </c>
      <c r="H1437" s="1" t="s">
        <v>25</v>
      </c>
      <c r="I1437" s="8">
        <v>43502</v>
      </c>
      <c r="J1437" s="16" t="s">
        <v>49</v>
      </c>
      <c r="L1437" s="10">
        <v>1</v>
      </c>
      <c r="M1437" s="10">
        <f t="shared" si="192"/>
        <v>1380</v>
      </c>
      <c r="N1437" s="29">
        <f t="shared" si="189"/>
        <v>2.1312872975277064</v>
      </c>
    </row>
    <row r="1438" spans="1:14" ht="15" hidden="1" customHeight="1" x14ac:dyDescent="0.2">
      <c r="A1438" s="1" t="s">
        <v>390</v>
      </c>
      <c r="B1438" s="2" t="s">
        <v>37</v>
      </c>
      <c r="C1438" s="2">
        <v>1050</v>
      </c>
      <c r="D1438" s="7">
        <v>1000</v>
      </c>
      <c r="H1438" s="1" t="s">
        <v>25</v>
      </c>
      <c r="I1438" s="8">
        <v>43502</v>
      </c>
      <c r="J1438" s="16" t="s">
        <v>49</v>
      </c>
      <c r="N1438" s="29" t="e">
        <f t="shared" si="189"/>
        <v>#DIV/0!</v>
      </c>
    </row>
    <row r="1439" spans="1:14" ht="15" hidden="1" customHeight="1" x14ac:dyDescent="0.2">
      <c r="A1439" s="1" t="s">
        <v>390</v>
      </c>
      <c r="B1439" s="2" t="s">
        <v>37</v>
      </c>
      <c r="C1439" s="2">
        <v>800</v>
      </c>
      <c r="D1439" s="7">
        <v>1000</v>
      </c>
      <c r="H1439" s="1" t="s">
        <v>25</v>
      </c>
      <c r="I1439" s="8">
        <v>43502</v>
      </c>
      <c r="J1439" s="16" t="s">
        <v>49</v>
      </c>
      <c r="N1439" s="29" t="e">
        <f t="shared" si="189"/>
        <v>#DIV/0!</v>
      </c>
    </row>
    <row r="1440" spans="1:14" ht="15" hidden="1" customHeight="1" x14ac:dyDescent="0.2">
      <c r="A1440" s="1" t="s">
        <v>390</v>
      </c>
      <c r="B1440" s="2" t="s">
        <v>37</v>
      </c>
      <c r="C1440" s="2">
        <v>1000</v>
      </c>
      <c r="D1440" s="7">
        <v>1000</v>
      </c>
      <c r="H1440" s="1" t="s">
        <v>25</v>
      </c>
      <c r="I1440" s="8">
        <v>43502</v>
      </c>
      <c r="J1440" s="16" t="s">
        <v>49</v>
      </c>
      <c r="N1440" s="29" t="e">
        <f t="shared" si="189"/>
        <v>#DIV/0!</v>
      </c>
    </row>
    <row r="1441" spans="1:14" ht="15" hidden="1" customHeight="1" x14ac:dyDescent="0.2">
      <c r="A1441" s="1" t="s">
        <v>390</v>
      </c>
      <c r="B1441" s="2" t="s">
        <v>37</v>
      </c>
      <c r="C1441" s="2">
        <v>900</v>
      </c>
      <c r="D1441" s="7">
        <v>1000</v>
      </c>
      <c r="H1441" s="1" t="s">
        <v>25</v>
      </c>
      <c r="I1441" s="8">
        <v>43502</v>
      </c>
      <c r="J1441" s="16" t="s">
        <v>49</v>
      </c>
      <c r="N1441" s="29" t="e">
        <f t="shared" si="189"/>
        <v>#DIV/0!</v>
      </c>
    </row>
    <row r="1442" spans="1:14" ht="15" hidden="1" customHeight="1" x14ac:dyDescent="0.2">
      <c r="A1442" s="1" t="s">
        <v>390</v>
      </c>
      <c r="B1442" s="2" t="s">
        <v>37</v>
      </c>
      <c r="C1442" s="2">
        <v>1300</v>
      </c>
      <c r="D1442" s="7">
        <v>1000</v>
      </c>
      <c r="H1442" s="1" t="s">
        <v>25</v>
      </c>
      <c r="I1442" s="8">
        <v>43502</v>
      </c>
      <c r="J1442" s="16" t="s">
        <v>49</v>
      </c>
      <c r="N1442" s="29" t="e">
        <f t="shared" si="189"/>
        <v>#DIV/0!</v>
      </c>
    </row>
    <row r="1443" spans="1:14" ht="15" hidden="1" customHeight="1" x14ac:dyDescent="0.2">
      <c r="A1443" s="1" t="s">
        <v>390</v>
      </c>
      <c r="B1443" s="2" t="s">
        <v>37</v>
      </c>
      <c r="C1443" s="2">
        <v>1360</v>
      </c>
      <c r="D1443" s="7">
        <v>1000</v>
      </c>
      <c r="H1443" s="1" t="s">
        <v>25</v>
      </c>
      <c r="I1443" s="8">
        <v>43502</v>
      </c>
      <c r="J1443" s="16" t="s">
        <v>49</v>
      </c>
      <c r="N1443" s="29" t="e">
        <f t="shared" si="189"/>
        <v>#DIV/0!</v>
      </c>
    </row>
    <row r="1444" spans="1:14" ht="15" hidden="1" customHeight="1" x14ac:dyDescent="0.2">
      <c r="A1444" s="1" t="s">
        <v>390</v>
      </c>
      <c r="B1444" s="2" t="s">
        <v>37</v>
      </c>
      <c r="C1444" s="2">
        <v>1400</v>
      </c>
      <c r="D1444" s="7">
        <v>1000</v>
      </c>
      <c r="H1444" s="1" t="s">
        <v>25</v>
      </c>
      <c r="I1444" s="8">
        <v>43502</v>
      </c>
      <c r="J1444" s="16" t="s">
        <v>49</v>
      </c>
      <c r="N1444" s="29" t="e">
        <f t="shared" si="189"/>
        <v>#DIV/0!</v>
      </c>
    </row>
    <row r="1445" spans="1:14" ht="15" hidden="1" customHeight="1" x14ac:dyDescent="0.2">
      <c r="A1445" s="1" t="s">
        <v>390</v>
      </c>
      <c r="B1445" s="2" t="s">
        <v>38</v>
      </c>
      <c r="C1445" s="2">
        <v>1200</v>
      </c>
      <c r="D1445" s="7">
        <v>500</v>
      </c>
      <c r="H1445" s="1" t="s">
        <v>25</v>
      </c>
      <c r="I1445" s="8">
        <v>43502</v>
      </c>
      <c r="J1445" s="16" t="s">
        <v>49</v>
      </c>
      <c r="N1445" s="29" t="e">
        <f t="shared" si="189"/>
        <v>#DIV/0!</v>
      </c>
    </row>
    <row r="1446" spans="1:14" ht="15" hidden="1" customHeight="1" x14ac:dyDescent="0.2">
      <c r="A1446" s="1" t="s">
        <v>390</v>
      </c>
      <c r="B1446" s="2" t="s">
        <v>38</v>
      </c>
      <c r="C1446" s="2">
        <v>1300</v>
      </c>
      <c r="D1446" s="7">
        <v>1000</v>
      </c>
      <c r="H1446" s="1" t="s">
        <v>25</v>
      </c>
      <c r="I1446" s="8">
        <v>43502</v>
      </c>
      <c r="J1446" s="16" t="s">
        <v>49</v>
      </c>
      <c r="N1446" s="29" t="e">
        <f t="shared" si="189"/>
        <v>#DIV/0!</v>
      </c>
    </row>
    <row r="1447" spans="1:14" ht="15" hidden="1" customHeight="1" x14ac:dyDescent="0.2">
      <c r="A1447" s="1" t="s">
        <v>390</v>
      </c>
      <c r="B1447" s="2" t="s">
        <v>38</v>
      </c>
      <c r="C1447" s="2">
        <v>1400</v>
      </c>
      <c r="D1447" s="7">
        <v>1000</v>
      </c>
      <c r="H1447" s="1" t="s">
        <v>25</v>
      </c>
      <c r="I1447" s="8">
        <v>43502</v>
      </c>
      <c r="J1447" s="16" t="s">
        <v>49</v>
      </c>
      <c r="N1447" s="29" t="e">
        <f t="shared" si="189"/>
        <v>#DIV/0!</v>
      </c>
    </row>
    <row r="1448" spans="1:14" ht="15" hidden="1" customHeight="1" x14ac:dyDescent="0.2">
      <c r="A1448" s="1" t="s">
        <v>390</v>
      </c>
      <c r="B1448" s="2" t="s">
        <v>36</v>
      </c>
      <c r="C1448" s="2">
        <v>1380</v>
      </c>
      <c r="D1448" s="7">
        <v>1000</v>
      </c>
      <c r="H1448" s="1" t="s">
        <v>25</v>
      </c>
      <c r="I1448" s="8">
        <v>43502</v>
      </c>
      <c r="J1448" s="16" t="s">
        <v>49</v>
      </c>
      <c r="M1448" s="10">
        <f t="shared" ref="M1448:M1452" si="193">L1448*C1448</f>
        <v>0</v>
      </c>
      <c r="N1448" s="29" t="e">
        <f t="shared" si="189"/>
        <v>#DIV/0!</v>
      </c>
    </row>
    <row r="1449" spans="1:14" ht="15" hidden="1" customHeight="1" x14ac:dyDescent="0.2">
      <c r="A1449" s="1" t="s">
        <v>390</v>
      </c>
      <c r="B1449" s="2" t="s">
        <v>36</v>
      </c>
      <c r="C1449" s="2">
        <v>1300</v>
      </c>
      <c r="D1449" s="7">
        <v>1000</v>
      </c>
      <c r="H1449" s="1" t="s">
        <v>25</v>
      </c>
      <c r="I1449" s="8">
        <v>43502</v>
      </c>
      <c r="J1449" s="16" t="s">
        <v>49</v>
      </c>
      <c r="M1449" s="10">
        <f t="shared" si="193"/>
        <v>0</v>
      </c>
      <c r="N1449" s="29" t="e">
        <f t="shared" si="189"/>
        <v>#DIV/0!</v>
      </c>
    </row>
    <row r="1450" spans="1:14" ht="15" hidden="1" customHeight="1" x14ac:dyDescent="0.2">
      <c r="A1450" s="1" t="s">
        <v>390</v>
      </c>
      <c r="B1450" s="2" t="s">
        <v>36</v>
      </c>
      <c r="C1450" s="2">
        <v>1240</v>
      </c>
      <c r="D1450" s="7">
        <v>1000</v>
      </c>
      <c r="H1450" s="1" t="s">
        <v>25</v>
      </c>
      <c r="I1450" s="8">
        <v>43502</v>
      </c>
      <c r="J1450" s="16" t="s">
        <v>49</v>
      </c>
      <c r="M1450" s="10">
        <f t="shared" si="193"/>
        <v>0</v>
      </c>
      <c r="N1450" s="29" t="e">
        <f t="shared" si="189"/>
        <v>#DIV/0!</v>
      </c>
    </row>
    <row r="1451" spans="1:14" x14ac:dyDescent="0.2">
      <c r="A1451" s="1" t="s">
        <v>525</v>
      </c>
      <c r="B1451" s="2" t="s">
        <v>39</v>
      </c>
      <c r="C1451" s="2">
        <v>800</v>
      </c>
      <c r="D1451" s="7">
        <v>3000</v>
      </c>
      <c r="G1451" s="41">
        <v>3</v>
      </c>
      <c r="H1451" s="1">
        <v>600</v>
      </c>
      <c r="I1451" s="8">
        <v>43502</v>
      </c>
      <c r="J1451" s="16" t="s">
        <v>163</v>
      </c>
      <c r="L1451" s="10">
        <v>1</v>
      </c>
      <c r="M1451" s="10">
        <f t="shared" si="193"/>
        <v>800</v>
      </c>
      <c r="N1451" s="29">
        <f t="shared" si="189"/>
        <v>22.058823529411764</v>
      </c>
    </row>
    <row r="1452" spans="1:14" x14ac:dyDescent="0.2">
      <c r="A1452" s="1" t="s">
        <v>525</v>
      </c>
      <c r="B1452" s="2" t="s">
        <v>39</v>
      </c>
      <c r="C1452" s="2">
        <v>840</v>
      </c>
      <c r="D1452" s="7">
        <v>2000</v>
      </c>
      <c r="G1452" s="41">
        <v>3</v>
      </c>
      <c r="H1452" s="1">
        <v>600</v>
      </c>
      <c r="I1452" s="8">
        <v>43502</v>
      </c>
      <c r="J1452" s="16" t="s">
        <v>163</v>
      </c>
      <c r="L1452" s="10">
        <v>1</v>
      </c>
      <c r="M1452" s="10">
        <f t="shared" si="193"/>
        <v>840</v>
      </c>
      <c r="N1452" s="29">
        <f t="shared" si="189"/>
        <v>14.005602240896357</v>
      </c>
    </row>
    <row r="1453" spans="1:14" ht="15" hidden="1" customHeight="1" x14ac:dyDescent="0.2">
      <c r="A1453" s="1" t="s">
        <v>525</v>
      </c>
      <c r="B1453" s="2" t="s">
        <v>37</v>
      </c>
      <c r="C1453" s="2">
        <v>800</v>
      </c>
      <c r="D1453" s="7">
        <v>1500</v>
      </c>
      <c r="H1453" s="1">
        <v>600</v>
      </c>
      <c r="I1453" s="8">
        <v>43502</v>
      </c>
      <c r="J1453" s="16" t="s">
        <v>163</v>
      </c>
      <c r="N1453" s="29" t="e">
        <f t="shared" si="189"/>
        <v>#DIV/0!</v>
      </c>
    </row>
    <row r="1454" spans="1:14" ht="15" hidden="1" customHeight="1" x14ac:dyDescent="0.2">
      <c r="A1454" s="1" t="s">
        <v>525</v>
      </c>
      <c r="B1454" s="2" t="s">
        <v>37</v>
      </c>
      <c r="C1454" s="2">
        <v>780</v>
      </c>
      <c r="D1454" s="7">
        <v>1000</v>
      </c>
      <c r="H1454" s="1">
        <v>600</v>
      </c>
      <c r="I1454" s="8">
        <v>43502</v>
      </c>
      <c r="J1454" s="16" t="s">
        <v>163</v>
      </c>
      <c r="N1454" s="29" t="e">
        <f t="shared" si="189"/>
        <v>#DIV/0!</v>
      </c>
    </row>
    <row r="1455" spans="1:14" s="71" customFormat="1" ht="15" hidden="1" customHeight="1" x14ac:dyDescent="0.2">
      <c r="A1455" s="65" t="s">
        <v>499</v>
      </c>
      <c r="B1455" s="66" t="s">
        <v>36</v>
      </c>
      <c r="C1455" s="66">
        <v>860</v>
      </c>
      <c r="D1455" s="67"/>
      <c r="E1455" s="65">
        <f>486.8</f>
        <v>486.8</v>
      </c>
      <c r="F1455" s="65" t="s">
        <v>528</v>
      </c>
      <c r="G1455" s="68"/>
      <c r="H1455" s="65"/>
      <c r="I1455" s="65"/>
      <c r="J1455" s="65"/>
      <c r="K1455" s="65"/>
      <c r="L1455" s="65"/>
      <c r="M1455" s="10">
        <f t="shared" ref="M1455:M1457" si="194">L1455*C1455</f>
        <v>0</v>
      </c>
      <c r="N1455" s="29" t="e">
        <f t="shared" si="189"/>
        <v>#DIV/0!</v>
      </c>
    </row>
    <row r="1456" spans="1:14" ht="15" hidden="1" customHeight="1" x14ac:dyDescent="0.2">
      <c r="A1456" s="1" t="s">
        <v>270</v>
      </c>
      <c r="B1456" s="2" t="s">
        <v>36</v>
      </c>
      <c r="C1456" s="2">
        <v>720</v>
      </c>
      <c r="E1456" s="1">
        <f>349.5+727.5</f>
        <v>1077</v>
      </c>
      <c r="L1456" s="10">
        <v>1</v>
      </c>
      <c r="M1456" s="10">
        <f t="shared" si="194"/>
        <v>720</v>
      </c>
      <c r="N1456" s="29">
        <f t="shared" si="189"/>
        <v>-8.7990196078431371</v>
      </c>
    </row>
    <row r="1457" spans="1:14" s="71" customFormat="1" ht="15" hidden="1" customHeight="1" x14ac:dyDescent="0.2">
      <c r="A1457" s="65" t="s">
        <v>206</v>
      </c>
      <c r="B1457" s="66" t="s">
        <v>36</v>
      </c>
      <c r="C1457" s="66">
        <v>1020</v>
      </c>
      <c r="D1457" s="67">
        <v>1000</v>
      </c>
      <c r="E1457" s="65">
        <f>998.2</f>
        <v>998.2</v>
      </c>
      <c r="F1457" s="65" t="s">
        <v>8</v>
      </c>
      <c r="G1457" s="68"/>
      <c r="H1457" s="65"/>
      <c r="I1457" s="65" t="s">
        <v>527</v>
      </c>
      <c r="J1457" s="65" t="s">
        <v>526</v>
      </c>
      <c r="K1457" s="65"/>
      <c r="L1457" s="65">
        <v>1</v>
      </c>
      <c r="M1457" s="65">
        <f t="shared" si="194"/>
        <v>1020</v>
      </c>
      <c r="N1457" s="70">
        <f t="shared" si="189"/>
        <v>1.038062283736998E-2</v>
      </c>
    </row>
    <row r="1458" spans="1:14" ht="15" hidden="1" customHeight="1" x14ac:dyDescent="0.2">
      <c r="A1458" s="1" t="s">
        <v>299</v>
      </c>
      <c r="B1458" s="2" t="s">
        <v>37</v>
      </c>
      <c r="C1458" s="2">
        <v>1040</v>
      </c>
      <c r="D1458" s="7">
        <v>1100</v>
      </c>
      <c r="I1458" s="1">
        <v>6.02</v>
      </c>
      <c r="J1458" s="16" t="s">
        <v>298</v>
      </c>
    </row>
    <row r="1459" spans="1:14" ht="15" hidden="1" customHeight="1" x14ac:dyDescent="0.2">
      <c r="M1459" s="10">
        <f t="shared" ref="M1459:M1473" si="195">L1459*C1459</f>
        <v>0</v>
      </c>
      <c r="N1459" s="29" t="e">
        <f t="shared" si="189"/>
        <v>#DIV/0!</v>
      </c>
    </row>
    <row r="1460" spans="1:14" ht="15" hidden="1" customHeight="1" x14ac:dyDescent="0.2">
      <c r="M1460" s="10">
        <f t="shared" si="195"/>
        <v>0</v>
      </c>
      <c r="N1460" s="29" t="e">
        <f t="shared" si="189"/>
        <v>#DIV/0!</v>
      </c>
    </row>
    <row r="1461" spans="1:14" ht="15" hidden="1" customHeight="1" x14ac:dyDescent="0.2">
      <c r="M1461" s="10">
        <f t="shared" si="195"/>
        <v>0</v>
      </c>
      <c r="N1461" s="29" t="e">
        <f t="shared" si="189"/>
        <v>#DIV/0!</v>
      </c>
    </row>
    <row r="1462" spans="1:14" ht="15" hidden="1" customHeight="1" x14ac:dyDescent="0.2">
      <c r="M1462" s="10">
        <f t="shared" si="195"/>
        <v>0</v>
      </c>
    </row>
    <row r="1463" spans="1:14" ht="15" hidden="1" customHeight="1" x14ac:dyDescent="0.2">
      <c r="M1463" s="10">
        <f t="shared" si="195"/>
        <v>0</v>
      </c>
    </row>
    <row r="1464" spans="1:14" ht="15" hidden="1" customHeight="1" x14ac:dyDescent="0.2">
      <c r="M1464" s="10">
        <f t="shared" si="195"/>
        <v>0</v>
      </c>
    </row>
    <row r="1465" spans="1:14" ht="15" hidden="1" customHeight="1" x14ac:dyDescent="0.2">
      <c r="M1465" s="10">
        <f t="shared" si="195"/>
        <v>0</v>
      </c>
    </row>
    <row r="1466" spans="1:14" ht="15" hidden="1" customHeight="1" x14ac:dyDescent="0.2">
      <c r="M1466" s="10">
        <f t="shared" si="195"/>
        <v>0</v>
      </c>
    </row>
    <row r="1467" spans="1:14" ht="15" hidden="1" customHeight="1" x14ac:dyDescent="0.2">
      <c r="M1467" s="10">
        <f t="shared" si="195"/>
        <v>0</v>
      </c>
    </row>
    <row r="1468" spans="1:14" ht="15" hidden="1" customHeight="1" x14ac:dyDescent="0.2">
      <c r="M1468" s="10">
        <f t="shared" si="195"/>
        <v>0</v>
      </c>
    </row>
    <row r="1469" spans="1:14" ht="15" hidden="1" customHeight="1" x14ac:dyDescent="0.2">
      <c r="M1469" s="10">
        <f t="shared" si="195"/>
        <v>0</v>
      </c>
    </row>
    <row r="1470" spans="1:14" ht="15" hidden="1" customHeight="1" x14ac:dyDescent="0.2">
      <c r="M1470" s="10">
        <f t="shared" si="195"/>
        <v>0</v>
      </c>
    </row>
    <row r="1471" spans="1:14" s="71" customFormat="1" ht="15" hidden="1" customHeight="1" x14ac:dyDescent="0.2">
      <c r="A1471" s="65" t="s">
        <v>299</v>
      </c>
      <c r="B1471" s="66" t="s">
        <v>39</v>
      </c>
      <c r="C1471" s="66">
        <v>880</v>
      </c>
      <c r="D1471" s="67">
        <v>1600</v>
      </c>
      <c r="E1471" s="65">
        <f>1632.1</f>
        <v>1632.1</v>
      </c>
      <c r="F1471" s="65" t="s">
        <v>8</v>
      </c>
      <c r="G1471" s="68">
        <v>1</v>
      </c>
      <c r="H1471" s="65"/>
      <c r="I1471" s="69">
        <v>43503</v>
      </c>
      <c r="J1471" s="65" t="s">
        <v>266</v>
      </c>
      <c r="K1471" s="65"/>
      <c r="L1471" s="65">
        <v>1</v>
      </c>
      <c r="M1471" s="65">
        <f t="shared" si="195"/>
        <v>880</v>
      </c>
      <c r="N1471" s="70">
        <f t="shared" ref="N1471:N1473" si="196">(D1471-E1471)/(M1471*0.17)</f>
        <v>-0.21457219251336834</v>
      </c>
    </row>
    <row r="1472" spans="1:14" s="71" customFormat="1" ht="15" hidden="1" customHeight="1" x14ac:dyDescent="0.2">
      <c r="A1472" s="65" t="s">
        <v>299</v>
      </c>
      <c r="B1472" s="66" t="s">
        <v>39</v>
      </c>
      <c r="C1472" s="66">
        <v>995</v>
      </c>
      <c r="D1472" s="67">
        <v>350</v>
      </c>
      <c r="E1472" s="65">
        <f>341</f>
        <v>341</v>
      </c>
      <c r="F1472" s="65" t="s">
        <v>8</v>
      </c>
      <c r="G1472" s="68">
        <v>1</v>
      </c>
      <c r="H1472" s="65"/>
      <c r="I1472" s="69">
        <v>43503</v>
      </c>
      <c r="J1472" s="65" t="s">
        <v>266</v>
      </c>
      <c r="K1472" s="65"/>
      <c r="L1472" s="65">
        <v>1</v>
      </c>
      <c r="M1472" s="65">
        <f t="shared" si="195"/>
        <v>995</v>
      </c>
      <c r="N1472" s="70">
        <f t="shared" si="196"/>
        <v>5.3207212533254507E-2</v>
      </c>
    </row>
    <row r="1473" spans="1:14" s="71" customFormat="1" ht="15" hidden="1" customHeight="1" x14ac:dyDescent="0.2">
      <c r="A1473" s="65" t="s">
        <v>299</v>
      </c>
      <c r="B1473" s="66" t="s">
        <v>39</v>
      </c>
      <c r="C1473" s="66">
        <v>1060</v>
      </c>
      <c r="D1473" s="67">
        <v>300</v>
      </c>
      <c r="E1473" s="65">
        <f>360.3</f>
        <v>360.3</v>
      </c>
      <c r="F1473" s="65" t="s">
        <v>8</v>
      </c>
      <c r="G1473" s="68">
        <v>1</v>
      </c>
      <c r="H1473" s="65"/>
      <c r="I1473" s="69">
        <v>43503</v>
      </c>
      <c r="J1473" s="65" t="s">
        <v>266</v>
      </c>
      <c r="K1473" s="65"/>
      <c r="L1473" s="65">
        <v>1</v>
      </c>
      <c r="M1473" s="65">
        <f t="shared" si="195"/>
        <v>1060</v>
      </c>
      <c r="N1473" s="70">
        <f t="shared" si="196"/>
        <v>-0.33462819089900114</v>
      </c>
    </row>
    <row r="1474" spans="1:14" ht="15" hidden="1" customHeight="1" x14ac:dyDescent="0.2">
      <c r="A1474" s="1" t="s">
        <v>299</v>
      </c>
      <c r="B1474" s="2" t="s">
        <v>39</v>
      </c>
      <c r="C1474" s="2">
        <v>1140</v>
      </c>
      <c r="D1474" s="7">
        <v>550</v>
      </c>
      <c r="F1474" s="1" t="s">
        <v>201</v>
      </c>
      <c r="G1474" s="41">
        <v>1</v>
      </c>
      <c r="I1474" s="8">
        <v>43503</v>
      </c>
      <c r="J1474" s="16" t="s">
        <v>266</v>
      </c>
    </row>
    <row r="1475" spans="1:14" ht="15" hidden="1" customHeight="1" x14ac:dyDescent="0.2">
      <c r="A1475" s="1" t="s">
        <v>529</v>
      </c>
      <c r="B1475" s="2" t="s">
        <v>38</v>
      </c>
      <c r="C1475" s="2">
        <v>1200</v>
      </c>
      <c r="D1475" s="7">
        <v>2000</v>
      </c>
      <c r="I1475" s="8">
        <v>43503</v>
      </c>
      <c r="J1475" s="16" t="s">
        <v>530</v>
      </c>
    </row>
    <row r="1476" spans="1:14" ht="15" hidden="1" customHeight="1" x14ac:dyDescent="0.2">
      <c r="A1476" s="1" t="s">
        <v>529</v>
      </c>
      <c r="B1476" s="2" t="s">
        <v>37</v>
      </c>
      <c r="C1476" s="2">
        <v>1160</v>
      </c>
      <c r="D1476" s="7">
        <v>1000</v>
      </c>
      <c r="I1476" s="8">
        <v>43503</v>
      </c>
      <c r="J1476" s="16" t="s">
        <v>530</v>
      </c>
    </row>
    <row r="1477" spans="1:14" ht="15" hidden="1" customHeight="1" x14ac:dyDescent="0.2">
      <c r="A1477" s="1" t="s">
        <v>244</v>
      </c>
      <c r="B1477" s="2" t="s">
        <v>39</v>
      </c>
      <c r="C1477" s="2">
        <v>120</v>
      </c>
      <c r="D1477" s="7">
        <v>5</v>
      </c>
      <c r="E1477" s="1">
        <v>5</v>
      </c>
      <c r="F1477" s="1" t="s">
        <v>8</v>
      </c>
      <c r="M1477" s="10">
        <f t="shared" ref="M1477" si="197">L1477*C1477</f>
        <v>0</v>
      </c>
      <c r="N1477" s="29" t="e">
        <f t="shared" ref="N1477" si="198">(D1477-E1477)/(M1477*0.17)</f>
        <v>#DIV/0!</v>
      </c>
    </row>
    <row r="1478" spans="1:14" ht="15" hidden="1" customHeight="1" x14ac:dyDescent="0.2">
      <c r="A1478" s="109"/>
      <c r="C1478" s="150"/>
      <c r="D1478" s="61"/>
      <c r="E1478" s="109"/>
    </row>
    <row r="1479" spans="1:14" ht="15" hidden="1" customHeight="1" x14ac:dyDescent="0.2"/>
    <row r="1480" spans="1:14" ht="15" hidden="1" customHeight="1" x14ac:dyDescent="0.2">
      <c r="A1480" s="109"/>
      <c r="C1480" s="150"/>
      <c r="D1480" s="61"/>
      <c r="E1480" s="109"/>
    </row>
    <row r="1481" spans="1:14" ht="15" hidden="1" customHeight="1" x14ac:dyDescent="0.2">
      <c r="A1481" s="109"/>
      <c r="B1481" s="150"/>
      <c r="C1481" s="150"/>
      <c r="D1481" s="61"/>
      <c r="E1481" s="109"/>
    </row>
    <row r="1482" spans="1:14" ht="15" hidden="1" customHeight="1" x14ac:dyDescent="0.2">
      <c r="A1482" s="1" t="s">
        <v>532</v>
      </c>
      <c r="B1482" s="2" t="s">
        <v>37</v>
      </c>
      <c r="C1482" s="2">
        <v>395</v>
      </c>
      <c r="D1482" s="7">
        <v>500</v>
      </c>
      <c r="H1482" s="1">
        <v>300</v>
      </c>
      <c r="I1482" s="8">
        <v>43504</v>
      </c>
      <c r="J1482" s="16" t="s">
        <v>538</v>
      </c>
    </row>
    <row r="1483" spans="1:14" ht="15" hidden="1" customHeight="1" x14ac:dyDescent="0.2">
      <c r="A1483" s="1" t="s">
        <v>533</v>
      </c>
      <c r="B1483" s="2" t="s">
        <v>36</v>
      </c>
      <c r="C1483" s="2">
        <v>1000</v>
      </c>
      <c r="D1483" s="7">
        <v>200</v>
      </c>
      <c r="H1483" s="1" t="s">
        <v>534</v>
      </c>
      <c r="I1483" s="8">
        <v>43504</v>
      </c>
      <c r="J1483" s="16" t="s">
        <v>535</v>
      </c>
    </row>
    <row r="1484" spans="1:14" ht="15" hidden="1" customHeight="1" x14ac:dyDescent="0.2">
      <c r="A1484" s="1" t="s">
        <v>536</v>
      </c>
      <c r="B1484" s="2" t="s">
        <v>36</v>
      </c>
      <c r="C1484" s="2">
        <v>250</v>
      </c>
      <c r="D1484" s="7">
        <v>500</v>
      </c>
      <c r="H1484" s="1">
        <v>300</v>
      </c>
      <c r="I1484" s="8">
        <v>43504</v>
      </c>
      <c r="J1484" s="16" t="s">
        <v>537</v>
      </c>
    </row>
    <row r="1496" spans="6:6" x14ac:dyDescent="0.2">
      <c r="F1496" s="151"/>
    </row>
  </sheetData>
  <autoFilter ref="A3:IU1484" xr:uid="{00000000-0009-0000-0000-000002000000}">
    <filterColumn colId="1">
      <filters>
        <filter val="СН1 25"/>
      </filters>
    </filterColumn>
    <filterColumn colId="5">
      <filters blank="1"/>
    </filterColumn>
  </autoFilter>
  <mergeCells count="7">
    <mergeCell ref="K1:K3"/>
    <mergeCell ref="A1:A3"/>
    <mergeCell ref="B1:B3"/>
    <mergeCell ref="D1:D3"/>
    <mergeCell ref="I1:I3"/>
    <mergeCell ref="J1:J3"/>
    <mergeCell ref="E1:E3"/>
  </mergeCells>
  <pageMargins left="0.70866141732283472" right="0.70866141732283472" top="0.74803149606299213" bottom="0.74803149606299213" header="0.31496062992125984" footer="0.31496062992125984"/>
  <pageSetup paperSize="9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2019</vt:lpstr>
      <vt:lpstr>Диаграмма2</vt:lpstr>
      <vt:lpstr>Диаграмма1</vt:lpstr>
    </vt:vector>
  </TitlesOfParts>
  <Company>MoBIL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Pavel</cp:lastModifiedBy>
  <cp:lastPrinted>2019-02-08T14:25:50Z</cp:lastPrinted>
  <dcterms:created xsi:type="dcterms:W3CDTF">2012-10-15T09:25:23Z</dcterms:created>
  <dcterms:modified xsi:type="dcterms:W3CDTF">2019-05-18T15:09:06Z</dcterms:modified>
</cp:coreProperties>
</file>