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asas_000\Documents\COMERCIAL\Sem X\Ayudantia CONTA\AYUDANTIAS\"/>
    </mc:Choice>
  </mc:AlternateContent>
  <bookViews>
    <workbookView xWindow="0" yWindow="0" windowWidth="20490" windowHeight="7125"/>
  </bookViews>
  <sheets>
    <sheet name="Tema I" sheetId="1" r:id="rId1"/>
    <sheet name="Tema I (errores comunes)" sheetId="2" r:id="rId2"/>
    <sheet name="Tema II" sheetId="4" r:id="rId3"/>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5" i="4" l="1"/>
  <c r="C73" i="4"/>
  <c r="C72" i="4"/>
  <c r="F29" i="4"/>
  <c r="C14" i="4"/>
  <c r="C71" i="4"/>
  <c r="C11" i="4"/>
  <c r="C68" i="4"/>
  <c r="E21" i="4"/>
  <c r="E62" i="4"/>
  <c r="D21" i="4"/>
  <c r="D62" i="4"/>
  <c r="C21" i="4"/>
  <c r="C62" i="4"/>
  <c r="E59" i="4"/>
  <c r="E61" i="4"/>
  <c r="D59" i="4"/>
  <c r="D61" i="4"/>
  <c r="C59" i="4"/>
  <c r="C61" i="4"/>
  <c r="E60" i="4"/>
  <c r="D60" i="4"/>
  <c r="C60" i="4"/>
  <c r="F56" i="4"/>
  <c r="C44" i="4"/>
  <c r="D44" i="4"/>
  <c r="E44" i="4"/>
  <c r="F44" i="4"/>
  <c r="C43" i="4"/>
  <c r="D43" i="4"/>
  <c r="E43" i="4"/>
  <c r="F43" i="4"/>
  <c r="C25" i="4"/>
  <c r="C26" i="4"/>
  <c r="C27" i="4"/>
  <c r="C32" i="4"/>
  <c r="C42" i="4"/>
  <c r="D25" i="4"/>
  <c r="D26" i="4"/>
  <c r="D27" i="4"/>
  <c r="D32" i="4"/>
  <c r="D42" i="4"/>
  <c r="E25" i="4"/>
  <c r="E26" i="4"/>
  <c r="E27" i="4"/>
  <c r="E32" i="4"/>
  <c r="E42" i="4"/>
  <c r="F42" i="4"/>
  <c r="C34" i="4"/>
  <c r="C35" i="4"/>
  <c r="C36" i="4"/>
  <c r="C37" i="4"/>
  <c r="C38" i="4"/>
  <c r="C39" i="4"/>
  <c r="F23" i="4"/>
  <c r="J15" i="4"/>
  <c r="I15" i="4"/>
  <c r="J14" i="4"/>
  <c r="I14" i="4"/>
  <c r="J13" i="4"/>
  <c r="I13" i="4"/>
  <c r="J12" i="4"/>
  <c r="I12" i="4"/>
  <c r="J11" i="4"/>
  <c r="I11" i="4"/>
  <c r="J10" i="4"/>
  <c r="I10" i="4"/>
  <c r="J9" i="4"/>
  <c r="I9" i="4"/>
  <c r="G7" i="4"/>
  <c r="L6" i="4"/>
  <c r="K6" i="4"/>
  <c r="J6" i="4"/>
  <c r="I6" i="4"/>
  <c r="L5" i="4"/>
  <c r="K5" i="4"/>
  <c r="J5" i="4"/>
  <c r="I5" i="4"/>
  <c r="L4" i="4"/>
  <c r="K4" i="4"/>
  <c r="J4" i="4"/>
  <c r="I4" i="4"/>
  <c r="L3" i="4"/>
  <c r="K3" i="4"/>
  <c r="J3" i="4"/>
  <c r="I3" i="4"/>
  <c r="L2" i="4"/>
  <c r="K2" i="4"/>
  <c r="J2" i="4"/>
  <c r="C16" i="2"/>
  <c r="E18" i="2"/>
  <c r="F34" i="2"/>
  <c r="C15" i="2"/>
  <c r="D18" i="2"/>
  <c r="E34" i="2"/>
  <c r="C14" i="2"/>
  <c r="C18" i="2"/>
  <c r="D32" i="2"/>
  <c r="D34" i="2"/>
  <c r="H20" i="2"/>
  <c r="C20" i="2"/>
  <c r="C29" i="2"/>
  <c r="C50" i="2"/>
  <c r="D20" i="2"/>
  <c r="D29" i="2"/>
  <c r="D50" i="2"/>
  <c r="E20" i="2"/>
  <c r="E29" i="2"/>
  <c r="E50" i="2"/>
  <c r="C52" i="2"/>
  <c r="D52" i="2"/>
  <c r="F22" i="2"/>
  <c r="C37" i="2"/>
  <c r="C44" i="2"/>
  <c r="C43" i="2"/>
  <c r="C42" i="2"/>
  <c r="C41" i="2"/>
  <c r="C40" i="2"/>
  <c r="C39" i="2"/>
  <c r="H21" i="2"/>
  <c r="E21" i="2"/>
  <c r="E22" i="2"/>
  <c r="E23" i="2"/>
  <c r="E24" i="2"/>
  <c r="E25" i="2"/>
  <c r="E28" i="2"/>
  <c r="D21" i="2"/>
  <c r="D22" i="2"/>
  <c r="D23" i="2"/>
  <c r="D24" i="2"/>
  <c r="D25" i="2"/>
  <c r="D28" i="2"/>
  <c r="C21" i="2"/>
  <c r="C22" i="2"/>
  <c r="C23" i="2"/>
  <c r="C24" i="2"/>
  <c r="C25" i="2"/>
  <c r="C28" i="2"/>
  <c r="E26" i="2"/>
  <c r="D26" i="2"/>
  <c r="C26" i="2"/>
  <c r="F25" i="2"/>
  <c r="F24" i="2"/>
  <c r="F23" i="2"/>
  <c r="G22" i="2"/>
  <c r="F21" i="2"/>
  <c r="F20" i="2"/>
  <c r="C15" i="1"/>
  <c r="E17" i="1"/>
  <c r="F33" i="1"/>
  <c r="C14" i="1"/>
  <c r="D17" i="1"/>
  <c r="E33" i="1"/>
  <c r="C13" i="1"/>
  <c r="C17" i="1"/>
  <c r="D31" i="1"/>
  <c r="D33" i="1"/>
  <c r="C19" i="1"/>
  <c r="C28" i="1"/>
  <c r="C49" i="1"/>
  <c r="D19" i="1"/>
  <c r="D28" i="1"/>
  <c r="D49" i="1"/>
  <c r="E19" i="1"/>
  <c r="E28" i="1"/>
  <c r="E49" i="1"/>
  <c r="C51" i="1"/>
  <c r="D51" i="1"/>
  <c r="F21" i="1"/>
  <c r="C36" i="1"/>
  <c r="C43" i="1"/>
  <c r="C42" i="1"/>
  <c r="C41" i="1"/>
  <c r="C40" i="1"/>
  <c r="C39" i="1"/>
  <c r="C38" i="1"/>
  <c r="E20" i="1"/>
  <c r="E21" i="1"/>
  <c r="E22" i="1"/>
  <c r="E23" i="1"/>
  <c r="E24" i="1"/>
  <c r="E27" i="1"/>
  <c r="D20" i="1"/>
  <c r="D21" i="1"/>
  <c r="D22" i="1"/>
  <c r="D23" i="1"/>
  <c r="D24" i="1"/>
  <c r="D27" i="1"/>
  <c r="C20" i="1"/>
  <c r="C21" i="1"/>
  <c r="C22" i="1"/>
  <c r="C23" i="1"/>
  <c r="C24" i="1"/>
  <c r="C27" i="1"/>
  <c r="E25" i="1"/>
  <c r="D25" i="1"/>
  <c r="C25" i="1"/>
  <c r="F24" i="1"/>
  <c r="F23" i="1"/>
  <c r="F22" i="1"/>
  <c r="G21" i="1"/>
  <c r="F20" i="1"/>
  <c r="F19" i="1"/>
  <c r="C37" i="1"/>
  <c r="C44" i="1"/>
  <c r="C46" i="1"/>
  <c r="D46" i="1"/>
  <c r="C38" i="2"/>
  <c r="C45" i="2"/>
  <c r="C47" i="2"/>
  <c r="D47" i="2"/>
  <c r="C66" i="4"/>
  <c r="C67" i="4"/>
  <c r="C74" i="4"/>
</calcChain>
</file>

<file path=xl/sharedStrings.xml><?xml version="1.0" encoding="utf-8"?>
<sst xmlns="http://schemas.openxmlformats.org/spreadsheetml/2006/main" count="195" uniqueCount="101">
  <si>
    <t>Septiembre:</t>
  </si>
  <si>
    <t>Clasificación Costo</t>
  </si>
  <si>
    <t>Valor</t>
  </si>
  <si>
    <t>Variable</t>
  </si>
  <si>
    <t>Fijo</t>
  </si>
  <si>
    <t>Criterio Asignación</t>
  </si>
  <si>
    <t>Materia Prima Directa (total)</t>
  </si>
  <si>
    <t>Proporción: 1 : 2 : 2,5</t>
  </si>
  <si>
    <t>Materia Prima Indirecta (total)</t>
  </si>
  <si>
    <t>Mano de Obra Directa (costo por hora)</t>
  </si>
  <si>
    <t>Mano de Obra Indirecta (Total)</t>
  </si>
  <si>
    <t>Partes iguales por tipo de producto</t>
  </si>
  <si>
    <t>Depreciación Mes</t>
  </si>
  <si>
    <t>Cantidad Producida</t>
  </si>
  <si>
    <t>Gastos Indirectos de Fabricación (total)</t>
  </si>
  <si>
    <t>Costos de Administración y Venta</t>
  </si>
  <si>
    <t>Cantidad Total</t>
  </si>
  <si>
    <t>% Prod</t>
  </si>
  <si>
    <t>Proporción MPD</t>
  </si>
  <si>
    <t>Horas</t>
  </si>
  <si>
    <t>Colchones 1 Plaza</t>
  </si>
  <si>
    <t>Colchones 2 Plazas</t>
  </si>
  <si>
    <t>Colchones King</t>
  </si>
  <si>
    <t>1 pto</t>
  </si>
  <si>
    <t>a.</t>
  </si>
  <si>
    <t>Costo Unitario</t>
  </si>
  <si>
    <t>1 Plaza</t>
  </si>
  <si>
    <t>2 Plazas</t>
  </si>
  <si>
    <t>King</t>
  </si>
  <si>
    <t>MPD</t>
  </si>
  <si>
    <t>1,5 pto</t>
  </si>
  <si>
    <t>MPI</t>
  </si>
  <si>
    <t>MOD</t>
  </si>
  <si>
    <t>0,5 pto</t>
  </si>
  <si>
    <t>MOI</t>
  </si>
  <si>
    <t>DEP.</t>
  </si>
  <si>
    <t>0,75 pto</t>
  </si>
  <si>
    <t>GIF</t>
  </si>
  <si>
    <t>Total (Costeo por Absorción)</t>
  </si>
  <si>
    <t>Costeo Variable</t>
  </si>
  <si>
    <t>Costeo Específico (Marginal o Supervariable)</t>
  </si>
  <si>
    <t>b.</t>
  </si>
  <si>
    <t>Cantidad Vendida</t>
  </si>
  <si>
    <t>Precio</t>
  </si>
  <si>
    <t>Stock fin de mes</t>
  </si>
  <si>
    <t>EERR (Sistema de Costeo Variable)</t>
  </si>
  <si>
    <t>Ingreso por Venta</t>
  </si>
  <si>
    <t>Costo de Venta</t>
  </si>
  <si>
    <t>MPI Fija</t>
  </si>
  <si>
    <t>MOD Fija</t>
  </si>
  <si>
    <t>MOI Fija</t>
  </si>
  <si>
    <t>GIF Fijos</t>
  </si>
  <si>
    <t>GAV</t>
  </si>
  <si>
    <t>Resultado del Ejercicio</t>
  </si>
  <si>
    <t>Valor Existencias</t>
  </si>
  <si>
    <t xml:space="preserve">c. </t>
  </si>
  <si>
    <t>Alternativa. No es la forma correcta de hacerlo, por lo tanto NO se le asigna todo el puntaje</t>
  </si>
  <si>
    <t>a)</t>
  </si>
  <si>
    <t>b)</t>
  </si>
  <si>
    <t>Escritorios</t>
  </si>
  <si>
    <t>Veladores</t>
  </si>
  <si>
    <t>Comedores</t>
  </si>
  <si>
    <t>Producción Abril</t>
  </si>
  <si>
    <t>Ventas Abril</t>
  </si>
  <si>
    <t>Costo Abril</t>
  </si>
  <si>
    <t>Materia Prima Directa (unitario)</t>
  </si>
  <si>
    <t>Mano de Obra Directa (total)</t>
  </si>
  <si>
    <t>Depreciación del mes</t>
  </si>
  <si>
    <t>Arriendo de Instalaciones</t>
  </si>
  <si>
    <t>Gastos Indirectos de Fabricación</t>
  </si>
  <si>
    <t>Gasto de Marketing</t>
  </si>
  <si>
    <t>Gastos de Administración y Ventas</t>
  </si>
  <si>
    <t>MPI proporción</t>
  </si>
  <si>
    <t>MPI (unitario)</t>
  </si>
  <si>
    <t>Costo por hora</t>
  </si>
  <si>
    <t>Depreciación (unitario)</t>
  </si>
  <si>
    <t>Arriendo (unitario)</t>
  </si>
  <si>
    <t>GIF fijos</t>
  </si>
  <si>
    <t>Bono por productividad supervisor</t>
  </si>
  <si>
    <t>Costo Unitario Absorción</t>
  </si>
  <si>
    <t>Ingresos</t>
  </si>
  <si>
    <t>Costo por ventas</t>
  </si>
  <si>
    <t>Margen bruto</t>
  </si>
  <si>
    <t>Utilidad</t>
  </si>
  <si>
    <t>Existencias</t>
  </si>
  <si>
    <t>Costeo por Absorción</t>
  </si>
  <si>
    <t>Costeo Supervariable</t>
  </si>
  <si>
    <t>c)</t>
  </si>
  <si>
    <t>Dado que la cantidad vendida es menor a la producida al jefe de la tienda le conviene que el bono se lo den usando el costeo por absorción pues activa en existencias tanto costos fijos como variables de las unidades que no se venden generando una mayor utilidad en el periodo. En ese caso, el jefe de tienda tiene el incentivo perverso a acumular existencias para mostrar mayor utilidad. Si el dueño de la tienda desea que el bono realmente incentive a que jefe de tienda venda más, debe usar un sistema de costeo variable o supervariable.</t>
  </si>
  <si>
    <t>d)</t>
  </si>
  <si>
    <t>Producción Mayo</t>
  </si>
  <si>
    <t>Ventas Mayo</t>
  </si>
  <si>
    <t>Quedaban de Abril</t>
  </si>
  <si>
    <t>Costo variable abril</t>
  </si>
  <si>
    <t>Vendidas y producidas en mayo</t>
  </si>
  <si>
    <t>Costo variable mayo</t>
  </si>
  <si>
    <t>Costo de ventas</t>
  </si>
  <si>
    <t>Margen Bruto</t>
  </si>
  <si>
    <t>Mano de Obra Directa</t>
  </si>
  <si>
    <t>Depreciación</t>
  </si>
  <si>
    <t>Arriendo</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</si>
</sst>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quot;$&quot;* #,##0.00_ ;_ &quot;$&quot;* \-#,##0.00_ ;_ &quot;$&quot;* &quot;-&quot;??_ ;_ @_ "/>
    <numFmt numFmtId="164" formatCode="&quot;$&quot;\ #,##0;[Red]\-&quot;$&quot;\ #,##0"/>
    <numFmt numFmtId="165" formatCode="_-* #,##0.00_-;\-* #,##0.00_-;_-* &quot;-&quot;??_-;_-@_-"/>
    <numFmt numFmtId="166" formatCode="_-* #,##0_-;\-* #,##0_-;_-* &quot;-&quot;??_-;_-@_-"/>
    <numFmt numFmtId="167" formatCode="_-* #,##0.0_-;\-* #,##0.0_-;_-* &quot;-&quot;??_-;_-@_-"/>
    <numFmt numFmtId="169" formatCode="&quot;$&quot;\ #,##0;\-&quot;$&quot;\ #,##0"/>
    <numFmt numFmtId="170" formatCode="#,##0_ ;\-#,##0\ "/>
    <numFmt numFmtId="172" formatCode="_-&quot;$&quot;\ * #,##0_-;\-&quot;$&quot;\ * #,##0_-;_-&quot;$&quot;\ * &quot;-&quot;??_-;_-@_-"/>
    <numFmt numFmtId="173" formatCode="&quot;$&quot;\ #,##0"/>
  </numFmts>
  <fonts count="6" x14ac:knownFonts="1">
    <font>
      <sz val="11"/>
      <color theme="1"/>
      <name val="Calibri"/>
      <family val="2"/>
      <scheme val="minor"/>
    </font>
    <font>
      <sz val="11"/>
      <color theme="1"/>
      <name val="Calibri"/>
      <family val="2"/>
      <scheme val="minor"/>
    </font>
    <font>
      <b/>
      <sz val="11"/>
      <color theme="1"/>
      <name val="Times New Roman"/>
      <family val="1"/>
    </font>
    <font>
      <sz val="11"/>
      <color theme="1"/>
      <name val="Times New Roman"/>
      <family val="1"/>
    </font>
    <font>
      <sz val="11"/>
      <color rgb="FFFF0000"/>
      <name val="Times New Roman"/>
      <family val="1"/>
    </font>
    <font>
      <sz val="11"/>
      <name val="Times New Roman"/>
      <family val="1"/>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165"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63">
    <xf numFmtId="0" fontId="0" fillId="0" borderId="0" xfId="0"/>
    <xf numFmtId="0" fontId="2" fillId="0" borderId="0" xfId="0" applyFont="1"/>
    <xf numFmtId="0" fontId="3" fillId="0" borderId="0" xfId="0" applyFont="1"/>
    <xf numFmtId="166" fontId="3" fillId="0" borderId="0" xfId="1" applyNumberFormat="1" applyFont="1"/>
    <xf numFmtId="0" fontId="3" fillId="0" borderId="0" xfId="0" applyFont="1" applyAlignment="1">
      <alignment horizontal="center"/>
    </xf>
    <xf numFmtId="0" fontId="2" fillId="0" borderId="1" xfId="0" applyFont="1" applyBorder="1"/>
    <xf numFmtId="166" fontId="2" fillId="0" borderId="1" xfId="1" applyNumberFormat="1" applyFont="1" applyBorder="1" applyAlignment="1">
      <alignment horizontal="center"/>
    </xf>
    <xf numFmtId="0" fontId="2" fillId="0" borderId="1" xfId="0" applyFont="1" applyBorder="1" applyAlignment="1">
      <alignment horizontal="center"/>
    </xf>
    <xf numFmtId="0" fontId="3" fillId="0" borderId="1" xfId="0" applyFont="1" applyBorder="1"/>
    <xf numFmtId="166" fontId="3" fillId="0" borderId="1" xfId="1" applyNumberFormat="1" applyFont="1" applyBorder="1"/>
    <xf numFmtId="9" fontId="3" fillId="0" borderId="1" xfId="2" applyFont="1" applyBorder="1" applyAlignment="1">
      <alignment horizontal="center"/>
    </xf>
    <xf numFmtId="47" fontId="3" fillId="0" borderId="0" xfId="0" applyNumberFormat="1" applyFont="1" applyFill="1"/>
    <xf numFmtId="0" fontId="3" fillId="0" borderId="0" xfId="0" applyFont="1" applyFill="1"/>
    <xf numFmtId="0" fontId="3" fillId="0" borderId="0" xfId="0" applyFont="1" applyAlignment="1">
      <alignment vertical="center"/>
    </xf>
    <xf numFmtId="166" fontId="3" fillId="0" borderId="0" xfId="1" applyNumberFormat="1" applyFont="1" applyFill="1" applyAlignment="1">
      <alignment vertical="center"/>
    </xf>
    <xf numFmtId="0" fontId="3" fillId="0" borderId="0" xfId="0" applyFont="1" applyFill="1" applyAlignment="1">
      <alignment horizontal="center" vertical="center"/>
    </xf>
    <xf numFmtId="0" fontId="3" fillId="0" borderId="0" xfId="0" applyFont="1" applyAlignment="1">
      <alignment horizontal="center" vertical="center" wrapText="1"/>
    </xf>
    <xf numFmtId="166" fontId="3" fillId="0" borderId="0" xfId="1" applyNumberFormat="1" applyFont="1" applyFill="1"/>
    <xf numFmtId="9" fontId="3" fillId="0" borderId="0" xfId="0" applyNumberFormat="1" applyFont="1" applyFill="1" applyAlignment="1">
      <alignment horizontal="center"/>
    </xf>
    <xf numFmtId="0" fontId="3" fillId="0" borderId="0" xfId="0" applyFont="1" applyFill="1" applyAlignment="1">
      <alignment horizontal="center"/>
    </xf>
    <xf numFmtId="166" fontId="3" fillId="0" borderId="0" xfId="0" applyNumberFormat="1" applyFont="1"/>
    <xf numFmtId="9" fontId="3" fillId="0" borderId="0" xfId="0" applyNumberFormat="1" applyFont="1" applyAlignment="1">
      <alignment horizontal="center"/>
    </xf>
    <xf numFmtId="166" fontId="3" fillId="0" borderId="0" xfId="0" applyNumberFormat="1" applyFont="1" applyAlignment="1">
      <alignment horizontal="center"/>
    </xf>
    <xf numFmtId="166" fontId="4" fillId="0" borderId="0" xfId="0" applyNumberFormat="1" applyFont="1" applyAlignment="1">
      <alignment horizontal="center"/>
    </xf>
    <xf numFmtId="166" fontId="2" fillId="0" borderId="0" xfId="1" applyNumberFormat="1" applyFont="1"/>
    <xf numFmtId="0" fontId="2" fillId="0" borderId="0" xfId="0" applyFont="1" applyAlignment="1">
      <alignment horizontal="center"/>
    </xf>
    <xf numFmtId="0" fontId="4" fillId="0" borderId="0" xfId="0" applyFont="1"/>
    <xf numFmtId="166" fontId="3" fillId="0" borderId="0" xfId="1" applyNumberFormat="1" applyFont="1" applyAlignment="1">
      <alignment horizontal="center"/>
    </xf>
    <xf numFmtId="0" fontId="4" fillId="0" borderId="0" xfId="0" applyFont="1" applyAlignment="1">
      <alignment horizontal="center"/>
    </xf>
    <xf numFmtId="166" fontId="4" fillId="0" borderId="0" xfId="1" applyNumberFormat="1" applyFont="1"/>
    <xf numFmtId="167" fontId="3" fillId="0" borderId="0" xfId="1" applyNumberFormat="1" applyFont="1"/>
    <xf numFmtId="166" fontId="3" fillId="0" borderId="0" xfId="1" applyNumberFormat="1" applyFont="1" applyBorder="1"/>
    <xf numFmtId="166" fontId="3" fillId="0" borderId="1" xfId="1" applyNumberFormat="1" applyFont="1" applyBorder="1" applyAlignment="1">
      <alignment horizontal="center"/>
    </xf>
    <xf numFmtId="0" fontId="3" fillId="0" borderId="2" xfId="0" applyFont="1" applyBorder="1"/>
    <xf numFmtId="166" fontId="3" fillId="2" borderId="0" xfId="1" applyNumberFormat="1" applyFont="1" applyFill="1" applyAlignment="1">
      <alignment horizontal="center"/>
    </xf>
    <xf numFmtId="166" fontId="5" fillId="0" borderId="0" xfId="1" applyNumberFormat="1" applyFont="1"/>
    <xf numFmtId="0" fontId="3" fillId="2" borderId="0" xfId="0" applyFont="1" applyFill="1" applyAlignment="1">
      <alignment horizontal="center"/>
    </xf>
    <xf numFmtId="0" fontId="3" fillId="0" borderId="3" xfId="0" applyFont="1" applyBorder="1"/>
    <xf numFmtId="0" fontId="3" fillId="0" borderId="1" xfId="0" applyFont="1" applyBorder="1" applyAlignment="1">
      <alignment horizontal="center"/>
    </xf>
    <xf numFmtId="0" fontId="3" fillId="0" borderId="4" xfId="0" applyFont="1" applyBorder="1"/>
    <xf numFmtId="0" fontId="3" fillId="0" borderId="5" xfId="0" applyFont="1" applyBorder="1" applyAlignment="1">
      <alignment horizontal="center"/>
    </xf>
    <xf numFmtId="0" fontId="3" fillId="0" borderId="0" xfId="0" applyFont="1" applyBorder="1"/>
    <xf numFmtId="169" fontId="3" fillId="0" borderId="1" xfId="1" applyNumberFormat="1" applyFont="1" applyBorder="1" applyAlignment="1">
      <alignment horizontal="center"/>
    </xf>
    <xf numFmtId="164" fontId="3" fillId="0" borderId="1" xfId="0" applyNumberFormat="1" applyFont="1" applyBorder="1" applyAlignment="1">
      <alignment horizontal="center"/>
    </xf>
    <xf numFmtId="170" fontId="3" fillId="0" borderId="1" xfId="1" applyNumberFormat="1" applyFont="1" applyBorder="1" applyAlignment="1">
      <alignment horizontal="center"/>
    </xf>
    <xf numFmtId="0" fontId="3" fillId="0" borderId="5" xfId="0" applyFont="1" applyBorder="1"/>
    <xf numFmtId="172" fontId="3" fillId="0" borderId="0" xfId="3" applyNumberFormat="1" applyFont="1"/>
    <xf numFmtId="164" fontId="3" fillId="0" borderId="1" xfId="0" applyNumberFormat="1" applyFont="1" applyBorder="1" applyAlignment="1">
      <alignment horizontal="center"/>
    </xf>
    <xf numFmtId="164" fontId="3" fillId="0" borderId="2" xfId="0" applyNumberFormat="1" applyFont="1" applyBorder="1" applyAlignment="1">
      <alignment horizontal="center"/>
    </xf>
    <xf numFmtId="164" fontId="3" fillId="0" borderId="5" xfId="0" applyNumberFormat="1" applyFont="1" applyBorder="1" applyAlignment="1">
      <alignment horizontal="center"/>
    </xf>
    <xf numFmtId="164" fontId="3" fillId="0" borderId="6" xfId="0" applyNumberFormat="1" applyFont="1" applyBorder="1" applyAlignment="1">
      <alignment horizontal="center"/>
    </xf>
    <xf numFmtId="164" fontId="3" fillId="0" borderId="5" xfId="0" applyNumberFormat="1" applyFont="1" applyBorder="1" applyAlignment="1">
      <alignment horizontal="center"/>
    </xf>
    <xf numFmtId="164" fontId="3" fillId="0" borderId="0" xfId="0" applyNumberFormat="1" applyFont="1" applyBorder="1" applyAlignment="1">
      <alignment horizontal="center"/>
    </xf>
    <xf numFmtId="1" fontId="3" fillId="0" borderId="0" xfId="0" applyNumberFormat="1" applyFont="1" applyBorder="1" applyAlignment="1">
      <alignment horizontal="center"/>
    </xf>
    <xf numFmtId="173" fontId="3" fillId="0" borderId="0" xfId="3" applyNumberFormat="1" applyFont="1" applyAlignment="1">
      <alignment horizontal="center"/>
    </xf>
    <xf numFmtId="172" fontId="3" fillId="0" borderId="0" xfId="3" applyNumberFormat="1" applyFont="1" applyAlignment="1">
      <alignment horizontal="center"/>
    </xf>
    <xf numFmtId="173" fontId="3" fillId="0" borderId="0" xfId="0" applyNumberFormat="1" applyFont="1" applyAlignment="1">
      <alignment horizontal="center"/>
    </xf>
    <xf numFmtId="173" fontId="3" fillId="0" borderId="0" xfId="0" applyNumberFormat="1" applyFont="1"/>
    <xf numFmtId="173" fontId="3" fillId="0" borderId="4" xfId="0" applyNumberFormat="1" applyFont="1" applyBorder="1" applyAlignment="1">
      <alignment horizontal="center"/>
    </xf>
    <xf numFmtId="164" fontId="3" fillId="0" borderId="0" xfId="0" applyNumberFormat="1" applyFont="1" applyAlignment="1">
      <alignment horizontal="center"/>
    </xf>
    <xf numFmtId="164" fontId="3" fillId="0" borderId="0" xfId="0" applyNumberFormat="1" applyFont="1"/>
    <xf numFmtId="0" fontId="3" fillId="0" borderId="0" xfId="0" applyFont="1" applyAlignment="1">
      <alignment horizontal="center" vertical="center" wrapText="1"/>
    </xf>
    <xf numFmtId="164" fontId="3" fillId="0" borderId="4" xfId="0" applyNumberFormat="1" applyFont="1" applyBorder="1" applyAlignment="1">
      <alignment horizontal="center"/>
    </xf>
  </cellXfs>
  <cellStyles count="4">
    <cellStyle name="Millares" xfId="1" builtinId="3"/>
    <cellStyle name="Moneda" xfId="3"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2"/>
  <sheetViews>
    <sheetView tabSelected="1" workbookViewId="0">
      <selection activeCell="H7" sqref="H7"/>
    </sheetView>
  </sheetViews>
  <sheetFormatPr baseColWidth="10" defaultColWidth="10.85546875" defaultRowHeight="15" x14ac:dyDescent="0.25"/>
  <cols>
    <col min="1" max="1" width="5.7109375" style="1" customWidth="1"/>
    <col min="2" max="2" width="39.85546875" style="2" bestFit="1" customWidth="1"/>
    <col min="3" max="3" width="15" style="3" bestFit="1" customWidth="1"/>
    <col min="4" max="5" width="10.85546875" style="4"/>
    <col min="6" max="6" width="11.42578125" style="2" bestFit="1" customWidth="1"/>
    <col min="7" max="7" width="14" style="2" bestFit="1" customWidth="1"/>
    <col min="8" max="8" width="11.42578125" style="2" bestFit="1" customWidth="1"/>
    <col min="9" max="9" width="12.5703125" style="2" bestFit="1" customWidth="1"/>
    <col min="10" max="16384" width="10.85546875" style="2"/>
  </cols>
  <sheetData>
    <row r="2" spans="2:8" x14ac:dyDescent="0.25">
      <c r="B2" s="2" t="s">
        <v>0</v>
      </c>
    </row>
    <row r="3" spans="2:8" x14ac:dyDescent="0.25">
      <c r="B3" s="5" t="s">
        <v>1</v>
      </c>
      <c r="C3" s="6" t="s">
        <v>2</v>
      </c>
      <c r="D3" s="7" t="s">
        <v>3</v>
      </c>
      <c r="E3" s="7" t="s">
        <v>4</v>
      </c>
      <c r="F3" s="1" t="s">
        <v>5</v>
      </c>
    </row>
    <row r="4" spans="2:8" x14ac:dyDescent="0.25">
      <c r="B4" s="8" t="s">
        <v>6</v>
      </c>
      <c r="C4" s="9">
        <v>108045000</v>
      </c>
      <c r="D4" s="10">
        <v>1</v>
      </c>
      <c r="E4" s="10">
        <v>0</v>
      </c>
      <c r="F4" s="11" t="s">
        <v>7</v>
      </c>
    </row>
    <row r="5" spans="2:8" x14ac:dyDescent="0.25">
      <c r="B5" s="8" t="s">
        <v>8</v>
      </c>
      <c r="C5" s="9">
        <v>6174000</v>
      </c>
      <c r="D5" s="10">
        <v>0.8</v>
      </c>
      <c r="E5" s="10">
        <v>0.2</v>
      </c>
      <c r="F5" s="11" t="s">
        <v>7</v>
      </c>
    </row>
    <row r="6" spans="2:8" x14ac:dyDescent="0.25">
      <c r="B6" s="8" t="s">
        <v>9</v>
      </c>
      <c r="C6" s="9">
        <v>3000</v>
      </c>
      <c r="D6" s="10">
        <v>0</v>
      </c>
      <c r="E6" s="10">
        <v>1</v>
      </c>
    </row>
    <row r="7" spans="2:8" x14ac:dyDescent="0.25">
      <c r="B7" s="8" t="s">
        <v>10</v>
      </c>
      <c r="C7" s="9">
        <v>9240000</v>
      </c>
      <c r="D7" s="10">
        <v>0</v>
      </c>
      <c r="E7" s="10">
        <v>1</v>
      </c>
      <c r="F7" s="12" t="s">
        <v>11</v>
      </c>
    </row>
    <row r="8" spans="2:8" x14ac:dyDescent="0.25">
      <c r="B8" s="8" t="s">
        <v>12</v>
      </c>
      <c r="C8" s="9">
        <v>840000</v>
      </c>
      <c r="D8" s="10">
        <v>0</v>
      </c>
      <c r="E8" s="10">
        <v>1</v>
      </c>
      <c r="F8" s="12" t="s">
        <v>13</v>
      </c>
    </row>
    <row r="9" spans="2:8" x14ac:dyDescent="0.25">
      <c r="B9" s="8" t="s">
        <v>14</v>
      </c>
      <c r="C9" s="9">
        <v>24255000</v>
      </c>
      <c r="D9" s="10">
        <v>0.3</v>
      </c>
      <c r="E9" s="10">
        <v>0.7</v>
      </c>
      <c r="F9" s="12" t="s">
        <v>11</v>
      </c>
    </row>
    <row r="10" spans="2:8" x14ac:dyDescent="0.25">
      <c r="B10" s="8" t="s">
        <v>15</v>
      </c>
      <c r="C10" s="9">
        <v>50000000</v>
      </c>
      <c r="D10" s="10">
        <v>0.1</v>
      </c>
      <c r="E10" s="10">
        <v>0.9</v>
      </c>
    </row>
    <row r="12" spans="2:8" ht="30" x14ac:dyDescent="0.25">
      <c r="B12" s="13" t="s">
        <v>16</v>
      </c>
      <c r="C12" s="14">
        <v>7000</v>
      </c>
      <c r="D12" s="15" t="s">
        <v>17</v>
      </c>
      <c r="E12" s="16" t="s">
        <v>18</v>
      </c>
      <c r="F12" s="2" t="s">
        <v>19</v>
      </c>
    </row>
    <row r="13" spans="2:8" x14ac:dyDescent="0.25">
      <c r="B13" s="2" t="s">
        <v>20</v>
      </c>
      <c r="C13" s="17">
        <f>$C$12*D13</f>
        <v>3850.0000000000005</v>
      </c>
      <c r="D13" s="18">
        <v>0.55000000000000004</v>
      </c>
      <c r="E13" s="4">
        <v>1</v>
      </c>
      <c r="F13" s="19">
        <v>4</v>
      </c>
    </row>
    <row r="14" spans="2:8" x14ac:dyDescent="0.25">
      <c r="B14" s="2" t="s">
        <v>21</v>
      </c>
      <c r="C14" s="17">
        <f t="shared" ref="C14" si="0">$C$12*D14</f>
        <v>1400</v>
      </c>
      <c r="D14" s="18">
        <v>0.2</v>
      </c>
      <c r="E14" s="4">
        <v>2</v>
      </c>
      <c r="F14" s="19">
        <v>5</v>
      </c>
      <c r="H14" s="20"/>
    </row>
    <row r="15" spans="2:8" x14ac:dyDescent="0.25">
      <c r="B15" s="2" t="s">
        <v>22</v>
      </c>
      <c r="C15" s="3">
        <f>$C$12*D15</f>
        <v>1750</v>
      </c>
      <c r="D15" s="18">
        <v>0.25</v>
      </c>
      <c r="E15" s="4">
        <v>2.5</v>
      </c>
      <c r="F15" s="19">
        <v>6</v>
      </c>
      <c r="H15" s="20"/>
    </row>
    <row r="16" spans="2:8" x14ac:dyDescent="0.25">
      <c r="D16" s="21"/>
      <c r="H16" s="20"/>
    </row>
    <row r="17" spans="1:9" x14ac:dyDescent="0.25">
      <c r="C17" s="3">
        <f>C13</f>
        <v>3850.0000000000005</v>
      </c>
      <c r="D17" s="22">
        <f>C14</f>
        <v>1400</v>
      </c>
      <c r="E17" s="22">
        <f>C15</f>
        <v>1750</v>
      </c>
      <c r="H17" s="23" t="s">
        <v>23</v>
      </c>
    </row>
    <row r="18" spans="1:9" x14ac:dyDescent="0.25">
      <c r="A18" s="1" t="s">
        <v>24</v>
      </c>
      <c r="B18" s="1" t="s">
        <v>25</v>
      </c>
      <c r="C18" s="24" t="s">
        <v>26</v>
      </c>
      <c r="D18" s="25" t="s">
        <v>27</v>
      </c>
      <c r="E18" s="25" t="s">
        <v>28</v>
      </c>
      <c r="H18" s="26"/>
    </row>
    <row r="19" spans="1:9" x14ac:dyDescent="0.25">
      <c r="B19" s="2" t="s">
        <v>29</v>
      </c>
      <c r="C19" s="27">
        <f>$C4/SUMPRODUCT($C$13:$C$15,$E$13:$E$15)*E13</f>
        <v>9800</v>
      </c>
      <c r="D19" s="27">
        <f>$C$4/SUMPRODUCT($C$13:$C$15,$E$13:$E$15)*E14</f>
        <v>19600</v>
      </c>
      <c r="E19" s="27">
        <f>$C$4/SUMPRODUCT($C$13:$C$15,$E$13:$E$15)*E15</f>
        <v>24500</v>
      </c>
      <c r="F19" s="20">
        <f>C4-SUMPRODUCT(C19:E19,$C$17:$E$17)</f>
        <v>0</v>
      </c>
      <c r="G19" s="3"/>
      <c r="H19" s="23" t="s">
        <v>30</v>
      </c>
      <c r="I19" s="20"/>
    </row>
    <row r="20" spans="1:9" x14ac:dyDescent="0.25">
      <c r="B20" s="2" t="s">
        <v>31</v>
      </c>
      <c r="C20" s="27">
        <f>$C5/SUMPRODUCT($C$13:$C$15,$E$13:$E$15)*E13</f>
        <v>560</v>
      </c>
      <c r="D20" s="27">
        <f>$C$5/SUMPRODUCT($C$13:$C$15,$E$13:$E$15)*E14</f>
        <v>1120</v>
      </c>
      <c r="E20" s="27">
        <f>$C$5/SUMPRODUCT($C$13:$C$15,$E$13:$E$15)*E15</f>
        <v>1400</v>
      </c>
      <c r="F20" s="20">
        <f>C5-SUMPRODUCT(C20:E20,$C$17:$E$17)</f>
        <v>0</v>
      </c>
      <c r="H20" s="28" t="s">
        <v>30</v>
      </c>
    </row>
    <row r="21" spans="1:9" x14ac:dyDescent="0.25">
      <c r="B21" s="2" t="s">
        <v>32</v>
      </c>
      <c r="C21" s="29">
        <f>$C$6*F13</f>
        <v>12000</v>
      </c>
      <c r="D21" s="29">
        <f>$C$6*F14</f>
        <v>15000</v>
      </c>
      <c r="E21" s="29">
        <f>$C$6*F15</f>
        <v>18000</v>
      </c>
      <c r="F21" s="20">
        <f>C6*SUMPRODUCT(C13:C15,F13:F15)</f>
        <v>98700000</v>
      </c>
      <c r="G21" s="3">
        <f>SUMPRODUCT(C17:E17,C21:E21)</f>
        <v>98700000</v>
      </c>
      <c r="H21" s="28" t="s">
        <v>33</v>
      </c>
    </row>
    <row r="22" spans="1:9" x14ac:dyDescent="0.25">
      <c r="B22" s="2" t="s">
        <v>34</v>
      </c>
      <c r="C22" s="3">
        <f>$C$7/3/C17</f>
        <v>799.99999999999989</v>
      </c>
      <c r="D22" s="3">
        <f>$C$7/3/D17</f>
        <v>2200</v>
      </c>
      <c r="E22" s="3">
        <f t="shared" ref="E22" si="1">$C$7/3/E17</f>
        <v>1760</v>
      </c>
      <c r="F22" s="20">
        <f>C7-SUMPRODUCT(C22:E22,$C$17:$E$17)</f>
        <v>0</v>
      </c>
      <c r="H22" s="28" t="s">
        <v>23</v>
      </c>
    </row>
    <row r="23" spans="1:9" x14ac:dyDescent="0.25">
      <c r="B23" s="2" t="s">
        <v>35</v>
      </c>
      <c r="C23" s="3">
        <f>$C$8/$C$12</f>
        <v>120</v>
      </c>
      <c r="D23" s="3">
        <f>$C$8/$C$12</f>
        <v>120</v>
      </c>
      <c r="E23" s="3">
        <f>$C$8/$C$12</f>
        <v>120</v>
      </c>
      <c r="F23" s="20">
        <f>C8-SUMPRODUCT(C23:E23,$C$17:$E$17)</f>
        <v>0</v>
      </c>
      <c r="H23" s="28" t="s">
        <v>36</v>
      </c>
    </row>
    <row r="24" spans="1:9" x14ac:dyDescent="0.25">
      <c r="B24" s="2" t="s">
        <v>37</v>
      </c>
      <c r="C24" s="3">
        <f>$C$9/3/C17</f>
        <v>2099.9999999999995</v>
      </c>
      <c r="D24" s="3">
        <f t="shared" ref="D24:E24" si="2">$C$9/3/D17</f>
        <v>5775</v>
      </c>
      <c r="E24" s="3">
        <f t="shared" si="2"/>
        <v>4620</v>
      </c>
      <c r="F24" s="20">
        <f>C9-SUMPRODUCT(C24:E24,$C$17:$E$17)</f>
        <v>0</v>
      </c>
      <c r="H24" s="28" t="s">
        <v>23</v>
      </c>
    </row>
    <row r="25" spans="1:9" x14ac:dyDescent="0.25">
      <c r="B25" s="1" t="s">
        <v>38</v>
      </c>
      <c r="C25" s="24">
        <f>SUM(C19:C24)</f>
        <v>25380</v>
      </c>
      <c r="D25" s="24">
        <f t="shared" ref="D25:E25" si="3">SUM(D19:D24)</f>
        <v>43815</v>
      </c>
      <c r="E25" s="24">
        <f t="shared" si="3"/>
        <v>50400</v>
      </c>
      <c r="H25" s="28" t="s">
        <v>36</v>
      </c>
    </row>
    <row r="27" spans="1:9" x14ac:dyDescent="0.25">
      <c r="B27" s="2" t="s">
        <v>39</v>
      </c>
      <c r="C27" s="3">
        <f>SUMPRODUCT(C19:C24,$D$4:$D$9)</f>
        <v>10878</v>
      </c>
      <c r="D27" s="30">
        <f t="shared" ref="D27" si="4">SUMPRODUCT(D19:D24,$D$4:$D$9)</f>
        <v>22228.5</v>
      </c>
      <c r="E27" s="3">
        <f>SUMPRODUCT(E19:E24,$D$4:$D$9)</f>
        <v>27006</v>
      </c>
    </row>
    <row r="28" spans="1:9" x14ac:dyDescent="0.25">
      <c r="B28" s="2" t="s">
        <v>40</v>
      </c>
      <c r="C28" s="3">
        <f>C19*$D$4</f>
        <v>9800</v>
      </c>
      <c r="D28" s="3">
        <f t="shared" ref="D28:E28" si="5">D19*$D$4</f>
        <v>19600</v>
      </c>
      <c r="E28" s="3">
        <f t="shared" si="5"/>
        <v>24500</v>
      </c>
    </row>
    <row r="30" spans="1:9" x14ac:dyDescent="0.25">
      <c r="A30" s="1" t="s">
        <v>41</v>
      </c>
      <c r="C30" s="31"/>
      <c r="D30" s="7" t="s">
        <v>26</v>
      </c>
      <c r="E30" s="7" t="s">
        <v>27</v>
      </c>
      <c r="F30" s="5" t="s">
        <v>28</v>
      </c>
    </row>
    <row r="31" spans="1:9" x14ac:dyDescent="0.25">
      <c r="C31" s="8" t="s">
        <v>42</v>
      </c>
      <c r="D31" s="32">
        <f>2500</f>
        <v>2500</v>
      </c>
      <c r="E31" s="32">
        <v>1100</v>
      </c>
      <c r="F31" s="32">
        <v>1500</v>
      </c>
    </row>
    <row r="32" spans="1:9" x14ac:dyDescent="0.25">
      <c r="C32" s="33" t="s">
        <v>43</v>
      </c>
      <c r="D32" s="9">
        <v>50000</v>
      </c>
      <c r="E32" s="32">
        <v>70000</v>
      </c>
      <c r="F32" s="32">
        <v>90000</v>
      </c>
    </row>
    <row r="33" spans="1:6" x14ac:dyDescent="0.25">
      <c r="C33" s="2" t="s">
        <v>44</v>
      </c>
      <c r="D33" s="3">
        <f>C17-D31</f>
        <v>1350.0000000000005</v>
      </c>
      <c r="E33" s="3">
        <f>D17-E31</f>
        <v>300</v>
      </c>
      <c r="F33" s="3">
        <f>E17-F31</f>
        <v>250</v>
      </c>
    </row>
    <row r="34" spans="1:6" x14ac:dyDescent="0.25">
      <c r="D34" s="3"/>
      <c r="E34" s="3"/>
    </row>
    <row r="35" spans="1:6" x14ac:dyDescent="0.25">
      <c r="B35" s="1" t="s">
        <v>45</v>
      </c>
    </row>
    <row r="36" spans="1:6" x14ac:dyDescent="0.25">
      <c r="B36" s="2" t="s">
        <v>46</v>
      </c>
      <c r="C36" s="3">
        <f>SUMPRODUCT(D31:F31,D32:F32)</f>
        <v>337000000</v>
      </c>
    </row>
    <row r="37" spans="1:6" x14ac:dyDescent="0.25">
      <c r="B37" s="2" t="s">
        <v>47</v>
      </c>
      <c r="C37" s="3">
        <f>-SUMPRODUCT(C27:E27,D31:F31)</f>
        <v>-92155350</v>
      </c>
    </row>
    <row r="38" spans="1:6" x14ac:dyDescent="0.25">
      <c r="B38" s="2" t="s">
        <v>48</v>
      </c>
      <c r="C38" s="3">
        <f>-C5*E5</f>
        <v>-1234800</v>
      </c>
    </row>
    <row r="39" spans="1:6" x14ac:dyDescent="0.25">
      <c r="B39" s="2" t="s">
        <v>49</v>
      </c>
      <c r="C39" s="3">
        <f>-F21*E6</f>
        <v>-98700000</v>
      </c>
    </row>
    <row r="40" spans="1:6" x14ac:dyDescent="0.25">
      <c r="B40" s="2" t="s">
        <v>50</v>
      </c>
      <c r="C40" s="3">
        <f>-C7*E7</f>
        <v>-9240000</v>
      </c>
    </row>
    <row r="41" spans="1:6" x14ac:dyDescent="0.25">
      <c r="B41" s="2" t="s">
        <v>35</v>
      </c>
      <c r="C41" s="3">
        <f>-C8*E8</f>
        <v>-840000</v>
      </c>
    </row>
    <row r="42" spans="1:6" x14ac:dyDescent="0.25">
      <c r="B42" s="2" t="s">
        <v>51</v>
      </c>
      <c r="C42" s="3">
        <f>-C9*E9</f>
        <v>-16978500</v>
      </c>
    </row>
    <row r="43" spans="1:6" x14ac:dyDescent="0.25">
      <c r="B43" s="2" t="s">
        <v>52</v>
      </c>
      <c r="C43" s="3">
        <f>-C10</f>
        <v>-50000000</v>
      </c>
    </row>
    <row r="44" spans="1:6" x14ac:dyDescent="0.25">
      <c r="B44" s="1" t="s">
        <v>53</v>
      </c>
      <c r="C44" s="24">
        <f>SUM(C36:C43)</f>
        <v>67851350</v>
      </c>
    </row>
    <row r="46" spans="1:6" x14ac:dyDescent="0.25">
      <c r="B46" s="2" t="s">
        <v>54</v>
      </c>
      <c r="C46" s="3">
        <f>SUMPRODUCT(D33:F33,C27:E27)</f>
        <v>28105350.000000007</v>
      </c>
      <c r="D46" s="22">
        <f>SUM(C4:C5,C7:C10,F21)+SUM(C37:C43)-C46</f>
        <v>0</v>
      </c>
    </row>
    <row r="47" spans="1:6" x14ac:dyDescent="0.25">
      <c r="A47" s="2"/>
    </row>
    <row r="48" spans="1:6" x14ac:dyDescent="0.25">
      <c r="A48" s="1" t="s">
        <v>55</v>
      </c>
      <c r="C48" s="3" t="s">
        <v>26</v>
      </c>
      <c r="D48" s="4" t="s">
        <v>27</v>
      </c>
      <c r="E48" s="4" t="s">
        <v>28</v>
      </c>
    </row>
    <row r="49" spans="2:5" x14ac:dyDescent="0.25">
      <c r="B49" s="2" t="s">
        <v>54</v>
      </c>
      <c r="C49" s="3">
        <f>D33*C28</f>
        <v>13230000.000000004</v>
      </c>
      <c r="D49" s="3">
        <f t="shared" ref="D49" si="6">E33*D28</f>
        <v>5880000</v>
      </c>
      <c r="E49" s="3">
        <f>F33*E28</f>
        <v>6125000</v>
      </c>
    </row>
    <row r="51" spans="2:5" x14ac:dyDescent="0.25">
      <c r="B51" s="2" t="s">
        <v>54</v>
      </c>
      <c r="C51" s="24">
        <f>SUMPRODUCT(D33:F33,C28:E28)</f>
        <v>25235000.000000004</v>
      </c>
      <c r="D51" s="22">
        <f>SUM(C49:E49)-C51</f>
        <v>0</v>
      </c>
    </row>
    <row r="52" spans="2:5" x14ac:dyDescent="0.25">
      <c r="B52" s="2"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workbookViewId="0">
      <selection activeCell="H6" sqref="H6"/>
    </sheetView>
  </sheetViews>
  <sheetFormatPr baseColWidth="10" defaultColWidth="10.85546875" defaultRowHeight="15" x14ac:dyDescent="0.25"/>
  <cols>
    <col min="1" max="1" width="5.7109375" style="1" customWidth="1"/>
    <col min="2" max="2" width="39.85546875" style="2" bestFit="1" customWidth="1"/>
    <col min="3" max="3" width="15" style="3" bestFit="1" customWidth="1"/>
    <col min="4" max="5" width="10.85546875" style="4"/>
    <col min="6" max="6" width="11.42578125" style="2" bestFit="1" customWidth="1"/>
    <col min="7" max="7" width="14" style="2" bestFit="1" customWidth="1"/>
    <col min="8" max="8" width="11.42578125" style="2" bestFit="1" customWidth="1"/>
    <col min="9" max="9" width="12.5703125" style="2" bestFit="1" customWidth="1"/>
    <col min="10" max="16384" width="10.85546875" style="2"/>
  </cols>
  <sheetData>
    <row r="1" spans="2:8" x14ac:dyDescent="0.25">
      <c r="B1" s="36" t="s">
        <v>56</v>
      </c>
      <c r="C1" s="36"/>
      <c r="D1" s="36"/>
      <c r="E1" s="36"/>
    </row>
    <row r="3" spans="2:8" x14ac:dyDescent="0.25">
      <c r="B3" s="2" t="s">
        <v>0</v>
      </c>
    </row>
    <row r="4" spans="2:8" x14ac:dyDescent="0.25">
      <c r="B4" s="5" t="s">
        <v>1</v>
      </c>
      <c r="C4" s="6" t="s">
        <v>2</v>
      </c>
      <c r="D4" s="7" t="s">
        <v>3</v>
      </c>
      <c r="E4" s="7" t="s">
        <v>4</v>
      </c>
      <c r="F4" s="1" t="s">
        <v>5</v>
      </c>
    </row>
    <row r="5" spans="2:8" x14ac:dyDescent="0.25">
      <c r="B5" s="8" t="s">
        <v>6</v>
      </c>
      <c r="C5" s="9">
        <v>108045000</v>
      </c>
      <c r="D5" s="10">
        <v>1</v>
      </c>
      <c r="E5" s="10">
        <v>0</v>
      </c>
      <c r="F5" s="11" t="s">
        <v>7</v>
      </c>
    </row>
    <row r="6" spans="2:8" x14ac:dyDescent="0.25">
      <c r="B6" s="8" t="s">
        <v>8</v>
      </c>
      <c r="C6" s="9">
        <v>6174000</v>
      </c>
      <c r="D6" s="10">
        <v>0.8</v>
      </c>
      <c r="E6" s="10">
        <v>0.2</v>
      </c>
      <c r="F6" s="11" t="s">
        <v>7</v>
      </c>
    </row>
    <row r="7" spans="2:8" x14ac:dyDescent="0.25">
      <c r="B7" s="8" t="s">
        <v>9</v>
      </c>
      <c r="C7" s="9">
        <v>3000</v>
      </c>
      <c r="D7" s="10">
        <v>0</v>
      </c>
      <c r="E7" s="10">
        <v>1</v>
      </c>
    </row>
    <row r="8" spans="2:8" x14ac:dyDescent="0.25">
      <c r="B8" s="8" t="s">
        <v>10</v>
      </c>
      <c r="C8" s="9">
        <v>9240000</v>
      </c>
      <c r="D8" s="10">
        <v>0</v>
      </c>
      <c r="E8" s="10">
        <v>1</v>
      </c>
      <c r="F8" s="12" t="s">
        <v>11</v>
      </c>
    </row>
    <row r="9" spans="2:8" x14ac:dyDescent="0.25">
      <c r="B9" s="8" t="s">
        <v>12</v>
      </c>
      <c r="C9" s="9">
        <v>840000</v>
      </c>
      <c r="D9" s="10">
        <v>0</v>
      </c>
      <c r="E9" s="10">
        <v>1</v>
      </c>
      <c r="F9" s="12" t="s">
        <v>13</v>
      </c>
    </row>
    <row r="10" spans="2:8" x14ac:dyDescent="0.25">
      <c r="B10" s="8" t="s">
        <v>14</v>
      </c>
      <c r="C10" s="9">
        <v>24255000</v>
      </c>
      <c r="D10" s="10">
        <v>0.3</v>
      </c>
      <c r="E10" s="10">
        <v>0.7</v>
      </c>
      <c r="F10" s="12" t="s">
        <v>11</v>
      </c>
    </row>
    <row r="11" spans="2:8" x14ac:dyDescent="0.25">
      <c r="B11" s="8" t="s">
        <v>15</v>
      </c>
      <c r="C11" s="9">
        <v>50000000</v>
      </c>
      <c r="D11" s="10">
        <v>0.1</v>
      </c>
      <c r="E11" s="10">
        <v>0.9</v>
      </c>
    </row>
    <row r="13" spans="2:8" ht="30" x14ac:dyDescent="0.25">
      <c r="B13" s="13" t="s">
        <v>16</v>
      </c>
      <c r="C13" s="14">
        <v>7000</v>
      </c>
      <c r="D13" s="15" t="s">
        <v>17</v>
      </c>
      <c r="E13" s="16" t="s">
        <v>18</v>
      </c>
      <c r="F13" s="2" t="s">
        <v>19</v>
      </c>
    </row>
    <row r="14" spans="2:8" x14ac:dyDescent="0.25">
      <c r="B14" s="2" t="s">
        <v>20</v>
      </c>
      <c r="C14" s="17">
        <f>$C$13*D14</f>
        <v>3850.0000000000005</v>
      </c>
      <c r="D14" s="18">
        <v>0.55000000000000004</v>
      </c>
      <c r="E14" s="4">
        <v>1</v>
      </c>
      <c r="F14" s="19">
        <v>4</v>
      </c>
    </row>
    <row r="15" spans="2:8" x14ac:dyDescent="0.25">
      <c r="B15" s="2" t="s">
        <v>21</v>
      </c>
      <c r="C15" s="17">
        <f t="shared" ref="C15" si="0">$C$13*D15</f>
        <v>1400</v>
      </c>
      <c r="D15" s="18">
        <v>0.2</v>
      </c>
      <c r="E15" s="4">
        <v>2</v>
      </c>
      <c r="F15" s="19">
        <v>5</v>
      </c>
      <c r="H15" s="20"/>
    </row>
    <row r="16" spans="2:8" x14ac:dyDescent="0.25">
      <c r="B16" s="2" t="s">
        <v>22</v>
      </c>
      <c r="C16" s="3">
        <f>$C$13*D16</f>
        <v>1750</v>
      </c>
      <c r="D16" s="18">
        <v>0.25</v>
      </c>
      <c r="E16" s="4">
        <v>2.5</v>
      </c>
      <c r="F16" s="19">
        <v>6</v>
      </c>
      <c r="H16" s="20"/>
    </row>
    <row r="17" spans="1:9" x14ac:dyDescent="0.25">
      <c r="D17" s="21"/>
      <c r="H17" s="20"/>
    </row>
    <row r="18" spans="1:9" x14ac:dyDescent="0.25">
      <c r="C18" s="3">
        <f>C14</f>
        <v>3850.0000000000005</v>
      </c>
      <c r="D18" s="22">
        <f>C15</f>
        <v>1400</v>
      </c>
      <c r="E18" s="22">
        <f>C16</f>
        <v>1750</v>
      </c>
      <c r="H18" s="20"/>
    </row>
    <row r="19" spans="1:9" x14ac:dyDescent="0.25">
      <c r="A19" s="1" t="s">
        <v>24</v>
      </c>
      <c r="B19" s="1" t="s">
        <v>25</v>
      </c>
      <c r="C19" s="24" t="s">
        <v>26</v>
      </c>
      <c r="D19" s="25" t="s">
        <v>27</v>
      </c>
      <c r="E19" s="25" t="s">
        <v>28</v>
      </c>
    </row>
    <row r="20" spans="1:9" x14ac:dyDescent="0.25">
      <c r="B20" s="2" t="s">
        <v>29</v>
      </c>
      <c r="C20" s="34">
        <f>H20/C18</f>
        <v>5102.4793388429744</v>
      </c>
      <c r="D20" s="34">
        <f>H20*2/D18</f>
        <v>28063.63636363636</v>
      </c>
      <c r="E20" s="34">
        <f>H20*2.5/E18</f>
        <v>28063.63636363636</v>
      </c>
      <c r="F20" s="20">
        <f>C5-SUMPRODUCT(C20:E20,$C$18:$E$18)</f>
        <v>0</v>
      </c>
      <c r="G20" s="3"/>
      <c r="H20" s="20">
        <f>C5/(1+2+2.5)</f>
        <v>19644545.454545453</v>
      </c>
      <c r="I20" s="20"/>
    </row>
    <row r="21" spans="1:9" x14ac:dyDescent="0.25">
      <c r="B21" s="2" t="s">
        <v>31</v>
      </c>
      <c r="C21" s="34">
        <f>H21/C18</f>
        <v>291.57024793388427</v>
      </c>
      <c r="D21" s="34">
        <f>H21*2/D18</f>
        <v>1603.6363636363637</v>
      </c>
      <c r="E21" s="34">
        <f>H21*2.5/E18</f>
        <v>1603.6363636363637</v>
      </c>
      <c r="F21" s="20">
        <f>C6-SUMPRODUCT(C21:E21,$C$18:$E$18)</f>
        <v>0</v>
      </c>
      <c r="H21" s="20">
        <f>C6/(1+2+2.5)</f>
        <v>1122545.4545454546</v>
      </c>
    </row>
    <row r="22" spans="1:9" x14ac:dyDescent="0.25">
      <c r="B22" s="2" t="s">
        <v>32</v>
      </c>
      <c r="C22" s="35">
        <f>$C$7*F14</f>
        <v>12000</v>
      </c>
      <c r="D22" s="35">
        <f>$C$7*F15</f>
        <v>15000</v>
      </c>
      <c r="E22" s="35">
        <f>$C$7*F16</f>
        <v>18000</v>
      </c>
      <c r="F22" s="20">
        <f>C7*SUMPRODUCT(C14:C16,F14:F16)</f>
        <v>98700000</v>
      </c>
      <c r="G22" s="3">
        <f>SUMPRODUCT(C18:E18,C22:E22)</f>
        <v>98700000</v>
      </c>
    </row>
    <row r="23" spans="1:9" x14ac:dyDescent="0.25">
      <c r="B23" s="2" t="s">
        <v>34</v>
      </c>
      <c r="C23" s="3">
        <f>$C$8/3/C18</f>
        <v>799.99999999999989</v>
      </c>
      <c r="D23" s="3">
        <f>$C$8/3/D18</f>
        <v>2200</v>
      </c>
      <c r="E23" s="3">
        <f t="shared" ref="E23" si="1">$C$8/3/E18</f>
        <v>1760</v>
      </c>
      <c r="F23" s="20">
        <f>C8-SUMPRODUCT(C23:E23,$C$18:$E$18)</f>
        <v>0</v>
      </c>
    </row>
    <row r="24" spans="1:9" x14ac:dyDescent="0.25">
      <c r="B24" s="2" t="s">
        <v>35</v>
      </c>
      <c r="C24" s="3">
        <f>$C$9/$C$13</f>
        <v>120</v>
      </c>
      <c r="D24" s="3">
        <f>$C$9/$C$13</f>
        <v>120</v>
      </c>
      <c r="E24" s="3">
        <f>$C$9/$C$13</f>
        <v>120</v>
      </c>
      <c r="F24" s="20">
        <f>C9-SUMPRODUCT(C24:E24,$C$18:$E$18)</f>
        <v>0</v>
      </c>
    </row>
    <row r="25" spans="1:9" x14ac:dyDescent="0.25">
      <c r="B25" s="2" t="s">
        <v>37</v>
      </c>
      <c r="C25" s="3">
        <f>$C$10/3/C18</f>
        <v>2099.9999999999995</v>
      </c>
      <c r="D25" s="3">
        <f t="shared" ref="D25:E25" si="2">$C$10/3/D18</f>
        <v>5775</v>
      </c>
      <c r="E25" s="3">
        <f t="shared" si="2"/>
        <v>4620</v>
      </c>
      <c r="F25" s="20">
        <f>C10-SUMPRODUCT(C25:E25,$C$18:$E$18)</f>
        <v>0</v>
      </c>
    </row>
    <row r="26" spans="1:9" x14ac:dyDescent="0.25">
      <c r="B26" s="1" t="s">
        <v>38</v>
      </c>
      <c r="C26" s="24">
        <f>SUM(C20:C25)</f>
        <v>20414.049586776859</v>
      </c>
      <c r="D26" s="24">
        <f t="shared" ref="D26:E26" si="3">SUM(D20:D25)</f>
        <v>52762.272727272721</v>
      </c>
      <c r="E26" s="24">
        <f t="shared" si="3"/>
        <v>54167.272727272721</v>
      </c>
    </row>
    <row r="28" spans="1:9" x14ac:dyDescent="0.25">
      <c r="B28" s="2" t="s">
        <v>39</v>
      </c>
      <c r="C28" s="3">
        <f>SUMPRODUCT(C20:C25,$D$5:$D$10)</f>
        <v>5965.7355371900821</v>
      </c>
      <c r="D28" s="30">
        <f t="shared" ref="D28" si="4">SUMPRODUCT(D20:D25,$D$5:$D$10)</f>
        <v>31079.045454545452</v>
      </c>
      <c r="E28" s="3">
        <f>SUMPRODUCT(E20:E25,$D$5:$D$10)</f>
        <v>30732.545454545452</v>
      </c>
    </row>
    <row r="29" spans="1:9" x14ac:dyDescent="0.25">
      <c r="B29" s="2" t="s">
        <v>40</v>
      </c>
      <c r="C29" s="3">
        <f>C20*$D$5</f>
        <v>5102.4793388429744</v>
      </c>
      <c r="D29" s="3">
        <f t="shared" ref="D29:E29" si="5">D20*$D$5</f>
        <v>28063.63636363636</v>
      </c>
      <c r="E29" s="3">
        <f t="shared" si="5"/>
        <v>28063.63636363636</v>
      </c>
    </row>
    <row r="31" spans="1:9" x14ac:dyDescent="0.25">
      <c r="A31" s="1" t="s">
        <v>41</v>
      </c>
      <c r="C31" s="31"/>
      <c r="D31" s="7" t="s">
        <v>26</v>
      </c>
      <c r="E31" s="7" t="s">
        <v>27</v>
      </c>
      <c r="F31" s="5" t="s">
        <v>28</v>
      </c>
    </row>
    <row r="32" spans="1:9" x14ac:dyDescent="0.25">
      <c r="C32" s="8" t="s">
        <v>42</v>
      </c>
      <c r="D32" s="32">
        <f>2500</f>
        <v>2500</v>
      </c>
      <c r="E32" s="32">
        <v>1100</v>
      </c>
      <c r="F32" s="32">
        <v>1500</v>
      </c>
    </row>
    <row r="33" spans="1:6" x14ac:dyDescent="0.25">
      <c r="C33" s="33" t="s">
        <v>43</v>
      </c>
      <c r="D33" s="9">
        <v>50000</v>
      </c>
      <c r="E33" s="32">
        <v>70000</v>
      </c>
      <c r="F33" s="32">
        <v>90000</v>
      </c>
    </row>
    <row r="34" spans="1:6" x14ac:dyDescent="0.25">
      <c r="C34" s="2" t="s">
        <v>44</v>
      </c>
      <c r="D34" s="3">
        <f>C18-D32</f>
        <v>1350.0000000000005</v>
      </c>
      <c r="E34" s="3">
        <f>D18-E32</f>
        <v>300</v>
      </c>
      <c r="F34" s="3">
        <f>E18-F32</f>
        <v>250</v>
      </c>
    </row>
    <row r="35" spans="1:6" x14ac:dyDescent="0.25">
      <c r="D35" s="3"/>
      <c r="E35" s="3"/>
    </row>
    <row r="36" spans="1:6" x14ac:dyDescent="0.25">
      <c r="B36" s="1" t="s">
        <v>45</v>
      </c>
    </row>
    <row r="37" spans="1:6" x14ac:dyDescent="0.25">
      <c r="B37" s="2" t="s">
        <v>46</v>
      </c>
      <c r="C37" s="3">
        <f>SUMPRODUCT(D32:F32,D33:F33)</f>
        <v>337000000</v>
      </c>
    </row>
    <row r="38" spans="1:6" x14ac:dyDescent="0.25">
      <c r="B38" s="2" t="s">
        <v>47</v>
      </c>
      <c r="C38" s="3">
        <f>-SUMPRODUCT(C28:E28,D32:F32)</f>
        <v>-95200107.024793386</v>
      </c>
    </row>
    <row r="39" spans="1:6" x14ac:dyDescent="0.25">
      <c r="B39" s="2" t="s">
        <v>48</v>
      </c>
      <c r="C39" s="3">
        <f>-C6*E6</f>
        <v>-1234800</v>
      </c>
    </row>
    <row r="40" spans="1:6" x14ac:dyDescent="0.25">
      <c r="B40" s="2" t="s">
        <v>49</v>
      </c>
      <c r="C40" s="3">
        <f>-F22*E7</f>
        <v>-98700000</v>
      </c>
    </row>
    <row r="41" spans="1:6" x14ac:dyDescent="0.25">
      <c r="B41" s="2" t="s">
        <v>50</v>
      </c>
      <c r="C41" s="3">
        <f>-C8*E8</f>
        <v>-9240000</v>
      </c>
    </row>
    <row r="42" spans="1:6" x14ac:dyDescent="0.25">
      <c r="B42" s="2" t="s">
        <v>35</v>
      </c>
      <c r="C42" s="3">
        <f>-C9*E9</f>
        <v>-840000</v>
      </c>
    </row>
    <row r="43" spans="1:6" x14ac:dyDescent="0.25">
      <c r="B43" s="2" t="s">
        <v>51</v>
      </c>
      <c r="C43" s="3">
        <f>-C10*E10</f>
        <v>-16978500</v>
      </c>
    </row>
    <row r="44" spans="1:6" x14ac:dyDescent="0.25">
      <c r="B44" s="2" t="s">
        <v>52</v>
      </c>
      <c r="C44" s="3">
        <f>-C11</f>
        <v>-50000000</v>
      </c>
    </row>
    <row r="45" spans="1:6" x14ac:dyDescent="0.25">
      <c r="B45" s="1" t="s">
        <v>53</v>
      </c>
      <c r="C45" s="24">
        <f>SUM(C37:C44)</f>
        <v>64806592.975206614</v>
      </c>
    </row>
    <row r="47" spans="1:6" x14ac:dyDescent="0.25">
      <c r="B47" s="2" t="s">
        <v>54</v>
      </c>
      <c r="C47" s="3">
        <f>SUMPRODUCT(D34:F34,C28:E28)</f>
        <v>25060592.97520661</v>
      </c>
      <c r="D47" s="22">
        <f>SUM(C5:C6,C8:C11,F22)+SUM(C38:C44)-C47</f>
        <v>0</v>
      </c>
    </row>
    <row r="48" spans="1:6" x14ac:dyDescent="0.25">
      <c r="A48" s="2"/>
    </row>
    <row r="49" spans="1:5" x14ac:dyDescent="0.25">
      <c r="A49" s="1" t="s">
        <v>55</v>
      </c>
      <c r="C49" s="3" t="s">
        <v>26</v>
      </c>
      <c r="D49" s="4" t="s">
        <v>27</v>
      </c>
      <c r="E49" s="4" t="s">
        <v>28</v>
      </c>
    </row>
    <row r="50" spans="1:5" x14ac:dyDescent="0.25">
      <c r="B50" s="2" t="s">
        <v>54</v>
      </c>
      <c r="C50" s="3">
        <f>D34*C29</f>
        <v>6888347.1074380176</v>
      </c>
      <c r="D50" s="3">
        <f t="shared" ref="D50" si="6">E34*D29</f>
        <v>8419090.9090909082</v>
      </c>
      <c r="E50" s="3">
        <f>F34*E29</f>
        <v>7015909.0909090899</v>
      </c>
    </row>
    <row r="52" spans="1:5" x14ac:dyDescent="0.25">
      <c r="B52" s="2" t="s">
        <v>54</v>
      </c>
      <c r="C52" s="24">
        <f>SUMPRODUCT(D34:F34,C29:E29)</f>
        <v>22323347.107438017</v>
      </c>
      <c r="D52" s="22">
        <f>SUM(C50:E50)-C52</f>
        <v>0</v>
      </c>
    </row>
    <row r="53" spans="1:5" x14ac:dyDescent="0.25">
      <c r="B53" s="2" t="s">
        <v>40</v>
      </c>
    </row>
  </sheetData>
  <mergeCells count="1">
    <mergeCell ref="B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2"/>
  <sheetViews>
    <sheetView workbookViewId="0">
      <selection activeCell="G12" sqref="G12"/>
    </sheetView>
  </sheetViews>
  <sheetFormatPr baseColWidth="10" defaultRowHeight="15" x14ac:dyDescent="0.25"/>
  <cols>
    <col min="1" max="1" width="11.42578125" style="2"/>
    <col min="2" max="2" width="30.7109375" style="2" customWidth="1"/>
    <col min="3" max="4" width="11.42578125" style="4"/>
    <col min="5" max="5" width="12.85546875" style="4" customWidth="1"/>
    <col min="6" max="6" width="11.42578125" style="2"/>
    <col min="7" max="7" width="13.42578125" style="2" customWidth="1"/>
    <col min="8" max="8" width="11.42578125" style="2"/>
    <col min="9" max="9" width="31.42578125" style="2" bestFit="1" customWidth="1"/>
    <col min="10" max="12" width="12.5703125" style="2" customWidth="1"/>
    <col min="13" max="16384" width="11.42578125" style="2"/>
  </cols>
  <sheetData>
    <row r="2" spans="2:12" x14ac:dyDescent="0.25">
      <c r="B2" s="37"/>
      <c r="C2" s="38" t="s">
        <v>59</v>
      </c>
      <c r="D2" s="38" t="s">
        <v>60</v>
      </c>
      <c r="E2" s="38" t="s">
        <v>61</v>
      </c>
      <c r="J2" s="7" t="str">
        <f>C2</f>
        <v>Escritorios</v>
      </c>
      <c r="K2" s="7" t="str">
        <f>D2</f>
        <v>Veladores</v>
      </c>
      <c r="L2" s="7" t="str">
        <f>E2</f>
        <v>Comedores</v>
      </c>
    </row>
    <row r="3" spans="2:12" s="41" customFormat="1" x14ac:dyDescent="0.25">
      <c r="B3" s="39"/>
      <c r="C3" s="40"/>
      <c r="D3" s="40"/>
      <c r="E3" s="40"/>
      <c r="I3" s="8" t="str">
        <f>B4</f>
        <v>Precio</v>
      </c>
      <c r="J3" s="42">
        <f t="shared" ref="J3:L3" si="0">C4</f>
        <v>80000</v>
      </c>
      <c r="K3" s="42">
        <f t="shared" si="0"/>
        <v>40000</v>
      </c>
      <c r="L3" s="42">
        <f t="shared" si="0"/>
        <v>250000</v>
      </c>
    </row>
    <row r="4" spans="2:12" x14ac:dyDescent="0.25">
      <c r="B4" s="8" t="s">
        <v>43</v>
      </c>
      <c r="C4" s="43">
        <v>80000</v>
      </c>
      <c r="D4" s="43">
        <v>40000</v>
      </c>
      <c r="E4" s="43">
        <v>250000</v>
      </c>
      <c r="I4" s="8" t="str">
        <f>B6</f>
        <v>Producción Abril</v>
      </c>
      <c r="J4" s="44">
        <f t="shared" ref="J4:L5" si="1">C6</f>
        <v>15</v>
      </c>
      <c r="K4" s="44">
        <f t="shared" si="1"/>
        <v>40</v>
      </c>
      <c r="L4" s="44">
        <f t="shared" si="1"/>
        <v>12</v>
      </c>
    </row>
    <row r="5" spans="2:12" s="41" customFormat="1" x14ac:dyDescent="0.25">
      <c r="B5" s="45"/>
      <c r="C5" s="40"/>
      <c r="D5" s="40"/>
      <c r="E5" s="40"/>
      <c r="I5" s="8" t="str">
        <f>B7</f>
        <v>Ventas Abril</v>
      </c>
      <c r="J5" s="44">
        <f t="shared" si="1"/>
        <v>7</v>
      </c>
      <c r="K5" s="44">
        <f t="shared" si="1"/>
        <v>18</v>
      </c>
      <c r="L5" s="44">
        <f t="shared" si="1"/>
        <v>12</v>
      </c>
    </row>
    <row r="6" spans="2:12" x14ac:dyDescent="0.25">
      <c r="B6" s="8" t="s">
        <v>62</v>
      </c>
      <c r="C6" s="38">
        <v>15</v>
      </c>
      <c r="D6" s="38">
        <v>40</v>
      </c>
      <c r="E6" s="38">
        <v>12</v>
      </c>
      <c r="I6" s="8" t="str">
        <f>B9</f>
        <v>Materia Prima Directa (unitario)</v>
      </c>
      <c r="J6" s="42">
        <f t="shared" ref="J6:L6" si="2">C9</f>
        <v>25000</v>
      </c>
      <c r="K6" s="42">
        <f t="shared" si="2"/>
        <v>15000</v>
      </c>
      <c r="L6" s="42">
        <f t="shared" si="2"/>
        <v>130000</v>
      </c>
    </row>
    <row r="7" spans="2:12" x14ac:dyDescent="0.25">
      <c r="B7" s="8" t="s">
        <v>63</v>
      </c>
      <c r="C7" s="38">
        <v>7</v>
      </c>
      <c r="D7" s="38">
        <v>18</v>
      </c>
      <c r="E7" s="38">
        <v>12</v>
      </c>
      <c r="G7" s="46">
        <f>+SUMPRODUCT(C7:E7,C4:E4)</f>
        <v>4280000</v>
      </c>
    </row>
    <row r="8" spans="2:12" s="41" customFormat="1" x14ac:dyDescent="0.25">
      <c r="B8" s="45"/>
      <c r="C8" s="40"/>
      <c r="D8" s="40"/>
      <c r="E8" s="40"/>
      <c r="J8" s="7" t="s">
        <v>64</v>
      </c>
    </row>
    <row r="9" spans="2:12" x14ac:dyDescent="0.25">
      <c r="B9" s="8" t="s">
        <v>65</v>
      </c>
      <c r="C9" s="43">
        <v>25000</v>
      </c>
      <c r="D9" s="43">
        <v>15000</v>
      </c>
      <c r="E9" s="43">
        <v>130000</v>
      </c>
      <c r="I9" s="8" t="str">
        <f>B10</f>
        <v>Materia Prima Indirecta (total)</v>
      </c>
      <c r="J9" s="42">
        <f>C10</f>
        <v>150000</v>
      </c>
    </row>
    <row r="10" spans="2:12" x14ac:dyDescent="0.25">
      <c r="B10" s="8" t="s">
        <v>8</v>
      </c>
      <c r="C10" s="47">
        <v>150000</v>
      </c>
      <c r="D10" s="47"/>
      <c r="E10" s="47"/>
      <c r="I10" s="8" t="str">
        <f t="shared" ref="I10:J13" si="3">B11</f>
        <v>Mano de Obra Directa (total)</v>
      </c>
      <c r="J10" s="42">
        <f t="shared" si="3"/>
        <v>710000</v>
      </c>
    </row>
    <row r="11" spans="2:12" x14ac:dyDescent="0.25">
      <c r="B11" s="8" t="s">
        <v>66</v>
      </c>
      <c r="C11" s="47">
        <f>SUMPRODUCT(C6:E6,C23:E23)*G23</f>
        <v>710000</v>
      </c>
      <c r="D11" s="47"/>
      <c r="E11" s="47"/>
      <c r="I11" s="8" t="str">
        <f t="shared" si="3"/>
        <v>Depreciación del mes</v>
      </c>
      <c r="J11" s="42">
        <f t="shared" si="3"/>
        <v>150000</v>
      </c>
    </row>
    <row r="12" spans="2:12" x14ac:dyDescent="0.25">
      <c r="B12" s="8" t="s">
        <v>67</v>
      </c>
      <c r="C12" s="47">
        <v>150000</v>
      </c>
      <c r="D12" s="47"/>
      <c r="E12" s="47"/>
      <c r="I12" s="8" t="str">
        <f t="shared" si="3"/>
        <v>Arriendo de Instalaciones</v>
      </c>
      <c r="J12" s="42">
        <f t="shared" si="3"/>
        <v>435500</v>
      </c>
    </row>
    <row r="13" spans="2:12" x14ac:dyDescent="0.25">
      <c r="B13" s="8" t="s">
        <v>68</v>
      </c>
      <c r="C13" s="48">
        <v>435500</v>
      </c>
      <c r="D13" s="49"/>
      <c r="E13" s="50"/>
      <c r="I13" s="8" t="str">
        <f t="shared" si="3"/>
        <v>Gastos Indirectos de Fabricación</v>
      </c>
      <c r="J13" s="42">
        <f t="shared" si="3"/>
        <v>326400</v>
      </c>
    </row>
    <row r="14" spans="2:12" x14ac:dyDescent="0.25">
      <c r="B14" s="8" t="s">
        <v>69</v>
      </c>
      <c r="C14" s="47">
        <f>247900+F29</f>
        <v>326400</v>
      </c>
      <c r="D14" s="47"/>
      <c r="E14" s="47"/>
      <c r="I14" s="8" t="str">
        <f>B16</f>
        <v>Gasto de Marketing</v>
      </c>
      <c r="J14" s="42">
        <f>C16</f>
        <v>200000</v>
      </c>
    </row>
    <row r="15" spans="2:12" s="41" customFormat="1" x14ac:dyDescent="0.25">
      <c r="B15" s="45"/>
      <c r="C15" s="51"/>
      <c r="D15" s="51"/>
      <c r="E15" s="51"/>
      <c r="I15" s="8" t="str">
        <f>B18</f>
        <v>Gastos de Administración y Ventas</v>
      </c>
      <c r="J15" s="42">
        <f>C18</f>
        <v>250000</v>
      </c>
    </row>
    <row r="16" spans="2:12" x14ac:dyDescent="0.25">
      <c r="B16" s="8" t="s">
        <v>70</v>
      </c>
      <c r="C16" s="47">
        <v>200000</v>
      </c>
      <c r="D16" s="47"/>
      <c r="E16" s="47"/>
    </row>
    <row r="17" spans="1:7" x14ac:dyDescent="0.25">
      <c r="B17" s="41"/>
      <c r="C17" s="52"/>
      <c r="D17" s="52"/>
      <c r="E17" s="52"/>
    </row>
    <row r="18" spans="1:7" x14ac:dyDescent="0.25">
      <c r="B18" s="8" t="s">
        <v>71</v>
      </c>
      <c r="C18" s="47">
        <v>250000</v>
      </c>
      <c r="D18" s="47"/>
      <c r="E18" s="47"/>
    </row>
    <row r="19" spans="1:7" x14ac:dyDescent="0.25">
      <c r="B19" s="41"/>
      <c r="C19" s="52"/>
      <c r="D19" s="52"/>
      <c r="E19" s="52"/>
    </row>
    <row r="20" spans="1:7" x14ac:dyDescent="0.25">
      <c r="A20" s="2" t="s">
        <v>57</v>
      </c>
      <c r="B20" s="41" t="s">
        <v>72</v>
      </c>
      <c r="C20" s="53">
        <v>2</v>
      </c>
      <c r="D20" s="53">
        <v>1</v>
      </c>
      <c r="E20" s="53">
        <v>4</v>
      </c>
    </row>
    <row r="21" spans="1:7" x14ac:dyDescent="0.25">
      <c r="A21" s="26">
        <v>1.5</v>
      </c>
      <c r="B21" s="41" t="s">
        <v>73</v>
      </c>
      <c r="C21" s="54">
        <f>+$C$10/SUM($C$20:$E$20)*C20/C6</f>
        <v>2857.1428571428569</v>
      </c>
      <c r="D21" s="54">
        <f>+$C$10/SUM($C$20:$E$20)*D20/D6</f>
        <v>535.71428571428567</v>
      </c>
      <c r="E21" s="54">
        <f t="shared" ref="E21" si="4">+$C$10/SUM($C$20:$E$20)*E20/E6</f>
        <v>7142.8571428571422</v>
      </c>
    </row>
    <row r="22" spans="1:7" x14ac:dyDescent="0.25">
      <c r="A22" s="26"/>
      <c r="B22" s="41"/>
      <c r="C22" s="55"/>
      <c r="D22" s="55"/>
      <c r="E22" s="55"/>
      <c r="G22" s="2" t="s">
        <v>74</v>
      </c>
    </row>
    <row r="23" spans="1:7" x14ac:dyDescent="0.25">
      <c r="A23" s="26">
        <v>1.5</v>
      </c>
      <c r="B23" s="2" t="s">
        <v>19</v>
      </c>
      <c r="C23" s="4">
        <v>5</v>
      </c>
      <c r="D23" s="4">
        <v>2.5</v>
      </c>
      <c r="E23" s="4">
        <v>15</v>
      </c>
      <c r="F23" s="2">
        <f>+SUMPRODUCT(C6:E6,C23:E23)</f>
        <v>355</v>
      </c>
      <c r="G23" s="46">
        <v>2000</v>
      </c>
    </row>
    <row r="24" spans="1:7" x14ac:dyDescent="0.25">
      <c r="A24" s="26"/>
    </row>
    <row r="25" spans="1:7" x14ac:dyDescent="0.25">
      <c r="A25" s="26">
        <v>1.5</v>
      </c>
      <c r="B25" s="2" t="s">
        <v>75</v>
      </c>
      <c r="C25" s="54">
        <f>+$C$12/3/C6</f>
        <v>3333.3333333333335</v>
      </c>
      <c r="D25" s="54">
        <f t="shared" ref="D25:E25" si="5">+$C$12/3/D6</f>
        <v>1250</v>
      </c>
      <c r="E25" s="54">
        <f t="shared" si="5"/>
        <v>4166.666666666667</v>
      </c>
    </row>
    <row r="26" spans="1:7" x14ac:dyDescent="0.25">
      <c r="A26" s="26">
        <v>1.5</v>
      </c>
      <c r="B26" s="2" t="s">
        <v>76</v>
      </c>
      <c r="C26" s="54">
        <f>+$C$13/SUM($C$6:$E$6)</f>
        <v>6500</v>
      </c>
      <c r="D26" s="54">
        <f t="shared" ref="D26:E26" si="6">+$C$13/SUM($C$6:$E$6)</f>
        <v>6500</v>
      </c>
      <c r="E26" s="54">
        <f t="shared" si="6"/>
        <v>6500</v>
      </c>
    </row>
    <row r="27" spans="1:7" x14ac:dyDescent="0.25">
      <c r="A27" s="26">
        <v>1.5</v>
      </c>
      <c r="B27" s="2" t="s">
        <v>77</v>
      </c>
      <c r="C27" s="54">
        <f>+($C$14-$F$29)/SUM($C$6:$E$6)</f>
        <v>3700</v>
      </c>
      <c r="D27" s="54">
        <f t="shared" ref="D27:E27" si="7">+($C$14-$F$29)/SUM($C$6:$E$6)</f>
        <v>3700</v>
      </c>
      <c r="E27" s="54">
        <f t="shared" si="7"/>
        <v>3700</v>
      </c>
    </row>
    <row r="28" spans="1:7" x14ac:dyDescent="0.25">
      <c r="A28" s="26"/>
    </row>
    <row r="29" spans="1:7" x14ac:dyDescent="0.25">
      <c r="A29" s="26"/>
      <c r="B29" s="2" t="s">
        <v>78</v>
      </c>
      <c r="C29" s="54">
        <v>1500</v>
      </c>
      <c r="D29" s="54">
        <v>800</v>
      </c>
      <c r="E29" s="54">
        <v>2000</v>
      </c>
      <c r="F29" s="2">
        <f>+SUMPRODUCT(C6:E6,C29:E29)</f>
        <v>78500</v>
      </c>
    </row>
    <row r="30" spans="1:7" x14ac:dyDescent="0.25">
      <c r="A30" s="26"/>
    </row>
    <row r="31" spans="1:7" x14ac:dyDescent="0.25">
      <c r="A31" s="26"/>
    </row>
    <row r="32" spans="1:7" x14ac:dyDescent="0.25">
      <c r="A32" s="26">
        <v>1.5</v>
      </c>
      <c r="B32" s="2" t="s">
        <v>79</v>
      </c>
      <c r="C32" s="56">
        <f>+C9+C21+C23*$G$23+C25+C26+C27+C29</f>
        <v>52890.476190476191</v>
      </c>
      <c r="D32" s="56">
        <f t="shared" ref="D32:E32" si="8">+D9+D21+D23*$G$23+D25+D26+D27+D29</f>
        <v>32785.71428571429</v>
      </c>
      <c r="E32" s="56">
        <f t="shared" si="8"/>
        <v>183509.52380952379</v>
      </c>
      <c r="F32" s="57"/>
    </row>
    <row r="33" spans="1:6" x14ac:dyDescent="0.25">
      <c r="A33" s="26"/>
      <c r="C33" s="56"/>
      <c r="D33" s="56"/>
      <c r="E33" s="56"/>
      <c r="F33" s="57"/>
    </row>
    <row r="34" spans="1:6" x14ac:dyDescent="0.25">
      <c r="A34" s="26">
        <v>1</v>
      </c>
      <c r="B34" s="2" t="s">
        <v>80</v>
      </c>
      <c r="C34" s="56">
        <f>+SUMPRODUCT(C7:E7,C4:E4)</f>
        <v>4280000</v>
      </c>
      <c r="D34" s="56"/>
      <c r="E34" s="56"/>
      <c r="F34" s="57"/>
    </row>
    <row r="35" spans="1:6" x14ac:dyDescent="0.25">
      <c r="A35" s="26">
        <v>1</v>
      </c>
      <c r="B35" s="39" t="s">
        <v>81</v>
      </c>
      <c r="C35" s="58">
        <f>-SUMPRODUCT(C7:E7,C32:E32)</f>
        <v>-3162490.4761904757</v>
      </c>
      <c r="D35" s="56"/>
      <c r="E35" s="56"/>
      <c r="F35" s="57"/>
    </row>
    <row r="36" spans="1:6" x14ac:dyDescent="0.25">
      <c r="A36" s="26"/>
      <c r="B36" s="2" t="s">
        <v>82</v>
      </c>
      <c r="C36" s="56">
        <f>+C34+C35</f>
        <v>1117509.5238095243</v>
      </c>
      <c r="D36" s="56"/>
      <c r="E36" s="56"/>
      <c r="F36" s="57"/>
    </row>
    <row r="37" spans="1:6" x14ac:dyDescent="0.25">
      <c r="A37" s="26">
        <v>0.5</v>
      </c>
      <c r="B37" s="2" t="s">
        <v>70</v>
      </c>
      <c r="C37" s="56">
        <f>-C16</f>
        <v>-200000</v>
      </c>
      <c r="D37" s="56"/>
      <c r="E37" s="56"/>
      <c r="F37" s="57"/>
    </row>
    <row r="38" spans="1:6" x14ac:dyDescent="0.25">
      <c r="A38" s="26">
        <v>0.5</v>
      </c>
      <c r="B38" s="39" t="s">
        <v>52</v>
      </c>
      <c r="C38" s="58">
        <f>-C18</f>
        <v>-250000</v>
      </c>
      <c r="D38" s="56"/>
      <c r="E38" s="56"/>
      <c r="F38" s="57"/>
    </row>
    <row r="39" spans="1:6" x14ac:dyDescent="0.25">
      <c r="A39" s="26"/>
      <c r="B39" s="2" t="s">
        <v>83</v>
      </c>
      <c r="C39" s="56">
        <f>+C36+C37+C38</f>
        <v>667509.52380952425</v>
      </c>
      <c r="D39" s="56"/>
      <c r="E39" s="56"/>
      <c r="F39" s="57"/>
    </row>
    <row r="40" spans="1:6" x14ac:dyDescent="0.25">
      <c r="C40" s="56"/>
      <c r="D40" s="56"/>
      <c r="E40" s="56"/>
      <c r="F40" s="57"/>
    </row>
    <row r="41" spans="1:6" x14ac:dyDescent="0.25">
      <c r="A41" s="2" t="s">
        <v>58</v>
      </c>
      <c r="B41" s="2" t="s">
        <v>84</v>
      </c>
    </row>
    <row r="42" spans="1:6" x14ac:dyDescent="0.25">
      <c r="A42" s="26">
        <v>1</v>
      </c>
      <c r="B42" s="2" t="s">
        <v>85</v>
      </c>
      <c r="C42" s="59">
        <f>+C32*(C6-C7)</f>
        <v>423123.80952380953</v>
      </c>
      <c r="D42" s="59">
        <f t="shared" ref="D42:E42" si="9">+D32*(D6-D7)</f>
        <v>721285.71428571432</v>
      </c>
      <c r="E42" s="59">
        <f t="shared" si="9"/>
        <v>0</v>
      </c>
      <c r="F42" s="60">
        <f>+SUM(C42:E42)</f>
        <v>1144409.5238095238</v>
      </c>
    </row>
    <row r="43" spans="1:6" x14ac:dyDescent="0.25">
      <c r="A43" s="26">
        <v>2</v>
      </c>
      <c r="B43" s="2" t="s">
        <v>39</v>
      </c>
      <c r="C43" s="59">
        <f>+(C6-C7)*(C9+C21+C29)</f>
        <v>234857.14285714284</v>
      </c>
      <c r="D43" s="59">
        <f t="shared" ref="D43:E43" si="10">+(D6-D7)*(D9+D21+D29)</f>
        <v>359385.71428571432</v>
      </c>
      <c r="E43" s="59">
        <f t="shared" si="10"/>
        <v>0</v>
      </c>
      <c r="F43" s="60">
        <f>+SUM(C43:E43)</f>
        <v>594242.85714285716</v>
      </c>
    </row>
    <row r="44" spans="1:6" x14ac:dyDescent="0.25">
      <c r="A44" s="26">
        <v>2</v>
      </c>
      <c r="B44" s="2" t="s">
        <v>86</v>
      </c>
      <c r="C44" s="59">
        <f>+(C6-C7)*C9</f>
        <v>200000</v>
      </c>
      <c r="D44" s="59">
        <f t="shared" ref="D44:E44" si="11">+(D6-D7)*D9</f>
        <v>330000</v>
      </c>
      <c r="E44" s="59">
        <f t="shared" si="11"/>
        <v>0</v>
      </c>
      <c r="F44" s="60">
        <f>+SUM(C44:E44)</f>
        <v>530000</v>
      </c>
    </row>
    <row r="46" spans="1:6" ht="15" customHeight="1" x14ac:dyDescent="0.25">
      <c r="A46" s="2" t="s">
        <v>87</v>
      </c>
      <c r="B46" s="61" t="s">
        <v>88</v>
      </c>
      <c r="C46" s="61"/>
      <c r="D46" s="61"/>
      <c r="E46" s="61"/>
      <c r="F46" s="61"/>
    </row>
    <row r="47" spans="1:6" x14ac:dyDescent="0.25">
      <c r="B47" s="61"/>
      <c r="C47" s="61"/>
      <c r="D47" s="61"/>
      <c r="E47" s="61"/>
      <c r="F47" s="61"/>
    </row>
    <row r="48" spans="1:6" x14ac:dyDescent="0.25">
      <c r="B48" s="61"/>
      <c r="C48" s="61"/>
      <c r="D48" s="61"/>
      <c r="E48" s="61"/>
      <c r="F48" s="61"/>
    </row>
    <row r="49" spans="1:6" x14ac:dyDescent="0.25">
      <c r="B49" s="61"/>
      <c r="C49" s="61"/>
      <c r="D49" s="61"/>
      <c r="E49" s="61"/>
      <c r="F49" s="61"/>
    </row>
    <row r="50" spans="1:6" x14ac:dyDescent="0.25">
      <c r="B50" s="61"/>
      <c r="C50" s="61"/>
      <c r="D50" s="61"/>
      <c r="E50" s="61"/>
      <c r="F50" s="61"/>
    </row>
    <row r="51" spans="1:6" x14ac:dyDescent="0.25">
      <c r="B51" s="61"/>
      <c r="C51" s="61"/>
      <c r="D51" s="61"/>
      <c r="E51" s="61"/>
      <c r="F51" s="61"/>
    </row>
    <row r="52" spans="1:6" x14ac:dyDescent="0.25">
      <c r="B52" s="61"/>
      <c r="C52" s="61"/>
      <c r="D52" s="61"/>
      <c r="E52" s="61"/>
      <c r="F52" s="61"/>
    </row>
    <row r="53" spans="1:6" x14ac:dyDescent="0.25">
      <c r="B53" s="61"/>
      <c r="C53" s="61"/>
      <c r="D53" s="61"/>
      <c r="E53" s="61"/>
      <c r="F53" s="61"/>
    </row>
    <row r="54" spans="1:6" x14ac:dyDescent="0.25">
      <c r="A54" s="2" t="s">
        <v>89</v>
      </c>
    </row>
    <row r="55" spans="1:6" x14ac:dyDescent="0.25">
      <c r="B55" s="37"/>
      <c r="C55" s="38" t="s">
        <v>59</v>
      </c>
      <c r="D55" s="38" t="s">
        <v>60</v>
      </c>
      <c r="E55" s="38" t="s">
        <v>61</v>
      </c>
    </row>
    <row r="56" spans="1:6" x14ac:dyDescent="0.25">
      <c r="B56" s="8" t="s">
        <v>90</v>
      </c>
      <c r="C56" s="38">
        <v>18</v>
      </c>
      <c r="D56" s="38">
        <v>20</v>
      </c>
      <c r="E56" s="38">
        <v>10</v>
      </c>
      <c r="F56" s="2">
        <f>+SUM(C56:E56)</f>
        <v>48</v>
      </c>
    </row>
    <row r="57" spans="1:6" x14ac:dyDescent="0.25">
      <c r="A57" s="26"/>
      <c r="B57" s="8" t="s">
        <v>91</v>
      </c>
      <c r="C57" s="38">
        <v>15</v>
      </c>
      <c r="D57" s="38">
        <v>30</v>
      </c>
      <c r="E57" s="38">
        <v>8</v>
      </c>
    </row>
    <row r="58" spans="1:6" x14ac:dyDescent="0.25">
      <c r="A58" s="26"/>
    </row>
    <row r="59" spans="1:6" x14ac:dyDescent="0.25">
      <c r="A59" s="26"/>
      <c r="B59" s="2" t="s">
        <v>92</v>
      </c>
      <c r="C59" s="4">
        <f>+C6-C7</f>
        <v>8</v>
      </c>
      <c r="D59" s="4">
        <f t="shared" ref="D59:E59" si="12">+D6-D7</f>
        <v>22</v>
      </c>
      <c r="E59" s="4">
        <f t="shared" si="12"/>
        <v>0</v>
      </c>
    </row>
    <row r="60" spans="1:6" x14ac:dyDescent="0.25">
      <c r="A60" s="26">
        <v>1.5</v>
      </c>
      <c r="B60" s="2" t="s">
        <v>93</v>
      </c>
      <c r="C60" s="56">
        <f>+C9+C29+C21</f>
        <v>29357.142857142855</v>
      </c>
      <c r="D60" s="56">
        <f t="shared" ref="D60:E60" si="13">+D9+D29+D21</f>
        <v>16335.714285714286</v>
      </c>
      <c r="E60" s="56">
        <f t="shared" si="13"/>
        <v>139142.85714285713</v>
      </c>
    </row>
    <row r="61" spans="1:6" x14ac:dyDescent="0.25">
      <c r="A61" s="26"/>
      <c r="B61" s="2" t="s">
        <v>94</v>
      </c>
      <c r="C61" s="4">
        <f>+C57-C59</f>
        <v>7</v>
      </c>
      <c r="D61" s="4">
        <f t="shared" ref="D61:E61" si="14">+D57-D59</f>
        <v>8</v>
      </c>
      <c r="E61" s="4">
        <f t="shared" si="14"/>
        <v>8</v>
      </c>
    </row>
    <row r="62" spans="1:6" x14ac:dyDescent="0.25">
      <c r="A62" s="26">
        <v>1.5</v>
      </c>
      <c r="B62" s="2" t="s">
        <v>95</v>
      </c>
      <c r="C62" s="59">
        <f>+C9+C21</f>
        <v>27857.142857142855</v>
      </c>
      <c r="D62" s="59">
        <f t="shared" ref="D62:E62" si="15">+D9+D21</f>
        <v>15535.714285714286</v>
      </c>
      <c r="E62" s="59">
        <f t="shared" si="15"/>
        <v>137142.85714285713</v>
      </c>
    </row>
    <row r="63" spans="1:6" x14ac:dyDescent="0.25">
      <c r="A63" s="26"/>
    </row>
    <row r="64" spans="1:6" x14ac:dyDescent="0.25">
      <c r="A64" s="26"/>
    </row>
    <row r="65" spans="1:3" x14ac:dyDescent="0.25">
      <c r="A65" s="26">
        <v>1</v>
      </c>
      <c r="B65" s="2" t="s">
        <v>80</v>
      </c>
      <c r="C65" s="59">
        <f>+SUMPRODUCT(C57:E57,C4:E4)</f>
        <v>4400000</v>
      </c>
    </row>
    <row r="66" spans="1:3" x14ac:dyDescent="0.25">
      <c r="A66" s="26">
        <v>1.5</v>
      </c>
      <c r="B66" s="39" t="s">
        <v>96</v>
      </c>
      <c r="C66" s="62">
        <f>-SUMPRODUCT(C59:E59,C60:E60)-SUMPRODUCT(C61:E61,C62:E62)</f>
        <v>-2010671.4285714286</v>
      </c>
    </row>
    <row r="67" spans="1:3" x14ac:dyDescent="0.25">
      <c r="A67" s="26"/>
      <c r="B67" s="2" t="s">
        <v>97</v>
      </c>
      <c r="C67" s="59">
        <f>+C65+C66</f>
        <v>2389328.5714285714</v>
      </c>
    </row>
    <row r="68" spans="1:3" x14ac:dyDescent="0.25">
      <c r="A68" s="26">
        <v>0.5</v>
      </c>
      <c r="B68" s="2" t="s">
        <v>98</v>
      </c>
      <c r="C68" s="59">
        <f>-C11</f>
        <v>-710000</v>
      </c>
    </row>
    <row r="69" spans="1:3" x14ac:dyDescent="0.25">
      <c r="A69" s="26"/>
      <c r="B69" s="2" t="s">
        <v>99</v>
      </c>
      <c r="C69" s="59">
        <v>-200000</v>
      </c>
    </row>
    <row r="70" spans="1:3" x14ac:dyDescent="0.25">
      <c r="A70" s="26"/>
      <c r="B70" s="2" t="s">
        <v>100</v>
      </c>
      <c r="C70" s="59">
        <v>-550000</v>
      </c>
    </row>
    <row r="71" spans="1:3" x14ac:dyDescent="0.25">
      <c r="A71" s="26">
        <v>1</v>
      </c>
      <c r="B71" s="2" t="s">
        <v>37</v>
      </c>
      <c r="C71" s="59">
        <f>-C14+F29</f>
        <v>-247900</v>
      </c>
    </row>
    <row r="72" spans="1:3" x14ac:dyDescent="0.25">
      <c r="A72" s="26">
        <v>0.5</v>
      </c>
      <c r="B72" s="2" t="s">
        <v>70</v>
      </c>
      <c r="C72" s="59">
        <f>-C16</f>
        <v>-200000</v>
      </c>
    </row>
    <row r="73" spans="1:3" x14ac:dyDescent="0.25">
      <c r="A73" s="26">
        <v>0.5</v>
      </c>
      <c r="B73" s="39" t="s">
        <v>52</v>
      </c>
      <c r="C73" s="62">
        <f>-C18</f>
        <v>-250000</v>
      </c>
    </row>
    <row r="74" spans="1:3" x14ac:dyDescent="0.25">
      <c r="A74" s="26"/>
      <c r="B74" s="2" t="s">
        <v>83</v>
      </c>
      <c r="C74" s="59">
        <f>+C67+SUM(C68:C73)</f>
        <v>231428.57142857136</v>
      </c>
    </row>
    <row r="75" spans="1:3" x14ac:dyDescent="0.25">
      <c r="A75" s="26"/>
      <c r="C75" s="59"/>
    </row>
    <row r="76" spans="1:3" x14ac:dyDescent="0.25">
      <c r="A76" s="26"/>
    </row>
    <row r="77" spans="1:3" x14ac:dyDescent="0.25">
      <c r="A77" s="26"/>
    </row>
    <row r="78" spans="1:3" x14ac:dyDescent="0.25">
      <c r="A78" s="26"/>
    </row>
    <row r="79" spans="1:3" x14ac:dyDescent="0.25">
      <c r="A79" s="26"/>
    </row>
    <row r="80" spans="1:3" x14ac:dyDescent="0.25">
      <c r="A80" s="26"/>
    </row>
    <row r="81" spans="1:1" x14ac:dyDescent="0.25">
      <c r="A81" s="26"/>
    </row>
    <row r="82" spans="1:1" x14ac:dyDescent="0.25">
      <c r="A82" s="26"/>
    </row>
  </sheetData>
  <mergeCells count="8">
    <mergeCell ref="C18:E18"/>
    <mergeCell ref="B46:F53"/>
    <mergeCell ref="C10:E10"/>
    <mergeCell ref="C11:E11"/>
    <mergeCell ref="C12:E12"/>
    <mergeCell ref="C13:E13"/>
    <mergeCell ref="C14:E14"/>
    <mergeCell ref="C16:E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Tema I</vt:lpstr>
      <vt:lpstr>Tema I (errores comunes)</vt:lpstr>
      <vt:lpstr>Tema II</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 Sasmay</dc:creator>
  <cp:lastModifiedBy>Alberto Sasmay</cp:lastModifiedBy>
  <dcterms:created xsi:type="dcterms:W3CDTF">2015-05-06T04:10:17Z</dcterms:created>
  <dcterms:modified xsi:type="dcterms:W3CDTF">2015-08-12T01:06:23Z</dcterms:modified>
</cp:coreProperties>
</file>