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sas_000\Documents\COMERCIAL\Sem X\Ayudantia CONTA\AYUDANTIAS\"/>
    </mc:Choice>
  </mc:AlternateContent>
  <bookViews>
    <workbookView xWindow="0" yWindow="0" windowWidth="20490" windowHeight="7125"/>
  </bookViews>
  <sheets>
    <sheet name="Tema I" sheetId="1" r:id="rId1"/>
    <sheet name="Tema II" sheetId="4" r:id="rId2"/>
    <sheet name="Tema III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6" i="5" s="1"/>
  <c r="G2" i="5"/>
  <c r="G5" i="5" l="1"/>
  <c r="G26" i="5" s="1"/>
  <c r="G27" i="5" s="1"/>
  <c r="D84" i="4"/>
  <c r="E84" i="4" s="1"/>
  <c r="C84" i="4"/>
  <c r="D81" i="4"/>
  <c r="E81" i="4" s="1"/>
  <c r="C81" i="4"/>
  <c r="D80" i="4"/>
  <c r="D82" i="4" s="1"/>
  <c r="C80" i="4"/>
  <c r="C82" i="4" s="1"/>
  <c r="E65" i="4"/>
  <c r="D65" i="4"/>
  <c r="C65" i="4"/>
  <c r="D64" i="4"/>
  <c r="D66" i="4" s="1"/>
  <c r="D58" i="4"/>
  <c r="D68" i="4" s="1"/>
  <c r="C58" i="4"/>
  <c r="E58" i="4" s="1"/>
  <c r="D56" i="4"/>
  <c r="C56" i="4"/>
  <c r="D55" i="4"/>
  <c r="C55" i="4"/>
  <c r="E55" i="4" s="1"/>
  <c r="E54" i="4"/>
  <c r="D54" i="4"/>
  <c r="C64" i="4" s="1"/>
  <c r="C54" i="4"/>
  <c r="C57" i="4" s="1"/>
  <c r="C59" i="4" s="1"/>
  <c r="C45" i="4"/>
  <c r="E45" i="4" s="1"/>
  <c r="C42" i="4"/>
  <c r="D45" i="4" s="1"/>
  <c r="C41" i="4"/>
  <c r="C40" i="4"/>
  <c r="C35" i="4"/>
  <c r="F26" i="4"/>
  <c r="E26" i="4"/>
  <c r="D26" i="4"/>
  <c r="C26" i="4"/>
  <c r="F23" i="4"/>
  <c r="E23" i="4"/>
  <c r="D23" i="4"/>
  <c r="C23" i="4"/>
  <c r="F22" i="4"/>
  <c r="E22" i="4"/>
  <c r="D22" i="4"/>
  <c r="C22" i="4"/>
  <c r="G16" i="5" l="1"/>
  <c r="G18" i="5" s="1"/>
  <c r="G19" i="5" s="1"/>
  <c r="G9" i="5"/>
  <c r="G11" i="5" s="1"/>
  <c r="G12" i="5" s="1"/>
  <c r="C48" i="4"/>
  <c r="C47" i="4"/>
  <c r="C67" i="4"/>
  <c r="C69" i="4" s="1"/>
  <c r="C66" i="4"/>
  <c r="E64" i="4"/>
  <c r="E67" i="4" s="1"/>
  <c r="E57" i="4"/>
  <c r="E59" i="4" s="1"/>
  <c r="D67" i="4"/>
  <c r="D69" i="4" s="1"/>
  <c r="C83" i="4"/>
  <c r="C85" i="4" s="1"/>
  <c r="D83" i="4"/>
  <c r="D85" i="4" s="1"/>
  <c r="C68" i="4"/>
  <c r="E68" i="4" s="1"/>
  <c r="E80" i="4"/>
  <c r="E83" i="4" s="1"/>
  <c r="E85" i="4" s="1"/>
  <c r="D57" i="4"/>
  <c r="D59" i="4" s="1"/>
  <c r="E69" i="4" l="1"/>
  <c r="C26" i="1" l="1"/>
  <c r="C22" i="1"/>
  <c r="F19" i="1"/>
  <c r="F18" i="1"/>
  <c r="F17" i="1"/>
  <c r="C12" i="1"/>
  <c r="C10" i="1"/>
  <c r="C9" i="1"/>
  <c r="C8" i="1"/>
  <c r="C7" i="1"/>
  <c r="J6" i="1"/>
  <c r="I6" i="1"/>
  <c r="D6" i="1"/>
  <c r="H6" i="1" s="1"/>
  <c r="C6" i="1"/>
  <c r="M5" i="1"/>
  <c r="J5" i="1"/>
  <c r="I5" i="1"/>
  <c r="D5" i="1"/>
  <c r="L5" i="1" s="1"/>
  <c r="C5" i="1"/>
  <c r="C4" i="1"/>
  <c r="C3" i="1"/>
  <c r="C13" i="1" s="1"/>
  <c r="D30" i="1" s="1"/>
  <c r="E30" i="1" s="1"/>
  <c r="J30" i="1" l="1"/>
  <c r="F30" i="1"/>
  <c r="I30" i="1"/>
  <c r="H30" i="1"/>
  <c r="G30" i="1"/>
  <c r="D31" i="1"/>
  <c r="K5" i="1"/>
  <c r="H5" i="1"/>
  <c r="D32" i="1" l="1"/>
  <c r="E31" i="1"/>
  <c r="G31" i="1" l="1"/>
  <c r="J31" i="1"/>
  <c r="F31" i="1"/>
  <c r="I31" i="1"/>
  <c r="H31" i="1"/>
  <c r="D33" i="1"/>
  <c r="E32" i="1"/>
  <c r="E33" i="1" l="1"/>
  <c r="D34" i="1"/>
  <c r="H32" i="1"/>
  <c r="G32" i="1"/>
  <c r="J32" i="1"/>
  <c r="F32" i="1"/>
  <c r="I32" i="1"/>
  <c r="E34" i="1" l="1"/>
  <c r="D35" i="1"/>
  <c r="I33" i="1"/>
  <c r="H33" i="1"/>
  <c r="G33" i="1"/>
  <c r="J33" i="1"/>
  <c r="F33" i="1"/>
  <c r="D36" i="1" l="1"/>
  <c r="E35" i="1"/>
  <c r="J34" i="1"/>
  <c r="F34" i="1"/>
  <c r="I34" i="1"/>
  <c r="H34" i="1"/>
  <c r="G34" i="1"/>
  <c r="G35" i="1" l="1"/>
  <c r="J35" i="1"/>
  <c r="F35" i="1"/>
  <c r="I35" i="1"/>
  <c r="H35" i="1"/>
  <c r="D37" i="1"/>
  <c r="E36" i="1"/>
  <c r="H36" i="1" l="1"/>
  <c r="G36" i="1"/>
  <c r="J36" i="1"/>
  <c r="F36" i="1"/>
  <c r="I36" i="1"/>
  <c r="E37" i="1"/>
  <c r="D38" i="1"/>
  <c r="E38" i="1" s="1"/>
  <c r="J38" i="1" l="1"/>
  <c r="F38" i="1"/>
  <c r="I38" i="1"/>
  <c r="H38" i="1"/>
  <c r="G38" i="1"/>
  <c r="I37" i="1"/>
  <c r="H37" i="1"/>
  <c r="G37" i="1"/>
  <c r="J37" i="1"/>
  <c r="F37" i="1"/>
</calcChain>
</file>

<file path=xl/sharedStrings.xml><?xml version="1.0" encoding="utf-8"?>
<sst xmlns="http://schemas.openxmlformats.org/spreadsheetml/2006/main" count="237" uniqueCount="170">
  <si>
    <t>a.</t>
  </si>
  <si>
    <t>b.</t>
  </si>
  <si>
    <t>Precio</t>
  </si>
  <si>
    <t>a)</t>
  </si>
  <si>
    <t>b)</t>
  </si>
  <si>
    <t>Utilidad</t>
  </si>
  <si>
    <t>c)</t>
  </si>
  <si>
    <t>Mano de Obra Directa</t>
  </si>
  <si>
    <t>Costos Fijos (anuales)</t>
  </si>
  <si>
    <t>$</t>
  </si>
  <si>
    <t>Rango Relevante</t>
  </si>
  <si>
    <t>Personas depto creativo</t>
  </si>
  <si>
    <t>Viajes</t>
  </si>
  <si>
    <t>2 personas</t>
  </si>
  <si>
    <t>3 perosonas</t>
  </si>
  <si>
    <t>4 personas</t>
  </si>
  <si>
    <t>5 perosonas</t>
  </si>
  <si>
    <t>6 personas</t>
  </si>
  <si>
    <t>7 personas</t>
  </si>
  <si>
    <t>Operario producción</t>
  </si>
  <si>
    <t>unidades producidas anualmente</t>
  </si>
  <si>
    <t>Supervisor producción</t>
  </si>
  <si>
    <t>Publicidad diarios</t>
  </si>
  <si>
    <t>Publicista</t>
  </si>
  <si>
    <t>Vendedores</t>
  </si>
  <si>
    <t>productos vendidos anualmente</t>
  </si>
  <si>
    <t>Finanzas y RRHH</t>
  </si>
  <si>
    <t>Fábrica</t>
  </si>
  <si>
    <t>Arriendo local</t>
  </si>
  <si>
    <t>Total</t>
  </si>
  <si>
    <t>Margen Contribución</t>
  </si>
  <si>
    <t>Costo</t>
  </si>
  <si>
    <t>Proporción</t>
  </si>
  <si>
    <t>Gorros y tocados</t>
  </si>
  <si>
    <t>Collares y accesorios menores (pack de 10 un.)</t>
  </si>
  <si>
    <t>Cotillón luminoso (pack 10 un.)</t>
  </si>
  <si>
    <t>Costo Comisión</t>
  </si>
  <si>
    <t>Margen Contribución Canasta</t>
  </si>
  <si>
    <t>Punto de Equilibrio</t>
  </si>
  <si>
    <t>Utilidad anual</t>
  </si>
  <si>
    <t>Impuesto</t>
  </si>
  <si>
    <t>No se necesita calcular cada prod. unitario</t>
  </si>
  <si>
    <t>Personas</t>
  </si>
  <si>
    <t>CF</t>
  </si>
  <si>
    <t>Q (canastas)</t>
  </si>
  <si>
    <t>Gorros</t>
  </si>
  <si>
    <t>Collares</t>
  </si>
  <si>
    <t>Cotillón</t>
  </si>
  <si>
    <t>Un. Producidas</t>
  </si>
  <si>
    <t>Prod. Vendidos</t>
  </si>
  <si>
    <t>Equilibrio rango 1 (producción &lt; 96.000) (ventas &lt; 120.000)</t>
  </si>
  <si>
    <t>1 op, 1 sup, 3 vend</t>
  </si>
  <si>
    <t>Fuera de rango de producción (superamos las 480.000 unidades por lo tanto no es necesario analizar rangos 2,3,4,5 y 6)</t>
  </si>
  <si>
    <t>Equilibrio rango 2 (96.000 &lt;prod. &lt; 192.000) (vta &lt; 120.000)</t>
  </si>
  <si>
    <t>2 op, 1 sup, 3 vend</t>
  </si>
  <si>
    <t>No es necesario de analizar</t>
  </si>
  <si>
    <t>Equilibrio rango 3 (192.000 &lt;prod. &lt; 252.000) (vta &lt; 120.000)</t>
  </si>
  <si>
    <t>3 op, 1 sup, 3 vend</t>
  </si>
  <si>
    <t>Equilibrio rango 4 (252.000 &lt;prod. &lt; 288.000) (vta &lt; 120.000)</t>
  </si>
  <si>
    <t>3 op, 2 sup, 3 vend</t>
  </si>
  <si>
    <t>Equilibrio rango 5 (288.000 &lt;prod. &lt; 384.000) (vta &lt; 120.000)</t>
  </si>
  <si>
    <t>4 op, 2 sup, 3 vend</t>
  </si>
  <si>
    <t>Equilibrio rango 6 (384.000 &lt;prod. &lt; 480.000) (vta &lt; 120.000)</t>
  </si>
  <si>
    <t>5 op, 2 sup, 3 vend</t>
  </si>
  <si>
    <t>Equilibrio rango 7 (480.000 &lt;prod. &lt; 504.000) (vta &lt; 120.000)</t>
  </si>
  <si>
    <t>6 op, 2 sup, 3 vend</t>
  </si>
  <si>
    <t>Fuera de rango de producción (superamos las 576.000 unidades por lo tanto no es necesario analizar el rango 8)</t>
  </si>
  <si>
    <t>Equilibrio rango 8 (504.000 &lt;prod. &lt; 576.000) (vta &lt; 120.000)</t>
  </si>
  <si>
    <t>6 op, 3 sup, 3 vend</t>
  </si>
  <si>
    <t>Equilibrio rango 9 (576.000 &lt;prod. &lt; 672.000) (vta &lt; 120.000)</t>
  </si>
  <si>
    <t>7 op, 3 sup, 3 vend</t>
  </si>
  <si>
    <t>Equilibrio</t>
  </si>
  <si>
    <t>Por lo tanto necesitan 10 personas en el departamento de producción (7 operarios y 3 supervisores)</t>
  </si>
  <si>
    <t>Nota: como se pide el mínimo de personas a contratar, se busca el equilibrio más bajo (no es necesario seguir analizando escenarios)</t>
  </si>
  <si>
    <t>El ejercicio propuesto debe ser analizado por los alumnos, pero sugieron que ustedes lo hagan para que lo revisen bien y puedan resolver dudas si les mandan mails.</t>
  </si>
  <si>
    <t>EMBOMET</t>
  </si>
  <si>
    <t>EMBOSUR</t>
  </si>
  <si>
    <t>Poca Cola</t>
  </si>
  <si>
    <t>Spray</t>
  </si>
  <si>
    <t>Capacidad Instalada (gaseosas / año)</t>
  </si>
  <si>
    <t>Ventas (gaseosas /año)</t>
  </si>
  <si>
    <t>Precio de Venta Unitario</t>
  </si>
  <si>
    <t>Costos Fijos Anuales(1):</t>
  </si>
  <si>
    <t>Áreas de Admin. y Vtas.</t>
  </si>
  <si>
    <t>Área de Producción</t>
  </si>
  <si>
    <t>Costos Variables Unitarios(2):</t>
  </si>
  <si>
    <t>Materia Prima Directa</t>
  </si>
  <si>
    <t>Comisión EDA</t>
  </si>
  <si>
    <t>COSTOS FIJOS</t>
  </si>
  <si>
    <t>INGRESO</t>
  </si>
  <si>
    <t>CVU</t>
  </si>
  <si>
    <t>PTO EQ</t>
  </si>
  <si>
    <t>2,5p</t>
  </si>
  <si>
    <t>4p</t>
  </si>
  <si>
    <t>Tax</t>
  </si>
  <si>
    <t>Utilidad objetivo</t>
  </si>
  <si>
    <t xml:space="preserve">c) </t>
  </si>
  <si>
    <t>La proporción, dice el enunciado, es estable. Se espera que la proporción de ventas de Spray y P-C sea 1440/900</t>
  </si>
  <si>
    <t>Hay otro métodos de proporcionalidad que pueden hacer que lleguen al mismo resultado</t>
  </si>
  <si>
    <t>Proporción Spray/PocaCola</t>
  </si>
  <si>
    <t>Costos Fijos EDA</t>
  </si>
  <si>
    <t>Nótese que la comisión que cobra EDA no es relevante para calcular el punto de equilibrio de la multinacional en Chile. Si ponen las comisiones cobradas por EDA, quitar 2 puntos.</t>
  </si>
  <si>
    <t>MCU Poca Cola</t>
  </si>
  <si>
    <t>1p</t>
  </si>
  <si>
    <t>MCU Spray</t>
  </si>
  <si>
    <t>MCU Canasta/mix/Pack</t>
  </si>
  <si>
    <t>MCU mix</t>
  </si>
  <si>
    <t>Equilibrio EDA</t>
  </si>
  <si>
    <t>2p</t>
  </si>
  <si>
    <t>Unidades de Poca Cola</t>
  </si>
  <si>
    <t>0,5p</t>
  </si>
  <si>
    <t>Unidades de Spray</t>
  </si>
  <si>
    <t xml:space="preserve">d) </t>
  </si>
  <si>
    <t>Situación actual</t>
  </si>
  <si>
    <t>TOTAL</t>
  </si>
  <si>
    <t>(Poca Cola)</t>
  </si>
  <si>
    <t>(Spray)</t>
  </si>
  <si>
    <t>Ventas</t>
  </si>
  <si>
    <t>Costos Variables</t>
  </si>
  <si>
    <t>Comisión</t>
  </si>
  <si>
    <t>Costos Fijos</t>
  </si>
  <si>
    <t xml:space="preserve">Utilidad </t>
  </si>
  <si>
    <t>Situación nueva propuesta por directorio</t>
  </si>
  <si>
    <t>(PocaCola)</t>
  </si>
  <si>
    <t xml:space="preserve">e) </t>
  </si>
  <si>
    <t xml:space="preserve">Lo que le conviene a la empresa es fabricar la mayor cantidad de Spray (que tiene mayor margen) en EMBOMET, con costos de operación más baratos. Dada las capacidades máximas, hay que fabricar 1.440 Spray y 160 P-C en EMBOMET y el resto de P-C en EMBOSUR. </t>
  </si>
  <si>
    <t>3p</t>
  </si>
  <si>
    <t>(1440 Spray+160 PC)</t>
  </si>
  <si>
    <t>(740 PocaCola)</t>
  </si>
  <si>
    <t>PC</t>
  </si>
  <si>
    <t>NOTA:</t>
  </si>
  <si>
    <t>Como los costos variables de las plantas no dependen del tipo de producto, lo que conviene es utilizar toda la</t>
  </si>
  <si>
    <t>capacidad de EMBOMET que tiene costos más bajos. No importa la distribución, lo importante es producir</t>
  </si>
  <si>
    <t>1.600 unidades en EMBOMET y 740 unidades en EMBOSUR, sumando ambas producciones un total de</t>
  </si>
  <si>
    <t>900 Poca Cola y 1.440 Spray. Esto también recibe los 3 puntos.</t>
  </si>
  <si>
    <t>Ejemplos:</t>
  </si>
  <si>
    <t>Producir en EMBOMET 900 Poca Cola y 700 Spray, en EMBOSUR producir 740 Spray</t>
  </si>
  <si>
    <t>Utilidad = 900 * (300-135) + 700 * (360 – 135) + 740 * (360 – 150) – 255.510 = 205.890</t>
  </si>
  <si>
    <t>Producir en EMBOMET 160 Poca Cola y 1.440 Spray, en EMBOSUR producir 740 Poca Cola</t>
  </si>
  <si>
    <t>Utilidad = 1.440 * (300-135) + 160 * (360 – 135) + 740 * (300 – 150) – 255.510 = 205.890</t>
  </si>
  <si>
    <t>Maximo</t>
  </si>
  <si>
    <t>Costo Terrenos</t>
  </si>
  <si>
    <t>Costo maq</t>
  </si>
  <si>
    <t>Coso MDO</t>
  </si>
  <si>
    <t>Por cada litro</t>
  </si>
  <si>
    <t>Costo/litro</t>
  </si>
  <si>
    <t>GW</t>
  </si>
  <si>
    <t>Costo traslado</t>
  </si>
  <si>
    <t>$/GW resid</t>
  </si>
  <si>
    <t>$/GW libre</t>
  </si>
  <si>
    <t>Precio resid</t>
  </si>
  <si>
    <t>Precio libre</t>
  </si>
  <si>
    <t>CF total</t>
  </si>
  <si>
    <t>Costo 1GW</t>
  </si>
  <si>
    <t>MCU resid</t>
  </si>
  <si>
    <t>MCU libre</t>
  </si>
  <si>
    <t>55*X+35*2X-550000=0</t>
  </si>
  <si>
    <t>X=</t>
  </si>
  <si>
    <t>Resid</t>
  </si>
  <si>
    <t>Libre</t>
  </si>
  <si>
    <t>(55*X+35*2X-550000)*0,8=75000</t>
  </si>
  <si>
    <t>resid</t>
  </si>
  <si>
    <t>libre</t>
  </si>
  <si>
    <t>Nuevo Costo Fijo Extra</t>
  </si>
  <si>
    <t>Nueva Capacidad Extra</t>
  </si>
  <si>
    <t>OJO: está dentro de los 20000GW que puede producir</t>
  </si>
  <si>
    <t>Basta solo ver los incrementos (marginales) y solo hacer ese análisis</t>
  </si>
  <si>
    <t>Ut marginal antes de Tax</t>
  </si>
  <si>
    <t>Ut marginal despues de Tax</t>
  </si>
  <si>
    <t>Por lo tanto le conviene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</si>
</sst>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;[Red]\-&quot;$&quot;\ #,##0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71" formatCode="&quot;$&quot;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Fill="1"/>
    <xf numFmtId="0" fontId="0" fillId="0" borderId="0" xfId="0" applyFill="1"/>
    <xf numFmtId="166" fontId="0" fillId="0" borderId="0" xfId="0" applyNumberFormat="1" applyFill="1"/>
    <xf numFmtId="166" fontId="3" fillId="0" borderId="0" xfId="1" applyNumberFormat="1" applyFont="1"/>
    <xf numFmtId="166" fontId="2" fillId="0" borderId="0" xfId="1" applyNumberFormat="1" applyFont="1"/>
    <xf numFmtId="166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3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Font="1"/>
    <xf numFmtId="165" fontId="0" fillId="0" borderId="0" xfId="0" applyNumberFormat="1"/>
    <xf numFmtId="0" fontId="5" fillId="0" borderId="0" xfId="0" applyFont="1" applyFill="1" applyBorder="1"/>
    <xf numFmtId="9" fontId="0" fillId="0" borderId="0" xfId="2" applyFont="1" applyAlignment="1">
      <alignment horizontal="right"/>
    </xf>
    <xf numFmtId="0" fontId="2" fillId="0" borderId="0" xfId="0" applyFont="1"/>
    <xf numFmtId="166" fontId="3" fillId="0" borderId="0" xfId="1" applyNumberFormat="1" applyFont="1" applyAlignment="1">
      <alignment horizontal="center"/>
    </xf>
    <xf numFmtId="0" fontId="4" fillId="0" borderId="0" xfId="0" applyFont="1" applyFill="1" applyBorder="1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165" fontId="0" fillId="0" borderId="0" xfId="1" applyNumberFormat="1" applyFont="1"/>
    <xf numFmtId="0" fontId="0" fillId="0" borderId="0" xfId="0" applyAlignment="1"/>
    <xf numFmtId="167" fontId="0" fillId="0" borderId="0" xfId="1" applyNumberFormat="1" applyFont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64" fontId="3" fillId="0" borderId="0" xfId="0" applyNumberFormat="1" applyFont="1"/>
    <xf numFmtId="0" fontId="6" fillId="2" borderId="0" xfId="0" applyFont="1" applyFill="1" applyAlignment="1">
      <alignment horizontal="center" wrapText="1"/>
    </xf>
    <xf numFmtId="171" fontId="0" fillId="0" borderId="0" xfId="0" applyNumberFormat="1"/>
    <xf numFmtId="171" fontId="7" fillId="0" borderId="0" xfId="0" applyNumberFormat="1" applyFont="1"/>
    <xf numFmtId="0" fontId="0" fillId="0" borderId="0" xfId="0" applyAlignment="1">
      <alignment horizontal="center" wrapText="1"/>
    </xf>
    <xf numFmtId="171" fontId="0" fillId="2" borderId="0" xfId="0" applyNumberFormat="1" applyFill="1"/>
    <xf numFmtId="0" fontId="0" fillId="2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195263</xdr:colOff>
      <xdr:row>50</xdr:row>
      <xdr:rowOff>123826</xdr:rowOff>
    </xdr:from>
    <xdr:to>
      <xdr:col>12</xdr:col>
      <xdr:colOff>345281</xdr:colOff>
      <xdr:row>69</xdr:row>
      <xdr:rowOff>64719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6638" y="9648826"/>
          <a:ext cx="5484018" cy="3560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B46" sqref="B46"/>
    </sheetView>
  </sheetViews>
  <sheetFormatPr baseColWidth="10" defaultRowHeight="15" x14ac:dyDescent="0.25"/>
  <cols>
    <col min="1" max="1" width="4.85546875" customWidth="1"/>
    <col min="2" max="2" width="56.28515625" customWidth="1"/>
    <col min="3" max="3" width="19.5703125" style="2" customWidth="1"/>
    <col min="4" max="4" width="17.42578125" style="2" bestFit="1" customWidth="1"/>
    <col min="5" max="5" width="12.28515625" customWidth="1"/>
    <col min="7" max="7" width="14.140625" bestFit="1" customWidth="1"/>
    <col min="8" max="8" width="14.28515625" bestFit="1" customWidth="1"/>
    <col min="9" max="9" width="14.5703125" bestFit="1" customWidth="1"/>
    <col min="10" max="10" width="15.28515625" customWidth="1"/>
    <col min="12" max="12" width="11.5703125" bestFit="1" customWidth="1"/>
  </cols>
  <sheetData>
    <row r="1" spans="1:13" x14ac:dyDescent="0.25">
      <c r="A1" s="1" t="s">
        <v>0</v>
      </c>
      <c r="B1" s="1" t="s">
        <v>8</v>
      </c>
    </row>
    <row r="2" spans="1:13" x14ac:dyDescent="0.25">
      <c r="B2" s="1"/>
      <c r="C2" s="3" t="s">
        <v>9</v>
      </c>
      <c r="D2" s="2" t="s">
        <v>10</v>
      </c>
    </row>
    <row r="3" spans="1:13" x14ac:dyDescent="0.25">
      <c r="B3" t="s">
        <v>11</v>
      </c>
      <c r="C3" s="2">
        <f>2*700000*12</f>
        <v>16800000</v>
      </c>
    </row>
    <row r="4" spans="1:13" x14ac:dyDescent="0.25">
      <c r="B4" t="s">
        <v>12</v>
      </c>
      <c r="C4" s="2">
        <f>2*2000000</f>
        <v>4000000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</row>
    <row r="5" spans="1:13" x14ac:dyDescent="0.25">
      <c r="B5" t="s">
        <v>19</v>
      </c>
      <c r="C5" s="2">
        <f>500000*12</f>
        <v>6000000</v>
      </c>
      <c r="D5" s="4">
        <f>8000*12</f>
        <v>96000</v>
      </c>
      <c r="E5" s="5" t="s">
        <v>20</v>
      </c>
      <c r="F5" s="5"/>
      <c r="G5" s="5"/>
      <c r="H5" s="6">
        <f>D5*2</f>
        <v>192000</v>
      </c>
      <c r="I5" s="6">
        <f>D5*3</f>
        <v>288000</v>
      </c>
      <c r="J5" s="6">
        <f>D5*4</f>
        <v>384000</v>
      </c>
      <c r="K5" s="6">
        <f>D5*5</f>
        <v>480000</v>
      </c>
      <c r="L5" s="6">
        <f>D5*6</f>
        <v>576000</v>
      </c>
      <c r="M5" s="6">
        <f>D5*7</f>
        <v>672000</v>
      </c>
    </row>
    <row r="6" spans="1:13" x14ac:dyDescent="0.25">
      <c r="B6" t="s">
        <v>21</v>
      </c>
      <c r="C6" s="2">
        <f>900000*12</f>
        <v>10800000</v>
      </c>
      <c r="D6" s="4">
        <f>21000*12</f>
        <v>252000</v>
      </c>
      <c r="E6" s="5" t="s">
        <v>20</v>
      </c>
      <c r="F6" s="5"/>
      <c r="G6" s="5"/>
      <c r="H6" s="6">
        <f>D6*2</f>
        <v>504000</v>
      </c>
      <c r="I6" s="6">
        <f>D6*3</f>
        <v>756000</v>
      </c>
      <c r="J6" s="6">
        <f>D6*4</f>
        <v>1008000</v>
      </c>
      <c r="K6" s="5"/>
      <c r="L6" s="5"/>
      <c r="M6" s="5"/>
    </row>
    <row r="7" spans="1:13" x14ac:dyDescent="0.25">
      <c r="B7" t="s">
        <v>22</v>
      </c>
      <c r="C7" s="2">
        <f>8*100000*12</f>
        <v>9600000</v>
      </c>
      <c r="D7" s="4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B8" t="s">
        <v>23</v>
      </c>
      <c r="C8" s="2">
        <f>400000*12</f>
        <v>4800000</v>
      </c>
      <c r="D8" s="4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B9" t="s">
        <v>24</v>
      </c>
      <c r="C9" s="2">
        <f>3*300000*12</f>
        <v>10800000</v>
      </c>
      <c r="D9" s="4">
        <v>120000</v>
      </c>
      <c r="E9" s="5" t="s">
        <v>25</v>
      </c>
      <c r="F9" s="5"/>
      <c r="G9" s="5"/>
      <c r="H9" s="6"/>
      <c r="I9" s="6"/>
      <c r="J9" s="5"/>
      <c r="K9" s="5"/>
      <c r="L9" s="5"/>
      <c r="M9" s="5"/>
    </row>
    <row r="10" spans="1:13" x14ac:dyDescent="0.25">
      <c r="B10" t="s">
        <v>26</v>
      </c>
      <c r="C10" s="2">
        <f>2500000*12</f>
        <v>30000000</v>
      </c>
      <c r="D10" s="4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B11" t="s">
        <v>27</v>
      </c>
      <c r="C11" s="2">
        <v>20000000</v>
      </c>
    </row>
    <row r="12" spans="1:13" x14ac:dyDescent="0.25">
      <c r="B12" t="s">
        <v>28</v>
      </c>
      <c r="C12" s="2">
        <f>450000*12</f>
        <v>5400000</v>
      </c>
    </row>
    <row r="13" spans="1:13" x14ac:dyDescent="0.25">
      <c r="B13" t="s">
        <v>29</v>
      </c>
      <c r="C13" s="7">
        <f>SUM(C3:C12)</f>
        <v>118200000</v>
      </c>
      <c r="D13" s="8"/>
      <c r="E13" s="9"/>
    </row>
    <row r="15" spans="1:13" x14ac:dyDescent="0.25">
      <c r="B15" s="1" t="s">
        <v>30</v>
      </c>
    </row>
    <row r="16" spans="1:13" x14ac:dyDescent="0.25">
      <c r="B16" s="10"/>
      <c r="C16" s="11" t="s">
        <v>2</v>
      </c>
      <c r="D16" s="11" t="s">
        <v>31</v>
      </c>
      <c r="E16" s="1" t="s">
        <v>32</v>
      </c>
    </row>
    <row r="17" spans="2:11" x14ac:dyDescent="0.25">
      <c r="B17" s="12" t="s">
        <v>33</v>
      </c>
      <c r="C17" s="13">
        <v>5500</v>
      </c>
      <c r="D17" s="13">
        <v>3000</v>
      </c>
      <c r="E17" s="14">
        <v>3</v>
      </c>
      <c r="F17" s="2">
        <f>C17*(1-$C$21)-D17</f>
        <v>2335</v>
      </c>
    </row>
    <row r="18" spans="2:11" x14ac:dyDescent="0.25">
      <c r="B18" s="12" t="s">
        <v>34</v>
      </c>
      <c r="C18" s="13">
        <v>6000</v>
      </c>
      <c r="D18" s="13">
        <v>2500</v>
      </c>
      <c r="E18" s="14">
        <v>5</v>
      </c>
      <c r="F18" s="2">
        <f t="shared" ref="F18:F19" si="0">C18*(1-$C$21)-D18</f>
        <v>3320</v>
      </c>
    </row>
    <row r="19" spans="2:11" x14ac:dyDescent="0.25">
      <c r="B19" s="12" t="s">
        <v>35</v>
      </c>
      <c r="C19" s="13">
        <v>7000</v>
      </c>
      <c r="D19" s="13">
        <v>3800</v>
      </c>
      <c r="E19" s="14">
        <v>6</v>
      </c>
      <c r="F19" s="2">
        <f t="shared" si="0"/>
        <v>2990</v>
      </c>
      <c r="I19" s="15"/>
      <c r="J19" s="16"/>
    </row>
    <row r="20" spans="2:11" x14ac:dyDescent="0.25">
      <c r="I20" s="15"/>
      <c r="J20" s="16"/>
    </row>
    <row r="21" spans="2:11" x14ac:dyDescent="0.25">
      <c r="B21" s="17" t="s">
        <v>36</v>
      </c>
      <c r="C21" s="18">
        <v>0.03</v>
      </c>
      <c r="D21" s="19"/>
      <c r="I21" s="15"/>
      <c r="J21" s="16"/>
    </row>
    <row r="22" spans="2:11" x14ac:dyDescent="0.25">
      <c r="B22" s="17" t="s">
        <v>37</v>
      </c>
      <c r="C22" s="20">
        <f>E17*(C17*(1-C21)-D17)+E18*(C18*(1-C21)-D18)+E19*(C19*(1-C21)-D19)</f>
        <v>41545</v>
      </c>
      <c r="D22" s="8"/>
      <c r="I22" s="15"/>
      <c r="J22" s="16"/>
    </row>
    <row r="23" spans="2:11" x14ac:dyDescent="0.25">
      <c r="I23" s="15"/>
      <c r="J23" s="16"/>
    </row>
    <row r="24" spans="2:11" x14ac:dyDescent="0.25">
      <c r="B24" s="21" t="s">
        <v>38</v>
      </c>
      <c r="I24" s="15"/>
      <c r="J24" s="16"/>
    </row>
    <row r="25" spans="2:11" x14ac:dyDescent="0.25">
      <c r="I25" s="15"/>
      <c r="J25" s="16"/>
    </row>
    <row r="26" spans="2:11" x14ac:dyDescent="0.25">
      <c r="B26" t="s">
        <v>39</v>
      </c>
      <c r="C26" s="2">
        <f>4000000*12</f>
        <v>48000000</v>
      </c>
      <c r="I26" s="15"/>
      <c r="J26" s="16"/>
    </row>
    <row r="27" spans="2:11" x14ac:dyDescent="0.25">
      <c r="B27" t="s">
        <v>40</v>
      </c>
      <c r="C27" s="22">
        <v>0.2</v>
      </c>
    </row>
    <row r="28" spans="2:11" x14ac:dyDescent="0.25">
      <c r="F28" s="23" t="s">
        <v>41</v>
      </c>
      <c r="G28" s="23"/>
      <c r="H28" s="23"/>
      <c r="J28" s="16"/>
    </row>
    <row r="29" spans="2:11" x14ac:dyDescent="0.25">
      <c r="B29" s="19"/>
      <c r="C29" s="24" t="s">
        <v>42</v>
      </c>
      <c r="D29" s="24" t="s">
        <v>43</v>
      </c>
      <c r="E29" s="25" t="s">
        <v>44</v>
      </c>
      <c r="F29" s="25" t="s">
        <v>45</v>
      </c>
      <c r="G29" s="24" t="s">
        <v>46</v>
      </c>
      <c r="H29" s="24" t="s">
        <v>47</v>
      </c>
      <c r="I29" s="24" t="s">
        <v>48</v>
      </c>
      <c r="J29" s="24" t="s">
        <v>49</v>
      </c>
    </row>
    <row r="30" spans="2:11" x14ac:dyDescent="0.25">
      <c r="B30" t="s">
        <v>50</v>
      </c>
      <c r="C30" s="14" t="s">
        <v>51</v>
      </c>
      <c r="D30" s="9">
        <f>C13</f>
        <v>118200000</v>
      </c>
      <c r="E30" s="26">
        <f>(D30+$C$26/(1-$C$27))/$C$22</f>
        <v>4289.3248284992178</v>
      </c>
      <c r="F30" s="26">
        <f t="shared" ref="F30:F38" si="1">E30*$E$17</f>
        <v>12867.974485497652</v>
      </c>
      <c r="G30" s="16">
        <f t="shared" ref="G30:G38" si="2">E30*$E$18</f>
        <v>21446.62414249609</v>
      </c>
      <c r="H30" s="16">
        <f t="shared" ref="H30:H38" si="3">E30*$E$19</f>
        <v>25735.948970995305</v>
      </c>
      <c r="I30" s="16">
        <f>E30*($E$17+10*SUM($E$18:$E$19))</f>
        <v>484693.70562041161</v>
      </c>
      <c r="J30" s="16">
        <f>E30*SUM($E$17:$E$19)</f>
        <v>60050.547598989047</v>
      </c>
      <c r="K30" t="s">
        <v>52</v>
      </c>
    </row>
    <row r="31" spans="2:11" x14ac:dyDescent="0.25">
      <c r="B31" t="s">
        <v>53</v>
      </c>
      <c r="C31" s="14" t="s">
        <v>54</v>
      </c>
      <c r="D31" s="9">
        <f>D30+C5</f>
        <v>124200000</v>
      </c>
      <c r="E31" s="26">
        <f t="shared" ref="E31:E36" si="4">(D31+$C$26/(1-$C$27))/$C$22</f>
        <v>4433.7465398964978</v>
      </c>
      <c r="F31" s="26">
        <f t="shared" si="1"/>
        <v>13301.239619689493</v>
      </c>
      <c r="G31" s="16">
        <f t="shared" si="2"/>
        <v>22168.732699482491</v>
      </c>
      <c r="H31" s="16">
        <f t="shared" si="3"/>
        <v>26602.479239378987</v>
      </c>
      <c r="I31" s="16">
        <f t="shared" ref="I31:I37" si="5">E31*($E$17+10*SUM($E$18:$E$19))</f>
        <v>501013.35900830425</v>
      </c>
      <c r="J31" s="16">
        <f t="shared" ref="J31:J38" si="6">E31*SUM($E$17:$E$19)</f>
        <v>62072.451558550965</v>
      </c>
      <c r="K31" t="s">
        <v>55</v>
      </c>
    </row>
    <row r="32" spans="2:11" x14ac:dyDescent="0.25">
      <c r="B32" t="s">
        <v>56</v>
      </c>
      <c r="C32" s="14" t="s">
        <v>57</v>
      </c>
      <c r="D32" s="9">
        <f>D31+C5</f>
        <v>130200000</v>
      </c>
      <c r="E32" s="26">
        <f t="shared" si="4"/>
        <v>4578.1682512937778</v>
      </c>
      <c r="F32" s="26">
        <f t="shared" si="1"/>
        <v>13734.504753881334</v>
      </c>
      <c r="G32" s="16">
        <f t="shared" si="2"/>
        <v>22890.841256468888</v>
      </c>
      <c r="H32" s="16">
        <f t="shared" si="3"/>
        <v>27469.009507762668</v>
      </c>
      <c r="I32" s="16">
        <f t="shared" si="5"/>
        <v>517333.01239619689</v>
      </c>
      <c r="J32" s="16">
        <f t="shared" si="6"/>
        <v>64094.35551811289</v>
      </c>
      <c r="K32" t="s">
        <v>55</v>
      </c>
    </row>
    <row r="33" spans="1:11" x14ac:dyDescent="0.25">
      <c r="B33" t="s">
        <v>58</v>
      </c>
      <c r="C33" s="14" t="s">
        <v>59</v>
      </c>
      <c r="D33" s="2">
        <f>D32+C6</f>
        <v>141000000</v>
      </c>
      <c r="E33" s="26">
        <f t="shared" si="4"/>
        <v>4838.1273318088815</v>
      </c>
      <c r="F33" s="26">
        <f t="shared" si="1"/>
        <v>14514.381995426644</v>
      </c>
      <c r="G33" s="16">
        <f t="shared" si="2"/>
        <v>24190.636659044409</v>
      </c>
      <c r="H33" s="16">
        <f t="shared" si="3"/>
        <v>29028.763990853287</v>
      </c>
      <c r="I33" s="16">
        <f t="shared" si="5"/>
        <v>546708.38849440357</v>
      </c>
      <c r="J33" s="16">
        <f t="shared" si="6"/>
        <v>67733.782645324347</v>
      </c>
      <c r="K33" t="s">
        <v>55</v>
      </c>
    </row>
    <row r="34" spans="1:11" x14ac:dyDescent="0.25">
      <c r="B34" t="s">
        <v>60</v>
      </c>
      <c r="C34" s="14" t="s">
        <v>61</v>
      </c>
      <c r="D34" s="2">
        <f>D33+C5</f>
        <v>147000000</v>
      </c>
      <c r="E34" s="26">
        <f t="shared" si="4"/>
        <v>4982.5490432061624</v>
      </c>
      <c r="F34" s="26">
        <f t="shared" si="1"/>
        <v>14947.647129618486</v>
      </c>
      <c r="G34" s="16">
        <f t="shared" si="2"/>
        <v>24912.745216030813</v>
      </c>
      <c r="H34" s="16">
        <f t="shared" si="3"/>
        <v>29895.294259236973</v>
      </c>
      <c r="I34" s="16">
        <f t="shared" si="5"/>
        <v>563028.04188229633</v>
      </c>
      <c r="J34" s="16">
        <f t="shared" si="6"/>
        <v>69755.686604886272</v>
      </c>
      <c r="K34" t="s">
        <v>55</v>
      </c>
    </row>
    <row r="35" spans="1:11" x14ac:dyDescent="0.25">
      <c r="B35" t="s">
        <v>62</v>
      </c>
      <c r="C35" s="3" t="s">
        <v>63</v>
      </c>
      <c r="D35" s="2">
        <f>D34+C5</f>
        <v>153000000</v>
      </c>
      <c r="E35" s="26">
        <f>(D35+$C$26/(1-$C$27))/$C$22</f>
        <v>5126.9707546034424</v>
      </c>
      <c r="F35" s="26">
        <f t="shared" si="1"/>
        <v>15380.912263810327</v>
      </c>
      <c r="G35" s="16">
        <f t="shared" si="2"/>
        <v>25634.85377301721</v>
      </c>
      <c r="H35" s="16">
        <f t="shared" si="3"/>
        <v>30761.824527620654</v>
      </c>
      <c r="I35" s="16">
        <f t="shared" si="5"/>
        <v>579347.69527018897</v>
      </c>
      <c r="J35" s="16">
        <f t="shared" si="6"/>
        <v>71777.590564448197</v>
      </c>
      <c r="K35" t="s">
        <v>55</v>
      </c>
    </row>
    <row r="36" spans="1:11" x14ac:dyDescent="0.25">
      <c r="B36" t="s">
        <v>64</v>
      </c>
      <c r="C36" s="3" t="s">
        <v>65</v>
      </c>
      <c r="D36" s="2">
        <f>D35+C5</f>
        <v>159000000</v>
      </c>
      <c r="E36" s="26">
        <f t="shared" si="4"/>
        <v>5271.3924660007224</v>
      </c>
      <c r="F36" s="26">
        <f t="shared" si="1"/>
        <v>15814.177398002168</v>
      </c>
      <c r="G36" s="16">
        <f t="shared" si="2"/>
        <v>26356.962330003611</v>
      </c>
      <c r="H36" s="16">
        <f t="shared" si="3"/>
        <v>31628.354796004336</v>
      </c>
      <c r="I36" s="16">
        <f t="shared" si="5"/>
        <v>595667.34865808161</v>
      </c>
      <c r="J36" s="16">
        <f t="shared" si="6"/>
        <v>73799.494524010108</v>
      </c>
      <c r="K36" t="s">
        <v>66</v>
      </c>
    </row>
    <row r="37" spans="1:11" x14ac:dyDescent="0.25">
      <c r="B37" t="s">
        <v>67</v>
      </c>
      <c r="C37" s="3" t="s">
        <v>68</v>
      </c>
      <c r="D37" s="2">
        <f>D36+C6</f>
        <v>169800000</v>
      </c>
      <c r="E37" s="26">
        <f>(D37+$C$26/(1-$C$27))/$C$22</f>
        <v>5531.3515465158262</v>
      </c>
      <c r="F37" s="26">
        <f t="shared" si="1"/>
        <v>16594.054639547478</v>
      </c>
      <c r="G37" s="16">
        <f t="shared" si="2"/>
        <v>27656.757732579132</v>
      </c>
      <c r="H37" s="16">
        <f t="shared" si="3"/>
        <v>33188.109279094955</v>
      </c>
      <c r="I37" s="16">
        <f t="shared" si="5"/>
        <v>625042.72475628834</v>
      </c>
      <c r="J37" s="16">
        <f t="shared" si="6"/>
        <v>77438.921651221564</v>
      </c>
      <c r="K37" t="s">
        <v>55</v>
      </c>
    </row>
    <row r="38" spans="1:11" x14ac:dyDescent="0.25">
      <c r="B38" t="s">
        <v>69</v>
      </c>
      <c r="C38" s="3" t="s">
        <v>70</v>
      </c>
      <c r="D38" s="2">
        <f>D37+C5</f>
        <v>175800000</v>
      </c>
      <c r="E38" s="26">
        <f>(D38+$C$26/(1-$C$27))/$C$22</f>
        <v>5675.7732579131061</v>
      </c>
      <c r="F38" s="26">
        <f t="shared" si="1"/>
        <v>17027.31977373932</v>
      </c>
      <c r="G38" s="16">
        <f t="shared" si="2"/>
        <v>28378.866289565529</v>
      </c>
      <c r="H38" s="16">
        <f t="shared" si="3"/>
        <v>34054.63954747864</v>
      </c>
      <c r="I38" s="16">
        <f>E38*($E$17+10*SUM($E$18:$E$19))</f>
        <v>641362.37814418098</v>
      </c>
      <c r="J38" s="16">
        <f t="shared" si="6"/>
        <v>79460.82561078349</v>
      </c>
      <c r="K38" t="s">
        <v>71</v>
      </c>
    </row>
    <row r="40" spans="1:11" x14ac:dyDescent="0.25">
      <c r="B40" t="s">
        <v>72</v>
      </c>
      <c r="E40" s="19"/>
      <c r="J40" s="16"/>
    </row>
    <row r="41" spans="1:11" x14ac:dyDescent="0.25">
      <c r="B41" t="s">
        <v>73</v>
      </c>
      <c r="E41" s="19"/>
    </row>
    <row r="43" spans="1:11" x14ac:dyDescent="0.25">
      <c r="B43" s="19"/>
    </row>
    <row r="45" spans="1:11" x14ac:dyDescent="0.25">
      <c r="A45" s="1" t="s">
        <v>1</v>
      </c>
      <c r="B45" t="s">
        <v>74</v>
      </c>
    </row>
    <row r="47" spans="1:11" x14ac:dyDescent="0.25">
      <c r="B47" s="1"/>
    </row>
    <row r="48" spans="1:11" x14ac:dyDescent="0.25">
      <c r="B48" s="1"/>
      <c r="C48" s="3"/>
    </row>
    <row r="49" spans="2:12" x14ac:dyDescent="0.25">
      <c r="D49" s="4"/>
      <c r="E49" s="5"/>
      <c r="G49" s="6"/>
      <c r="H49" s="6"/>
      <c r="I49" s="6"/>
      <c r="J49" s="6"/>
      <c r="K49" s="6"/>
      <c r="L49" s="6"/>
    </row>
    <row r="50" spans="2:12" x14ac:dyDescent="0.25">
      <c r="D50" s="4"/>
      <c r="E50" s="5"/>
      <c r="G50" s="6"/>
      <c r="H50" s="6"/>
      <c r="I50" s="6"/>
      <c r="J50" s="5"/>
      <c r="K50" s="5"/>
      <c r="L50" s="5"/>
    </row>
    <row r="51" spans="2:12" x14ac:dyDescent="0.25">
      <c r="E51" s="5"/>
    </row>
    <row r="57" spans="2:12" x14ac:dyDescent="0.25">
      <c r="C57" s="7"/>
      <c r="D57" s="8"/>
    </row>
    <row r="64" spans="2:12" x14ac:dyDescent="0.25">
      <c r="B64" s="1"/>
    </row>
    <row r="65" spans="2:8" x14ac:dyDescent="0.25">
      <c r="B65" s="10"/>
      <c r="C65" s="11"/>
      <c r="D65" s="11"/>
      <c r="E65" s="1"/>
    </row>
    <row r="66" spans="2:8" x14ac:dyDescent="0.25">
      <c r="B66" s="12"/>
      <c r="C66" s="13"/>
      <c r="D66" s="13"/>
      <c r="E66" s="14"/>
      <c r="F66" s="2"/>
    </row>
    <row r="67" spans="2:8" x14ac:dyDescent="0.25">
      <c r="B67" s="12"/>
      <c r="C67" s="13"/>
      <c r="D67" s="13"/>
      <c r="E67" s="14"/>
      <c r="F67" s="2"/>
    </row>
    <row r="68" spans="2:8" x14ac:dyDescent="0.25">
      <c r="B68" s="12"/>
      <c r="C68" s="13"/>
      <c r="D68" s="13"/>
      <c r="E68" s="14"/>
    </row>
    <row r="69" spans="2:8" x14ac:dyDescent="0.25">
      <c r="B69" s="17"/>
      <c r="C69" s="20"/>
      <c r="D69" s="8"/>
    </row>
    <row r="70" spans="2:8" x14ac:dyDescent="0.25">
      <c r="B70" s="17"/>
      <c r="C70" s="18"/>
      <c r="F70" s="19"/>
    </row>
    <row r="71" spans="2:8" x14ac:dyDescent="0.25">
      <c r="D71" s="8"/>
    </row>
    <row r="72" spans="2:8" x14ac:dyDescent="0.25">
      <c r="F72" s="27"/>
      <c r="G72" s="27"/>
    </row>
    <row r="73" spans="2:8" x14ac:dyDescent="0.25">
      <c r="B73" s="19"/>
      <c r="C73" s="24"/>
      <c r="D73" s="24"/>
      <c r="E73" s="25"/>
      <c r="F73" s="1"/>
      <c r="G73" s="1"/>
      <c r="H73" s="1"/>
    </row>
    <row r="74" spans="2:8" x14ac:dyDescent="0.25">
      <c r="E74" s="28"/>
      <c r="F74" s="28"/>
      <c r="G74" s="28"/>
      <c r="H74" s="28"/>
    </row>
    <row r="75" spans="2:8" x14ac:dyDescent="0.25">
      <c r="E75" s="28"/>
      <c r="F75" s="28"/>
      <c r="G75" s="28"/>
      <c r="H75" s="28"/>
    </row>
    <row r="76" spans="2:8" x14ac:dyDescent="0.25">
      <c r="E76" s="28"/>
      <c r="F76" s="28"/>
      <c r="G76" s="28"/>
      <c r="H76" s="28"/>
    </row>
    <row r="78" spans="2:8" x14ac:dyDescent="0.25">
      <c r="C78" s="8"/>
    </row>
    <row r="79" spans="2:8" x14ac:dyDescent="0.25">
      <c r="B79" s="19"/>
    </row>
  </sheetData>
  <mergeCells count="1">
    <mergeCell ref="F28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B14" sqref="B14"/>
    </sheetView>
  </sheetViews>
  <sheetFormatPr baseColWidth="10" defaultRowHeight="15" x14ac:dyDescent="0.25"/>
  <cols>
    <col min="1" max="1" width="33.7109375" bestFit="1" customWidth="1"/>
    <col min="2" max="2" width="24.7109375" customWidth="1"/>
    <col min="3" max="3" width="23.140625" bestFit="1" customWidth="1"/>
    <col min="4" max="5" width="13.140625" bestFit="1" customWidth="1"/>
  </cols>
  <sheetData>
    <row r="1" spans="1:3" x14ac:dyDescent="0.25">
      <c r="B1" t="s">
        <v>75</v>
      </c>
      <c r="C1" t="s">
        <v>76</v>
      </c>
    </row>
    <row r="2" spans="1:3" x14ac:dyDescent="0.25">
      <c r="B2" t="s">
        <v>77</v>
      </c>
      <c r="C2" t="s">
        <v>78</v>
      </c>
    </row>
    <row r="4" spans="1:3" x14ac:dyDescent="0.25">
      <c r="A4" t="s">
        <v>79</v>
      </c>
      <c r="B4" s="29">
        <v>1600</v>
      </c>
      <c r="C4" s="29">
        <v>2200</v>
      </c>
    </row>
    <row r="6" spans="1:3" x14ac:dyDescent="0.25">
      <c r="A6" t="s">
        <v>80</v>
      </c>
      <c r="B6">
        <v>900</v>
      </c>
      <c r="C6" s="29">
        <v>1440</v>
      </c>
    </row>
    <row r="8" spans="1:3" x14ac:dyDescent="0.25">
      <c r="A8" t="s">
        <v>81</v>
      </c>
      <c r="B8" s="30">
        <v>300</v>
      </c>
      <c r="C8" s="30">
        <v>360</v>
      </c>
    </row>
    <row r="10" spans="1:3" x14ac:dyDescent="0.25">
      <c r="A10" t="s">
        <v>82</v>
      </c>
    </row>
    <row r="11" spans="1:3" x14ac:dyDescent="0.25">
      <c r="A11" t="s">
        <v>83</v>
      </c>
      <c r="B11" s="30">
        <v>23000</v>
      </c>
      <c r="C11" s="30">
        <v>55600</v>
      </c>
    </row>
    <row r="12" spans="1:3" x14ac:dyDescent="0.25">
      <c r="A12" t="s">
        <v>84</v>
      </c>
      <c r="B12" s="30">
        <v>67000</v>
      </c>
      <c r="C12" s="30">
        <v>98000</v>
      </c>
    </row>
    <row r="14" spans="1:3" x14ac:dyDescent="0.25">
      <c r="A14" t="s">
        <v>85</v>
      </c>
    </row>
    <row r="15" spans="1:3" x14ac:dyDescent="0.25">
      <c r="A15" t="s">
        <v>86</v>
      </c>
      <c r="B15" s="30">
        <v>80</v>
      </c>
      <c r="C15" s="30">
        <v>80</v>
      </c>
    </row>
    <row r="16" spans="1:3" x14ac:dyDescent="0.25">
      <c r="A16" t="s">
        <v>7</v>
      </c>
      <c r="B16" s="30">
        <v>55</v>
      </c>
      <c r="C16" s="30">
        <v>70</v>
      </c>
    </row>
    <row r="18" spans="1:7" x14ac:dyDescent="0.25">
      <c r="A18" t="s">
        <v>87</v>
      </c>
      <c r="B18" s="31">
        <v>0.05</v>
      </c>
      <c r="C18" s="31">
        <v>0.05</v>
      </c>
    </row>
    <row r="21" spans="1:7" x14ac:dyDescent="0.25">
      <c r="A21" t="s">
        <v>3</v>
      </c>
      <c r="C21" s="32" t="s">
        <v>88</v>
      </c>
      <c r="D21" s="1" t="s">
        <v>89</v>
      </c>
      <c r="E21" s="1" t="s">
        <v>90</v>
      </c>
      <c r="F21" s="1" t="s">
        <v>91</v>
      </c>
    </row>
    <row r="22" spans="1:7" x14ac:dyDescent="0.25">
      <c r="B22" s="1" t="s">
        <v>75</v>
      </c>
      <c r="C22" s="30">
        <f>B11+B12</f>
        <v>90000</v>
      </c>
      <c r="D22">
        <f>B8*(1-B18)</f>
        <v>285</v>
      </c>
      <c r="E22" s="30">
        <f>B15+B16</f>
        <v>135</v>
      </c>
      <c r="F22" s="30">
        <f>C22/(D22-E22)</f>
        <v>600</v>
      </c>
      <c r="G22" s="19" t="s">
        <v>92</v>
      </c>
    </row>
    <row r="23" spans="1:7" x14ac:dyDescent="0.25">
      <c r="B23" s="1" t="s">
        <v>76</v>
      </c>
      <c r="C23" s="30">
        <f>C11+C12</f>
        <v>153600</v>
      </c>
      <c r="D23">
        <f>C8*(1-C18)</f>
        <v>342</v>
      </c>
      <c r="E23" s="30">
        <f>C15+C16</f>
        <v>150</v>
      </c>
      <c r="F23" s="30">
        <f>C23/(D23-E23)</f>
        <v>800</v>
      </c>
      <c r="G23" s="19" t="s">
        <v>92</v>
      </c>
    </row>
    <row r="25" spans="1:7" x14ac:dyDescent="0.25">
      <c r="A25" t="s">
        <v>4</v>
      </c>
      <c r="C25" s="32" t="s">
        <v>88</v>
      </c>
      <c r="D25" s="1" t="s">
        <v>89</v>
      </c>
      <c r="E25" s="1" t="s">
        <v>90</v>
      </c>
      <c r="F25" s="1" t="s">
        <v>91</v>
      </c>
    </row>
    <row r="26" spans="1:7" x14ac:dyDescent="0.25">
      <c r="A26" s="27"/>
      <c r="B26" s="1" t="s">
        <v>75</v>
      </c>
      <c r="C26" s="30">
        <f>B11+B12+C29/(1-C28)</f>
        <v>148500</v>
      </c>
      <c r="D26">
        <f>B8*(1-B18)</f>
        <v>285</v>
      </c>
      <c r="E26" s="30">
        <f>B15+B16</f>
        <v>135</v>
      </c>
      <c r="F26" s="30">
        <f>C26/(D26-E26)</f>
        <v>990</v>
      </c>
      <c r="G26" s="19" t="s">
        <v>93</v>
      </c>
    </row>
    <row r="27" spans="1:7" x14ac:dyDescent="0.25">
      <c r="A27" s="27"/>
    </row>
    <row r="28" spans="1:7" x14ac:dyDescent="0.25">
      <c r="A28" s="27"/>
      <c r="B28" t="s">
        <v>94</v>
      </c>
      <c r="C28" s="31">
        <v>0.2</v>
      </c>
    </row>
    <row r="29" spans="1:7" x14ac:dyDescent="0.25">
      <c r="B29" t="s">
        <v>95</v>
      </c>
      <c r="C29" s="30">
        <v>46800</v>
      </c>
    </row>
    <row r="32" spans="1:7" x14ac:dyDescent="0.25">
      <c r="A32" t="s">
        <v>96</v>
      </c>
      <c r="B32" t="s">
        <v>97</v>
      </c>
    </row>
    <row r="33" spans="2:8" x14ac:dyDescent="0.25">
      <c r="B33" t="s">
        <v>98</v>
      </c>
    </row>
    <row r="35" spans="2:8" x14ac:dyDescent="0.25">
      <c r="B35" t="s">
        <v>99</v>
      </c>
      <c r="C35">
        <f>C6/B6</f>
        <v>1.6</v>
      </c>
      <c r="F35" t="s">
        <v>100</v>
      </c>
      <c r="H35" s="30">
        <v>11910</v>
      </c>
    </row>
    <row r="37" spans="2:8" x14ac:dyDescent="0.25">
      <c r="B37" s="33" t="s">
        <v>101</v>
      </c>
      <c r="C37" s="33"/>
      <c r="D37" s="33"/>
      <c r="E37" s="33"/>
      <c r="F37" s="33"/>
      <c r="G37" s="33"/>
    </row>
    <row r="38" spans="2:8" x14ac:dyDescent="0.25">
      <c r="B38" s="33"/>
      <c r="C38" s="33"/>
      <c r="D38" s="33"/>
      <c r="E38" s="33"/>
      <c r="F38" s="33"/>
      <c r="G38" s="33"/>
    </row>
    <row r="40" spans="2:8" x14ac:dyDescent="0.25">
      <c r="B40" t="s">
        <v>102</v>
      </c>
      <c r="C40" s="30">
        <f>B8-B15-B16</f>
        <v>165</v>
      </c>
      <c r="D40" s="19" t="s">
        <v>103</v>
      </c>
    </row>
    <row r="41" spans="2:8" x14ac:dyDescent="0.25">
      <c r="B41" t="s">
        <v>104</v>
      </c>
      <c r="C41" s="30">
        <f>C8-C15-C16</f>
        <v>210</v>
      </c>
      <c r="D41" s="19" t="s">
        <v>103</v>
      </c>
    </row>
    <row r="42" spans="2:8" x14ac:dyDescent="0.25">
      <c r="B42" t="s">
        <v>105</v>
      </c>
      <c r="C42" s="30">
        <f>C40+C41*C35</f>
        <v>501</v>
      </c>
      <c r="D42" s="19" t="s">
        <v>103</v>
      </c>
    </row>
    <row r="44" spans="2:8" x14ac:dyDescent="0.25">
      <c r="C44" s="32" t="s">
        <v>88</v>
      </c>
      <c r="D44" s="1" t="s">
        <v>106</v>
      </c>
      <c r="E44" s="1" t="s">
        <v>91</v>
      </c>
      <c r="F44" s="1"/>
    </row>
    <row r="45" spans="2:8" x14ac:dyDescent="0.25">
      <c r="B45" t="s">
        <v>107</v>
      </c>
      <c r="C45" s="30">
        <f>B11+B12+C11+C12+H35</f>
        <v>255510</v>
      </c>
      <c r="D45" s="30">
        <f>C42</f>
        <v>501</v>
      </c>
      <c r="E45">
        <f>C45/D45</f>
        <v>510</v>
      </c>
      <c r="F45" s="19" t="s">
        <v>108</v>
      </c>
    </row>
    <row r="47" spans="2:8" x14ac:dyDescent="0.25">
      <c r="B47" t="s">
        <v>109</v>
      </c>
      <c r="C47">
        <f>E45</f>
        <v>510</v>
      </c>
      <c r="D47" s="19" t="s">
        <v>110</v>
      </c>
    </row>
    <row r="48" spans="2:8" x14ac:dyDescent="0.25">
      <c r="B48" t="s">
        <v>111</v>
      </c>
      <c r="C48">
        <f>E45*C35</f>
        <v>816</v>
      </c>
      <c r="D48" s="19" t="s">
        <v>110</v>
      </c>
    </row>
    <row r="51" spans="1:5" x14ac:dyDescent="0.25">
      <c r="A51" t="s">
        <v>112</v>
      </c>
      <c r="B51" t="s">
        <v>113</v>
      </c>
    </row>
    <row r="52" spans="1:5" x14ac:dyDescent="0.25">
      <c r="C52" s="1" t="s">
        <v>75</v>
      </c>
      <c r="D52" s="1" t="s">
        <v>76</v>
      </c>
      <c r="E52" s="1" t="s">
        <v>114</v>
      </c>
    </row>
    <row r="53" spans="1:5" x14ac:dyDescent="0.25">
      <c r="C53" s="1" t="s">
        <v>115</v>
      </c>
      <c r="D53" s="1" t="s">
        <v>116</v>
      </c>
    </row>
    <row r="54" spans="1:5" x14ac:dyDescent="0.25">
      <c r="B54" s="1" t="s">
        <v>117</v>
      </c>
      <c r="C54" s="34">
        <f>B6*B8</f>
        <v>270000</v>
      </c>
      <c r="D54" s="34">
        <f>C6*C8</f>
        <v>518400</v>
      </c>
      <c r="E54" s="34">
        <f>C54+D54</f>
        <v>788400</v>
      </c>
    </row>
    <row r="55" spans="1:5" x14ac:dyDescent="0.25">
      <c r="B55" s="1" t="s">
        <v>118</v>
      </c>
      <c r="C55" s="34">
        <f>-(B15+B16)*B6</f>
        <v>-121500</v>
      </c>
      <c r="D55" s="34">
        <f>-(C15+C16)*C6</f>
        <v>-216000</v>
      </c>
      <c r="E55" s="34">
        <f>C55+D55</f>
        <v>-337500</v>
      </c>
    </row>
    <row r="56" spans="1:5" x14ac:dyDescent="0.25">
      <c r="B56" s="1" t="s">
        <v>119</v>
      </c>
      <c r="C56" s="35">
        <f>-C54*B18</f>
        <v>-13500</v>
      </c>
      <c r="D56" s="35">
        <f>-D54*C18</f>
        <v>-25920</v>
      </c>
      <c r="E56" s="34"/>
    </row>
    <row r="57" spans="1:5" x14ac:dyDescent="0.25">
      <c r="B57" s="1" t="s">
        <v>30</v>
      </c>
      <c r="C57" s="34">
        <f>C54+C55+C56</f>
        <v>135000</v>
      </c>
      <c r="D57" s="34">
        <f t="shared" ref="D57:E57" si="0">D54+D55+D56</f>
        <v>276480</v>
      </c>
      <c r="E57" s="34">
        <f t="shared" si="0"/>
        <v>450900</v>
      </c>
    </row>
    <row r="58" spans="1:5" x14ac:dyDescent="0.25">
      <c r="B58" s="1" t="s">
        <v>120</v>
      </c>
      <c r="C58" s="34">
        <f>-(B11+B12)</f>
        <v>-90000</v>
      </c>
      <c r="D58" s="34">
        <f t="shared" ref="D58" si="1">-(C11+C12)</f>
        <v>-153600</v>
      </c>
      <c r="E58" s="34">
        <f>-H35+C58+D58</f>
        <v>-255510</v>
      </c>
    </row>
    <row r="59" spans="1:5" x14ac:dyDescent="0.25">
      <c r="B59" s="1" t="s">
        <v>121</v>
      </c>
      <c r="C59" s="34">
        <f>C57+C58</f>
        <v>45000</v>
      </c>
      <c r="D59" s="34">
        <f t="shared" ref="D59:E59" si="2">D57+D58</f>
        <v>122880</v>
      </c>
      <c r="E59" s="34">
        <f t="shared" si="2"/>
        <v>195390</v>
      </c>
    </row>
    <row r="61" spans="1:5" x14ac:dyDescent="0.25">
      <c r="B61" t="s">
        <v>122</v>
      </c>
    </row>
    <row r="62" spans="1:5" x14ac:dyDescent="0.25">
      <c r="C62" s="1" t="s">
        <v>75</v>
      </c>
      <c r="D62" s="1" t="s">
        <v>76</v>
      </c>
      <c r="E62" s="1" t="s">
        <v>114</v>
      </c>
    </row>
    <row r="63" spans="1:5" x14ac:dyDescent="0.25">
      <c r="C63" s="1" t="s">
        <v>116</v>
      </c>
      <c r="D63" s="1" t="s">
        <v>123</v>
      </c>
    </row>
    <row r="64" spans="1:5" x14ac:dyDescent="0.25">
      <c r="B64" s="1" t="s">
        <v>117</v>
      </c>
      <c r="C64" s="34">
        <f>D54</f>
        <v>518400</v>
      </c>
      <c r="D64" s="34">
        <f>C54</f>
        <v>270000</v>
      </c>
      <c r="E64" s="34">
        <f>C64+D64</f>
        <v>788400</v>
      </c>
    </row>
    <row r="65" spans="1:13" x14ac:dyDescent="0.25">
      <c r="B65" s="1" t="s">
        <v>118</v>
      </c>
      <c r="C65" s="34">
        <f>-C6*(B15+B16)</f>
        <v>-194400</v>
      </c>
      <c r="D65" s="34">
        <f>-B6*(C15+C16)</f>
        <v>-135000</v>
      </c>
      <c r="E65" s="34">
        <f>C65+D65</f>
        <v>-329400</v>
      </c>
    </row>
    <row r="66" spans="1:13" x14ac:dyDescent="0.25">
      <c r="B66" s="1" t="s">
        <v>119</v>
      </c>
      <c r="C66" s="35">
        <f>-C64*B18</f>
        <v>-25920</v>
      </c>
      <c r="D66" s="35">
        <f>-D64*C18</f>
        <v>-13500</v>
      </c>
      <c r="E66" s="34"/>
    </row>
    <row r="67" spans="1:13" x14ac:dyDescent="0.25">
      <c r="B67" s="1" t="s">
        <v>30</v>
      </c>
      <c r="C67" s="34">
        <f>C64+C65+C66</f>
        <v>298080</v>
      </c>
      <c r="D67" s="34">
        <f t="shared" ref="D67:E67" si="3">D64+D65+D66</f>
        <v>121500</v>
      </c>
      <c r="E67" s="34">
        <f t="shared" si="3"/>
        <v>459000</v>
      </c>
    </row>
    <row r="68" spans="1:13" x14ac:dyDescent="0.25">
      <c r="B68" s="1" t="s">
        <v>120</v>
      </c>
      <c r="C68" s="34">
        <f>C58</f>
        <v>-90000</v>
      </c>
      <c r="D68" s="34">
        <f>D58</f>
        <v>-153600</v>
      </c>
      <c r="E68" s="34">
        <f>-H35+C68+D68</f>
        <v>-255510</v>
      </c>
    </row>
    <row r="69" spans="1:13" x14ac:dyDescent="0.25">
      <c r="B69" s="1" t="s">
        <v>121</v>
      </c>
      <c r="C69" s="34">
        <f>C67+C68</f>
        <v>208080</v>
      </c>
      <c r="D69" s="34">
        <f t="shared" ref="D69:E69" si="4">D67+D68</f>
        <v>-32100</v>
      </c>
      <c r="E69" s="34">
        <f t="shared" si="4"/>
        <v>203490</v>
      </c>
    </row>
    <row r="73" spans="1:13" x14ac:dyDescent="0.25">
      <c r="A73" t="s">
        <v>124</v>
      </c>
      <c r="B73" s="36" t="s">
        <v>125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3" x14ac:dyDescent="0.25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3" x14ac:dyDescent="0.25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9" t="s">
        <v>126</v>
      </c>
    </row>
    <row r="76" spans="1:13" x14ac:dyDescent="0.25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8" spans="1:13" x14ac:dyDescent="0.25">
      <c r="C78" s="1" t="s">
        <v>75</v>
      </c>
      <c r="D78" s="1" t="s">
        <v>76</v>
      </c>
      <c r="E78" s="1" t="s">
        <v>114</v>
      </c>
      <c r="G78" s="1" t="s">
        <v>75</v>
      </c>
      <c r="I78" s="1" t="s">
        <v>76</v>
      </c>
    </row>
    <row r="79" spans="1:13" x14ac:dyDescent="0.25">
      <c r="C79" s="1" t="s">
        <v>127</v>
      </c>
      <c r="D79" s="1" t="s">
        <v>128</v>
      </c>
      <c r="G79">
        <v>1440</v>
      </c>
      <c r="H79" t="s">
        <v>78</v>
      </c>
      <c r="I79">
        <v>740</v>
      </c>
      <c r="J79" t="s">
        <v>129</v>
      </c>
    </row>
    <row r="80" spans="1:13" x14ac:dyDescent="0.25">
      <c r="B80" s="1" t="s">
        <v>117</v>
      </c>
      <c r="C80" s="34">
        <f>G79*C8+B8*G80</f>
        <v>566400</v>
      </c>
      <c r="D80" s="34">
        <f>B8*I79</f>
        <v>222000</v>
      </c>
      <c r="E80" s="34">
        <f>C80+D80</f>
        <v>788400</v>
      </c>
      <c r="G80">
        <v>160</v>
      </c>
      <c r="H80" t="s">
        <v>129</v>
      </c>
    </row>
    <row r="81" spans="2:9" x14ac:dyDescent="0.25">
      <c r="B81" s="1" t="s">
        <v>118</v>
      </c>
      <c r="C81" s="34">
        <f>-G79*(B15+B16)-(B15+B16)*G80</f>
        <v>-216000</v>
      </c>
      <c r="D81" s="34">
        <f>-I79*(C15+C16)</f>
        <v>-111000</v>
      </c>
      <c r="E81" s="34">
        <f>C81+D81</f>
        <v>-327000</v>
      </c>
    </row>
    <row r="82" spans="2:9" x14ac:dyDescent="0.25">
      <c r="B82" s="1" t="s">
        <v>119</v>
      </c>
      <c r="C82" s="35">
        <f>C80*-B18</f>
        <v>-28320</v>
      </c>
      <c r="D82" s="35">
        <f>D80*-C18</f>
        <v>-11100</v>
      </c>
      <c r="E82" s="34"/>
    </row>
    <row r="83" spans="2:9" x14ac:dyDescent="0.25">
      <c r="B83" s="1" t="s">
        <v>30</v>
      </c>
      <c r="C83" s="34">
        <f>C80+C81+C82</f>
        <v>322080</v>
      </c>
      <c r="D83" s="34">
        <f t="shared" ref="D83:E83" si="5">D80+D81+D82</f>
        <v>99900</v>
      </c>
      <c r="E83" s="34">
        <f t="shared" si="5"/>
        <v>461400</v>
      </c>
    </row>
    <row r="84" spans="2:9" x14ac:dyDescent="0.25">
      <c r="B84" s="1" t="s">
        <v>120</v>
      </c>
      <c r="C84" s="34">
        <f>-(B11+B12)</f>
        <v>-90000</v>
      </c>
      <c r="D84" s="34">
        <f>-(C11+C12)</f>
        <v>-153600</v>
      </c>
      <c r="E84" s="34">
        <f>-H35+C84+D84</f>
        <v>-255510</v>
      </c>
    </row>
    <row r="85" spans="2:9" x14ac:dyDescent="0.25">
      <c r="B85" s="1" t="s">
        <v>121</v>
      </c>
      <c r="C85" s="34">
        <f>C83+C84</f>
        <v>232080</v>
      </c>
      <c r="D85" s="34">
        <f t="shared" ref="D85:E85" si="6">D83+D84</f>
        <v>-53700</v>
      </c>
      <c r="E85" s="37">
        <f t="shared" si="6"/>
        <v>205890</v>
      </c>
      <c r="F85" s="19" t="s">
        <v>126</v>
      </c>
    </row>
    <row r="88" spans="2:9" x14ac:dyDescent="0.25">
      <c r="B88" s="38" t="s">
        <v>130</v>
      </c>
      <c r="C88" s="38"/>
      <c r="D88" s="38"/>
      <c r="E88" s="38"/>
      <c r="F88" s="38"/>
      <c r="G88" s="38"/>
      <c r="H88" s="38"/>
      <c r="I88" s="38"/>
    </row>
    <row r="89" spans="2:9" x14ac:dyDescent="0.25">
      <c r="B89" s="38" t="s">
        <v>131</v>
      </c>
      <c r="C89" s="38"/>
      <c r="D89" s="38"/>
      <c r="E89" s="38"/>
      <c r="F89" s="38"/>
      <c r="G89" s="38"/>
      <c r="H89" s="38"/>
      <c r="I89" s="38"/>
    </row>
    <row r="90" spans="2:9" x14ac:dyDescent="0.25">
      <c r="B90" s="38" t="s">
        <v>132</v>
      </c>
      <c r="C90" s="38"/>
      <c r="D90" s="38"/>
      <c r="E90" s="38"/>
      <c r="F90" s="38"/>
      <c r="G90" s="38"/>
      <c r="H90" s="38"/>
      <c r="I90" s="38"/>
    </row>
    <row r="91" spans="2:9" x14ac:dyDescent="0.25">
      <c r="B91" s="38" t="s">
        <v>133</v>
      </c>
      <c r="C91" s="38"/>
      <c r="D91" s="38"/>
      <c r="E91" s="38"/>
      <c r="F91" s="38"/>
      <c r="G91" s="38"/>
      <c r="H91" s="38"/>
      <c r="I91" s="38"/>
    </row>
    <row r="92" spans="2:9" x14ac:dyDescent="0.25">
      <c r="B92" s="38" t="s">
        <v>134</v>
      </c>
      <c r="C92" s="38"/>
      <c r="D92" s="38"/>
      <c r="E92" s="38"/>
      <c r="F92" s="38"/>
      <c r="G92" s="38"/>
      <c r="H92" s="38"/>
      <c r="I92" s="38"/>
    </row>
    <row r="93" spans="2:9" x14ac:dyDescent="0.25">
      <c r="B93" s="38" t="s">
        <v>135</v>
      </c>
      <c r="C93" s="38"/>
      <c r="D93" s="38"/>
      <c r="E93" s="38"/>
      <c r="F93" s="38"/>
      <c r="G93" s="38"/>
      <c r="H93" s="38"/>
      <c r="I93" s="38"/>
    </row>
    <row r="94" spans="2:9" x14ac:dyDescent="0.25">
      <c r="B94" s="38" t="s">
        <v>136</v>
      </c>
      <c r="C94" s="38"/>
      <c r="D94" s="38"/>
      <c r="E94" s="38"/>
      <c r="F94" s="38"/>
      <c r="G94" s="38"/>
      <c r="H94" s="38"/>
      <c r="I94" s="38"/>
    </row>
    <row r="95" spans="2:9" x14ac:dyDescent="0.25">
      <c r="B95" s="38" t="s">
        <v>137</v>
      </c>
      <c r="C95" s="38"/>
      <c r="D95" s="38"/>
      <c r="E95" s="38"/>
      <c r="F95" s="38"/>
      <c r="G95" s="38"/>
      <c r="H95" s="38"/>
      <c r="I95" s="38"/>
    </row>
    <row r="96" spans="2:9" x14ac:dyDescent="0.25">
      <c r="B96" s="38" t="s">
        <v>138</v>
      </c>
      <c r="C96" s="38"/>
      <c r="D96" s="38"/>
      <c r="E96" s="38"/>
      <c r="F96" s="38"/>
      <c r="G96" s="38"/>
      <c r="H96" s="38"/>
      <c r="I96" s="38"/>
    </row>
    <row r="97" spans="2:9" x14ac:dyDescent="0.25">
      <c r="B97" s="38" t="s">
        <v>139</v>
      </c>
      <c r="C97" s="38"/>
      <c r="D97" s="38"/>
      <c r="E97" s="38"/>
      <c r="F97" s="38"/>
      <c r="G97" s="38"/>
      <c r="H97" s="38"/>
      <c r="I97" s="38"/>
    </row>
  </sheetData>
  <mergeCells count="2">
    <mergeCell ref="B73:L76"/>
    <mergeCell ref="B37:G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" sqref="E1"/>
    </sheetView>
  </sheetViews>
  <sheetFormatPr baseColWidth="10" defaultRowHeight="15" x14ac:dyDescent="0.25"/>
  <cols>
    <col min="5" max="5" width="2.7109375" bestFit="1" customWidth="1"/>
    <col min="6" max="6" width="29.42578125" bestFit="1" customWidth="1"/>
  </cols>
  <sheetData>
    <row r="1" spans="1:9" x14ac:dyDescent="0.25">
      <c r="A1" t="s">
        <v>140</v>
      </c>
      <c r="B1">
        <v>20000</v>
      </c>
      <c r="C1" t="s">
        <v>146</v>
      </c>
    </row>
    <row r="2" spans="1:9" x14ac:dyDescent="0.25">
      <c r="E2" t="s">
        <v>3</v>
      </c>
      <c r="F2" t="s">
        <v>152</v>
      </c>
      <c r="G2">
        <f>SUM(B3:B5)</f>
        <v>550000</v>
      </c>
    </row>
    <row r="3" spans="1:9" x14ac:dyDescent="0.25">
      <c r="A3" t="s">
        <v>141</v>
      </c>
      <c r="B3">
        <v>300000</v>
      </c>
      <c r="C3" t="s">
        <v>9</v>
      </c>
      <c r="F3" t="s">
        <v>153</v>
      </c>
      <c r="G3">
        <f>B7/B6</f>
        <v>5</v>
      </c>
    </row>
    <row r="4" spans="1:9" x14ac:dyDescent="0.25">
      <c r="A4" t="s">
        <v>142</v>
      </c>
      <c r="B4">
        <v>100000</v>
      </c>
      <c r="C4" t="s">
        <v>9</v>
      </c>
    </row>
    <row r="5" spans="1:9" x14ac:dyDescent="0.25">
      <c r="A5" t="s">
        <v>143</v>
      </c>
      <c r="B5">
        <v>150000</v>
      </c>
      <c r="C5" t="s">
        <v>9</v>
      </c>
      <c r="F5" t="s">
        <v>154</v>
      </c>
      <c r="G5">
        <f>B14-(G3+B8)</f>
        <v>55</v>
      </c>
    </row>
    <row r="6" spans="1:9" x14ac:dyDescent="0.25">
      <c r="A6" t="s">
        <v>144</v>
      </c>
      <c r="B6">
        <v>2</v>
      </c>
      <c r="C6" t="s">
        <v>146</v>
      </c>
      <c r="F6" t="s">
        <v>155</v>
      </c>
      <c r="G6">
        <f>B15-(G3+B9)</f>
        <v>35</v>
      </c>
    </row>
    <row r="7" spans="1:9" x14ac:dyDescent="0.25">
      <c r="A7" t="s">
        <v>145</v>
      </c>
      <c r="B7">
        <v>10</v>
      </c>
      <c r="C7" t="s">
        <v>9</v>
      </c>
    </row>
    <row r="8" spans="1:9" x14ac:dyDescent="0.25">
      <c r="A8" t="s">
        <v>147</v>
      </c>
      <c r="B8">
        <v>15</v>
      </c>
      <c r="C8" t="s">
        <v>148</v>
      </c>
      <c r="F8" t="s">
        <v>156</v>
      </c>
    </row>
    <row r="9" spans="1:9" x14ac:dyDescent="0.25">
      <c r="A9" t="s">
        <v>147</v>
      </c>
      <c r="B9">
        <v>20</v>
      </c>
      <c r="C9" t="s">
        <v>149</v>
      </c>
      <c r="F9" t="s">
        <v>157</v>
      </c>
      <c r="G9">
        <f>G2/(A11*G5+A12*G6)</f>
        <v>4400</v>
      </c>
    </row>
    <row r="11" spans="1:9" x14ac:dyDescent="0.25">
      <c r="A11">
        <v>1</v>
      </c>
      <c r="B11" t="s">
        <v>161</v>
      </c>
      <c r="F11" s="38" t="s">
        <v>158</v>
      </c>
      <c r="G11" s="38">
        <f>G9</f>
        <v>4400</v>
      </c>
      <c r="H11" s="38" t="s">
        <v>146</v>
      </c>
    </row>
    <row r="12" spans="1:9" x14ac:dyDescent="0.25">
      <c r="A12">
        <v>2</v>
      </c>
      <c r="B12" t="s">
        <v>162</v>
      </c>
      <c r="F12" s="38" t="s">
        <v>159</v>
      </c>
      <c r="G12" s="38">
        <f>2*G11</f>
        <v>8800</v>
      </c>
      <c r="H12" s="38" t="s">
        <v>146</v>
      </c>
      <c r="I12" t="s">
        <v>165</v>
      </c>
    </row>
    <row r="14" spans="1:9" x14ac:dyDescent="0.25">
      <c r="A14" t="s">
        <v>150</v>
      </c>
      <c r="B14">
        <v>75</v>
      </c>
      <c r="C14" t="s">
        <v>9</v>
      </c>
    </row>
    <row r="15" spans="1:9" x14ac:dyDescent="0.25">
      <c r="A15" t="s">
        <v>151</v>
      </c>
      <c r="B15">
        <v>60</v>
      </c>
      <c r="C15" t="s">
        <v>9</v>
      </c>
      <c r="E15" t="s">
        <v>4</v>
      </c>
      <c r="F15" t="s">
        <v>160</v>
      </c>
    </row>
    <row r="16" spans="1:9" x14ac:dyDescent="0.25">
      <c r="F16" t="s">
        <v>157</v>
      </c>
      <c r="G16">
        <f>((B19/(1-B17))+G2)/(A11*G5+A12*G6)</f>
        <v>5150</v>
      </c>
    </row>
    <row r="17" spans="1:10" x14ac:dyDescent="0.25">
      <c r="A17" t="s">
        <v>94</v>
      </c>
      <c r="B17" s="31">
        <v>0.2</v>
      </c>
    </row>
    <row r="18" spans="1:10" x14ac:dyDescent="0.25">
      <c r="F18" s="38" t="s">
        <v>158</v>
      </c>
      <c r="G18" s="38">
        <f>G16</f>
        <v>5150</v>
      </c>
      <c r="H18" s="38" t="s">
        <v>146</v>
      </c>
    </row>
    <row r="19" spans="1:10" x14ac:dyDescent="0.25">
      <c r="A19" t="s">
        <v>5</v>
      </c>
      <c r="B19">
        <v>75000</v>
      </c>
      <c r="F19" s="38" t="s">
        <v>159</v>
      </c>
      <c r="G19" s="38">
        <f>2*G18</f>
        <v>10300</v>
      </c>
      <c r="H19" s="38" t="s">
        <v>146</v>
      </c>
      <c r="I19" t="s">
        <v>165</v>
      </c>
    </row>
    <row r="22" spans="1:10" x14ac:dyDescent="0.25">
      <c r="E22" t="s">
        <v>6</v>
      </c>
      <c r="F22" t="s">
        <v>163</v>
      </c>
      <c r="G22">
        <v>200000</v>
      </c>
      <c r="H22" t="s">
        <v>9</v>
      </c>
    </row>
    <row r="23" spans="1:10" x14ac:dyDescent="0.25">
      <c r="F23" t="s">
        <v>164</v>
      </c>
      <c r="G23">
        <v>6000</v>
      </c>
      <c r="H23" t="s">
        <v>146</v>
      </c>
    </row>
    <row r="25" spans="1:10" x14ac:dyDescent="0.25">
      <c r="F25" t="s">
        <v>166</v>
      </c>
    </row>
    <row r="26" spans="1:10" x14ac:dyDescent="0.25">
      <c r="F26" t="s">
        <v>167</v>
      </c>
      <c r="G26">
        <f>(G23/(A11+A12)*A11*G5+G23/(A11+A12)*A12*G6)-G22</f>
        <v>50000</v>
      </c>
    </row>
    <row r="27" spans="1:10" x14ac:dyDescent="0.25">
      <c r="F27" s="38" t="s">
        <v>168</v>
      </c>
      <c r="G27" s="38">
        <f>G26*(1-B17)</f>
        <v>40000</v>
      </c>
      <c r="H27" s="38"/>
      <c r="I27" s="38" t="s">
        <v>169</v>
      </c>
      <c r="J2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 I</vt:lpstr>
      <vt:lpstr>Tema II</vt:lpstr>
      <vt:lpstr>Tema III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Sasmay</dc:creator>
  <cp:lastModifiedBy>Alberto Sasmay</cp:lastModifiedBy>
  <dcterms:created xsi:type="dcterms:W3CDTF">2015-05-06T04:10:17Z</dcterms:created>
  <dcterms:modified xsi:type="dcterms:W3CDTF">2015-08-16T02:15:45Z</dcterms:modified>
</cp:coreProperties>
</file>