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8302A5F-204E-4082-9B54-4C66E6E026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 MPS" sheetId="16" r:id="rId1"/>
    <sheet name="MacPro Winter's " sheetId="9" r:id="rId2"/>
    <sheet name="MacAir Winter's" sheetId="11" r:id="rId3"/>
    <sheet name="MacAir Seasonal" sheetId="13" r:id="rId4"/>
    <sheet name="MacPro Seasonal" sheetId="14" r:id="rId5"/>
    <sheet name="Comparison" sheetId="12" r:id="rId6"/>
    <sheet name="Why Winter" sheetId="10" r:id="rId7"/>
  </sheets>
  <externalReferences>
    <externalReference r:id="rId8"/>
  </externalReferences>
  <definedNames>
    <definedName name="solver_adj" localSheetId="0" hidden="1">'Final MPS'!#REF!</definedName>
    <definedName name="solver_adj" localSheetId="2" hidden="1">'MacAir Winter''s'!$S$19:$U$19</definedName>
    <definedName name="solver_adj" localSheetId="1" hidden="1">'MacPro Winter''s '!$S$19:$U$19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'Final MPS'!#REF!</definedName>
    <definedName name="solver_lhs1" localSheetId="2" hidden="1">'MacAir Winter''s'!$S$19</definedName>
    <definedName name="solver_lhs1" localSheetId="1" hidden="1">'MacPro Winter''s '!$S$19</definedName>
    <definedName name="solver_lhs2" localSheetId="0" hidden="1">'Final MPS'!#REF!</definedName>
    <definedName name="solver_lhs2" localSheetId="2" hidden="1">'MacAir Winter''s'!$S$19</definedName>
    <definedName name="solver_lhs2" localSheetId="1" hidden="1">'MacPro Winter''s '!$S$19</definedName>
    <definedName name="solver_lhs3" localSheetId="0" hidden="1">'Final MPS'!#REF!</definedName>
    <definedName name="solver_lhs3" localSheetId="2" hidden="1">'MacAir Winter''s'!$T$19</definedName>
    <definedName name="solver_lhs3" localSheetId="1" hidden="1">'MacPro Winter''s '!$T$19</definedName>
    <definedName name="solver_lhs4" localSheetId="2" hidden="1">'MacAir Winter''s'!$T$19</definedName>
    <definedName name="solver_lhs4" localSheetId="1" hidden="1">'MacPro Winter''s '!$T$19</definedName>
    <definedName name="solver_lhs5" localSheetId="2" hidden="1">'MacAir Winter''s'!$U$19</definedName>
    <definedName name="solver_lhs5" localSheetId="1" hidden="1">'MacPro Winter''s '!$U$19</definedName>
    <definedName name="solver_lhs6" localSheetId="2" hidden="1">'MacAir Winter''s'!$U$19</definedName>
    <definedName name="solver_lhs6" localSheetId="1" hidden="1">'MacPro Winter''s '!$U$19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3</definedName>
    <definedName name="solver_num" localSheetId="2" hidden="1">6</definedName>
    <definedName name="solver_num" localSheetId="1" hidden="1">6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'Final MPS'!$AF$17</definedName>
    <definedName name="solver_opt" localSheetId="2" hidden="1">'MacAir Winter''s'!$AC$107</definedName>
    <definedName name="solver_opt" localSheetId="1" hidden="1">'MacPro Winter''s '!$AC$107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4</definedName>
    <definedName name="solver_rel2" localSheetId="2" hidden="1">3</definedName>
    <definedName name="solver_rel2" localSheetId="1" hidden="1">3</definedName>
    <definedName name="solver_rel3" localSheetId="0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1</definedName>
    <definedName name="solver_rel5" localSheetId="1" hidden="1">1</definedName>
    <definedName name="solver_rel6" localSheetId="2" hidden="1">3</definedName>
    <definedName name="solver_rel6" localSheetId="1" hidden="1">3</definedName>
    <definedName name="solver_rhs1" localSheetId="0" hidden="1">9</definedName>
    <definedName name="solver_rhs1" localSheetId="2" hidden="1">0.2</definedName>
    <definedName name="solver_rhs1" localSheetId="1" hidden="1">0.2</definedName>
    <definedName name="solver_rhs2" localSheetId="0" hidden="1">integer</definedName>
    <definedName name="solver_rhs2" localSheetId="2" hidden="1">0.1</definedName>
    <definedName name="solver_rhs2" localSheetId="1" hidden="1">0.1</definedName>
    <definedName name="solver_rhs3" localSheetId="0" hidden="1">1</definedName>
    <definedName name="solver_rhs3" localSheetId="2" hidden="1">0.2</definedName>
    <definedName name="solver_rhs3" localSheetId="1" hidden="1">0.2</definedName>
    <definedName name="solver_rhs4" localSheetId="2" hidden="1">0.1</definedName>
    <definedName name="solver_rhs4" localSheetId="1" hidden="1">0.1</definedName>
    <definedName name="solver_rhs5" localSheetId="2" hidden="1">0.2</definedName>
    <definedName name="solver_rhs5" localSheetId="1" hidden="1">0.2</definedName>
    <definedName name="solver_rhs6" localSheetId="2" hidden="1">0.1</definedName>
    <definedName name="solver_rhs6" localSheetId="1" hidden="1">0.1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6" l="1"/>
  <c r="F3" i="16"/>
  <c r="G3" i="16" s="1"/>
  <c r="I3" i="16" s="1"/>
  <c r="N3" i="16"/>
  <c r="P3" i="16"/>
  <c r="Q3" i="16" s="1"/>
  <c r="S3" i="16" s="1"/>
  <c r="U3" i="16"/>
  <c r="V3" i="16"/>
  <c r="Y3" i="16"/>
  <c r="AC3" i="16"/>
  <c r="X4" i="16" s="1"/>
  <c r="AC4" i="16" s="1"/>
  <c r="D4" i="16"/>
  <c r="F4" i="16"/>
  <c r="G4" i="16"/>
  <c r="I4" i="16" s="1"/>
  <c r="H4" i="16"/>
  <c r="J4" i="16"/>
  <c r="N4" i="16"/>
  <c r="P4" i="16"/>
  <c r="Q4" i="16" s="1"/>
  <c r="S4" i="16" s="1"/>
  <c r="U4" i="16"/>
  <c r="V4" i="16"/>
  <c r="Y4" i="16"/>
  <c r="D5" i="16"/>
  <c r="F5" i="16"/>
  <c r="H5" i="16" s="1"/>
  <c r="J5" i="16" s="1"/>
  <c r="G5" i="16"/>
  <c r="I5" i="16" s="1"/>
  <c r="N5" i="16"/>
  <c r="P5" i="16"/>
  <c r="R5" i="16" s="1"/>
  <c r="T5" i="16" s="1"/>
  <c r="Q5" i="16"/>
  <c r="S5" i="16"/>
  <c r="U5" i="16"/>
  <c r="V5" i="16" s="1"/>
  <c r="Y5" i="16"/>
  <c r="AA5" i="16"/>
  <c r="AC5" i="16" s="1"/>
  <c r="AB5" i="16"/>
  <c r="B6" i="16"/>
  <c r="D6" i="16" s="1"/>
  <c r="F6" i="16"/>
  <c r="B7" i="16" s="1"/>
  <c r="G6" i="16"/>
  <c r="I6" i="16"/>
  <c r="L6" i="16"/>
  <c r="N6" i="16" s="1"/>
  <c r="U6" i="16"/>
  <c r="V6" i="16"/>
  <c r="Y6" i="16"/>
  <c r="AA6" i="16"/>
  <c r="U7" i="16"/>
  <c r="V7" i="16"/>
  <c r="Y7" i="16"/>
  <c r="AA7" i="16"/>
  <c r="U8" i="16"/>
  <c r="V8" i="16"/>
  <c r="Y8" i="16"/>
  <c r="AA8" i="16"/>
  <c r="U9" i="16"/>
  <c r="V9" i="16"/>
  <c r="Y9" i="16"/>
  <c r="AA9" i="16"/>
  <c r="U10" i="16"/>
  <c r="V10" i="16"/>
  <c r="Y10" i="16"/>
  <c r="AA10" i="16"/>
  <c r="U11" i="16"/>
  <c r="V11" i="16"/>
  <c r="Y11" i="16"/>
  <c r="AA11" i="16"/>
  <c r="U12" i="16"/>
  <c r="V12" i="16"/>
  <c r="Y12" i="16"/>
  <c r="AA12" i="16"/>
  <c r="U13" i="16"/>
  <c r="V13" i="16"/>
  <c r="Y13" i="16"/>
  <c r="AA13" i="16"/>
  <c r="U14" i="16"/>
  <c r="V14" i="16"/>
  <c r="Y14" i="16"/>
  <c r="AA14" i="16"/>
  <c r="U15" i="16"/>
  <c r="V15" i="16"/>
  <c r="Y15" i="16"/>
  <c r="AA15" i="16"/>
  <c r="U16" i="16"/>
  <c r="V16" i="16"/>
  <c r="Y16" i="16"/>
  <c r="AA16" i="16"/>
  <c r="U17" i="16"/>
  <c r="V17" i="16"/>
  <c r="Y17" i="16"/>
  <c r="AA17" i="16"/>
  <c r="D7" i="16" l="1"/>
  <c r="F7" i="16"/>
  <c r="X6" i="16"/>
  <c r="AD5" i="16"/>
  <c r="AE5" i="16"/>
  <c r="H6" i="16"/>
  <c r="J6" i="16" s="1"/>
  <c r="P6" i="16"/>
  <c r="R4" i="16"/>
  <c r="T4" i="16" s="1"/>
  <c r="AE4" i="16" s="1"/>
  <c r="H3" i="16"/>
  <c r="J3" i="16" s="1"/>
  <c r="R3" i="16"/>
  <c r="T3" i="16" s="1"/>
  <c r="AE3" i="16" s="1"/>
  <c r="D2" i="14"/>
  <c r="F105" i="14" s="1"/>
  <c r="D2" i="13"/>
  <c r="F105" i="13" s="1"/>
  <c r="AF3" i="16" l="1"/>
  <c r="AF5" i="16"/>
  <c r="AF4" i="16"/>
  <c r="AB6" i="16"/>
  <c r="AC6" i="16"/>
  <c r="X7" i="16" s="1"/>
  <c r="B8" i="16"/>
  <c r="G7" i="16"/>
  <c r="I7" i="16" s="1"/>
  <c r="H7" i="16"/>
  <c r="J7" i="16" s="1"/>
  <c r="L7" i="16"/>
  <c r="Q6" i="16"/>
  <c r="S6" i="16" s="1"/>
  <c r="R6" i="16"/>
  <c r="T6" i="16" s="1"/>
  <c r="F18" i="14"/>
  <c r="F66" i="14"/>
  <c r="F98" i="14"/>
  <c r="F34" i="14"/>
  <c r="F15" i="14"/>
  <c r="F19" i="14"/>
  <c r="F27" i="14"/>
  <c r="F35" i="14"/>
  <c r="F43" i="14"/>
  <c r="F51" i="14"/>
  <c r="F59" i="14"/>
  <c r="F67" i="14"/>
  <c r="F75" i="14"/>
  <c r="F83" i="14"/>
  <c r="F91" i="14"/>
  <c r="F99" i="14"/>
  <c r="F50" i="14"/>
  <c r="F90" i="14"/>
  <c r="F7" i="14"/>
  <c r="F28" i="14"/>
  <c r="F52" i="14"/>
  <c r="F76" i="14"/>
  <c r="F100" i="14"/>
  <c r="F6" i="14"/>
  <c r="F14" i="14"/>
  <c r="F21" i="14"/>
  <c r="F29" i="14"/>
  <c r="F37" i="14"/>
  <c r="F45" i="14"/>
  <c r="F53" i="14"/>
  <c r="F61" i="14"/>
  <c r="F69" i="14"/>
  <c r="F77" i="14"/>
  <c r="F85" i="14"/>
  <c r="F93" i="14"/>
  <c r="F101" i="14"/>
  <c r="F26" i="14"/>
  <c r="F58" i="14"/>
  <c r="F74" i="14"/>
  <c r="F8" i="14"/>
  <c r="F20" i="14"/>
  <c r="F44" i="14"/>
  <c r="F60" i="14"/>
  <c r="F92" i="14"/>
  <c r="F5" i="14"/>
  <c r="F13" i="14"/>
  <c r="F22" i="14"/>
  <c r="F30" i="14"/>
  <c r="F38" i="14"/>
  <c r="F46" i="14"/>
  <c r="F54" i="14"/>
  <c r="F62" i="14"/>
  <c r="F70" i="14"/>
  <c r="F78" i="14"/>
  <c r="F86" i="14"/>
  <c r="F94" i="14"/>
  <c r="F102" i="14"/>
  <c r="F9" i="14"/>
  <c r="F42" i="14"/>
  <c r="F82" i="14"/>
  <c r="F16" i="14"/>
  <c r="F36" i="14"/>
  <c r="F68" i="14"/>
  <c r="F84" i="14"/>
  <c r="F4" i="14"/>
  <c r="F12" i="14"/>
  <c r="F23" i="14"/>
  <c r="F31" i="14"/>
  <c r="F39" i="14"/>
  <c r="F47" i="14"/>
  <c r="F55" i="14"/>
  <c r="F63" i="14"/>
  <c r="F71" i="14"/>
  <c r="F79" i="14"/>
  <c r="F87" i="14"/>
  <c r="F95" i="14"/>
  <c r="F103" i="14"/>
  <c r="F3" i="14"/>
  <c r="F11" i="14"/>
  <c r="F24" i="14"/>
  <c r="F32" i="14"/>
  <c r="F40" i="14"/>
  <c r="F48" i="14"/>
  <c r="F56" i="14"/>
  <c r="F64" i="14"/>
  <c r="F72" i="14"/>
  <c r="F80" i="14"/>
  <c r="F88" i="14"/>
  <c r="F96" i="14"/>
  <c r="F104" i="14"/>
  <c r="F2" i="14"/>
  <c r="F10" i="14"/>
  <c r="F17" i="14"/>
  <c r="F25" i="14"/>
  <c r="F33" i="14"/>
  <c r="F41" i="14"/>
  <c r="F49" i="14"/>
  <c r="F57" i="14"/>
  <c r="F65" i="14"/>
  <c r="F73" i="14"/>
  <c r="F81" i="14"/>
  <c r="F89" i="14"/>
  <c r="F97" i="14"/>
  <c r="F3" i="13"/>
  <c r="F9" i="13"/>
  <c r="F18" i="13"/>
  <c r="F26" i="13"/>
  <c r="F34" i="13"/>
  <c r="F42" i="13"/>
  <c r="F50" i="13"/>
  <c r="F58" i="13"/>
  <c r="F66" i="13"/>
  <c r="F74" i="13"/>
  <c r="F82" i="13"/>
  <c r="F90" i="13"/>
  <c r="F98" i="13"/>
  <c r="F8" i="13"/>
  <c r="F15" i="13"/>
  <c r="F19" i="13"/>
  <c r="F27" i="13"/>
  <c r="F35" i="13"/>
  <c r="F43" i="13"/>
  <c r="F51" i="13"/>
  <c r="F59" i="13"/>
  <c r="F67" i="13"/>
  <c r="F75" i="13"/>
  <c r="F83" i="13"/>
  <c r="F91" i="13"/>
  <c r="F99" i="13"/>
  <c r="F7" i="13"/>
  <c r="F16" i="13"/>
  <c r="F20" i="13"/>
  <c r="F28" i="13"/>
  <c r="F36" i="13"/>
  <c r="F44" i="13"/>
  <c r="F52" i="13"/>
  <c r="F60" i="13"/>
  <c r="F68" i="13"/>
  <c r="F76" i="13"/>
  <c r="F84" i="13"/>
  <c r="F92" i="13"/>
  <c r="F100" i="13"/>
  <c r="F14" i="13"/>
  <c r="F21" i="13"/>
  <c r="F29" i="13"/>
  <c r="F37" i="13"/>
  <c r="F45" i="13"/>
  <c r="F53" i="13"/>
  <c r="F61" i="13"/>
  <c r="F69" i="13"/>
  <c r="F77" i="13"/>
  <c r="F85" i="13"/>
  <c r="F93" i="13"/>
  <c r="F101" i="13"/>
  <c r="F13" i="13"/>
  <c r="F22" i="13"/>
  <c r="F30" i="13"/>
  <c r="F38" i="13"/>
  <c r="F46" i="13"/>
  <c r="F54" i="13"/>
  <c r="F62" i="13"/>
  <c r="F70" i="13"/>
  <c r="F78" i="13"/>
  <c r="F86" i="13"/>
  <c r="F94" i="13"/>
  <c r="F102" i="13"/>
  <c r="F4" i="13"/>
  <c r="F12" i="13"/>
  <c r="F23" i="13"/>
  <c r="F31" i="13"/>
  <c r="F39" i="13"/>
  <c r="F47" i="13"/>
  <c r="F55" i="13"/>
  <c r="F63" i="13"/>
  <c r="F71" i="13"/>
  <c r="F79" i="13"/>
  <c r="F87" i="13"/>
  <c r="F95" i="13"/>
  <c r="F103" i="13"/>
  <c r="F24" i="13"/>
  <c r="F32" i="13"/>
  <c r="F40" i="13"/>
  <c r="F48" i="13"/>
  <c r="F56" i="13"/>
  <c r="F64" i="13"/>
  <c r="F72" i="13"/>
  <c r="F80" i="13"/>
  <c r="F88" i="13"/>
  <c r="F96" i="13"/>
  <c r="F104" i="13"/>
  <c r="F6" i="13"/>
  <c r="I6" i="13" s="1"/>
  <c r="F5" i="13"/>
  <c r="F11" i="13"/>
  <c r="F2" i="13"/>
  <c r="F10" i="13"/>
  <c r="F17" i="13"/>
  <c r="F25" i="13"/>
  <c r="F33" i="13"/>
  <c r="F41" i="13"/>
  <c r="F49" i="13"/>
  <c r="F57" i="13"/>
  <c r="F65" i="13"/>
  <c r="F73" i="13"/>
  <c r="F81" i="13"/>
  <c r="F89" i="13"/>
  <c r="F97" i="13"/>
  <c r="AD6" i="16" l="1"/>
  <c r="AB7" i="16"/>
  <c r="AC7" i="16" s="1"/>
  <c r="X8" i="16" s="1"/>
  <c r="AE6" i="16"/>
  <c r="N7" i="16"/>
  <c r="P7" i="16"/>
  <c r="D8" i="16"/>
  <c r="F8" i="16"/>
  <c r="I11" i="14"/>
  <c r="I4" i="13"/>
  <c r="I8" i="14"/>
  <c r="I6" i="14"/>
  <c r="I13" i="14"/>
  <c r="C11" i="14"/>
  <c r="K11" i="14"/>
  <c r="M11" i="14" s="1"/>
  <c r="I3" i="14"/>
  <c r="I5" i="14"/>
  <c r="I10" i="14"/>
  <c r="I2" i="14"/>
  <c r="I7" i="14"/>
  <c r="I9" i="14"/>
  <c r="I12" i="14"/>
  <c r="I4" i="14"/>
  <c r="I14" i="14"/>
  <c r="I14" i="13"/>
  <c r="K4" i="13"/>
  <c r="M4" i="13" s="1"/>
  <c r="C4" i="13"/>
  <c r="I8" i="13"/>
  <c r="I10" i="13"/>
  <c r="I13" i="13"/>
  <c r="I7" i="13"/>
  <c r="I11" i="13"/>
  <c r="I9" i="13"/>
  <c r="K6" i="13"/>
  <c r="M6" i="13" s="1"/>
  <c r="C6" i="13"/>
  <c r="I2" i="13"/>
  <c r="I5" i="13"/>
  <c r="I12" i="13"/>
  <c r="I3" i="13"/>
  <c r="AB8" i="16" l="1"/>
  <c r="AC8" i="16"/>
  <c r="X9" i="16" s="1"/>
  <c r="L8" i="16"/>
  <c r="Q7" i="16"/>
  <c r="S7" i="16" s="1"/>
  <c r="R7" i="16"/>
  <c r="T7" i="16" s="1"/>
  <c r="AF6" i="16"/>
  <c r="B9" i="16"/>
  <c r="G8" i="16"/>
  <c r="I8" i="16" s="1"/>
  <c r="H8" i="16"/>
  <c r="J8" i="16" s="1"/>
  <c r="AD7" i="16"/>
  <c r="C10" i="14"/>
  <c r="K10" i="14"/>
  <c r="M10" i="14" s="1"/>
  <c r="C3" i="14"/>
  <c r="K3" i="14"/>
  <c r="M3" i="14" s="1"/>
  <c r="K13" i="14"/>
  <c r="M13" i="14" s="1"/>
  <c r="C13" i="14"/>
  <c r="K5" i="14"/>
  <c r="M5" i="14" s="1"/>
  <c r="C5" i="14"/>
  <c r="K14" i="14"/>
  <c r="M14" i="14" s="1"/>
  <c r="C14" i="14"/>
  <c r="K4" i="14"/>
  <c r="M4" i="14" s="1"/>
  <c r="C4" i="14"/>
  <c r="K12" i="14"/>
  <c r="M12" i="14" s="1"/>
  <c r="C12" i="14"/>
  <c r="C9" i="14"/>
  <c r="K9" i="14"/>
  <c r="M9" i="14" s="1"/>
  <c r="K7" i="14"/>
  <c r="M7" i="14" s="1"/>
  <c r="C7" i="14"/>
  <c r="K6" i="14"/>
  <c r="M6" i="14" s="1"/>
  <c r="C6" i="14"/>
  <c r="C2" i="14"/>
  <c r="K2" i="14"/>
  <c r="M2" i="14" s="1"/>
  <c r="I15" i="14"/>
  <c r="K8" i="14"/>
  <c r="M8" i="14" s="1"/>
  <c r="C8" i="14"/>
  <c r="C11" i="13"/>
  <c r="K11" i="13"/>
  <c r="M11" i="13" s="1"/>
  <c r="K13" i="13"/>
  <c r="M13" i="13" s="1"/>
  <c r="C13" i="13"/>
  <c r="K7" i="13"/>
  <c r="M7" i="13" s="1"/>
  <c r="C7" i="13"/>
  <c r="K5" i="13"/>
  <c r="M5" i="13" s="1"/>
  <c r="C5" i="13"/>
  <c r="C2" i="13"/>
  <c r="I15" i="13"/>
  <c r="K2" i="13"/>
  <c r="M2" i="13" s="1"/>
  <c r="C3" i="13"/>
  <c r="K3" i="13"/>
  <c r="M3" i="13" s="1"/>
  <c r="K12" i="13"/>
  <c r="M12" i="13" s="1"/>
  <c r="C12" i="13"/>
  <c r="K10" i="13"/>
  <c r="M10" i="13" s="1"/>
  <c r="C10" i="13"/>
  <c r="K8" i="13"/>
  <c r="M8" i="13" s="1"/>
  <c r="C8" i="13"/>
  <c r="C9" i="13"/>
  <c r="K9" i="13"/>
  <c r="M9" i="13" s="1"/>
  <c r="K14" i="13"/>
  <c r="M14" i="13" s="1"/>
  <c r="C14" i="13"/>
  <c r="AE7" i="16" l="1"/>
  <c r="N8" i="16"/>
  <c r="P8" i="16"/>
  <c r="AB9" i="16"/>
  <c r="AC9" i="16" s="1"/>
  <c r="X10" i="16" s="1"/>
  <c r="D9" i="16"/>
  <c r="F9" i="16"/>
  <c r="AD8" i="16"/>
  <c r="M15" i="14"/>
  <c r="M15" i="13"/>
  <c r="AB10" i="16" l="1"/>
  <c r="AD10" i="16" s="1"/>
  <c r="AC10" i="16"/>
  <c r="X11" i="16" s="1"/>
  <c r="L9" i="16"/>
  <c r="Q8" i="16"/>
  <c r="S8" i="16" s="1"/>
  <c r="R8" i="16"/>
  <c r="T8" i="16" s="1"/>
  <c r="AE8" i="16" s="1"/>
  <c r="B10" i="16"/>
  <c r="G9" i="16"/>
  <c r="I9" i="16" s="1"/>
  <c r="H9" i="16"/>
  <c r="J9" i="16" s="1"/>
  <c r="AD9" i="16"/>
  <c r="AF7" i="16"/>
  <c r="F17" i="12"/>
  <c r="E17" i="12"/>
  <c r="D17" i="12"/>
  <c r="C17" i="12"/>
  <c r="D16" i="11"/>
  <c r="C16" i="11"/>
  <c r="B16" i="11"/>
  <c r="C32" i="10"/>
  <c r="D32" i="10"/>
  <c r="E32" i="10"/>
  <c r="F32" i="10"/>
  <c r="G32" i="10"/>
  <c r="H32" i="10"/>
  <c r="I32" i="10"/>
  <c r="B32" i="10"/>
  <c r="C16" i="10"/>
  <c r="D16" i="10"/>
  <c r="E16" i="10"/>
  <c r="F16" i="10"/>
  <c r="G16" i="10"/>
  <c r="H16" i="10"/>
  <c r="I16" i="10"/>
  <c r="B16" i="10"/>
  <c r="AF8" i="16" l="1"/>
  <c r="N9" i="16"/>
  <c r="P9" i="16"/>
  <c r="D10" i="16"/>
  <c r="F10" i="16"/>
  <c r="AB11" i="16"/>
  <c r="AC11" i="16"/>
  <c r="X12" i="16" s="1"/>
  <c r="N28" i="11"/>
  <c r="P25" i="11" s="1"/>
  <c r="Y41" i="11"/>
  <c r="B11" i="16" l="1"/>
  <c r="G10" i="16"/>
  <c r="I10" i="16" s="1"/>
  <c r="H10" i="16"/>
  <c r="J10" i="16" s="1"/>
  <c r="AB12" i="16"/>
  <c r="AC12" i="16"/>
  <c r="X13" i="16" s="1"/>
  <c r="AD11" i="16"/>
  <c r="L10" i="16"/>
  <c r="Q9" i="16"/>
  <c r="S9" i="16" s="1"/>
  <c r="R9" i="16"/>
  <c r="T9" i="16" s="1"/>
  <c r="AA35" i="11"/>
  <c r="AA7" i="11"/>
  <c r="AA40" i="11"/>
  <c r="P27" i="11"/>
  <c r="AA18" i="11"/>
  <c r="AA25" i="11"/>
  <c r="AA5" i="11"/>
  <c r="P9" i="11"/>
  <c r="P15" i="11"/>
  <c r="AA6" i="11"/>
  <c r="AA32" i="11"/>
  <c r="P23" i="11"/>
  <c r="AA21" i="11"/>
  <c r="AA3" i="11"/>
  <c r="P7" i="11"/>
  <c r="P21" i="11"/>
  <c r="P6" i="11"/>
  <c r="AA16" i="11"/>
  <c r="AA28" i="11"/>
  <c r="P10" i="11"/>
  <c r="P19" i="11"/>
  <c r="O28" i="11"/>
  <c r="Q29" i="11" s="1"/>
  <c r="P5" i="11"/>
  <c r="P26" i="11"/>
  <c r="AA39" i="11"/>
  <c r="P14" i="11"/>
  <c r="P3" i="11"/>
  <c r="AA8" i="11"/>
  <c r="AE8" i="11" s="1"/>
  <c r="P12" i="11"/>
  <c r="T12" i="11" s="1"/>
  <c r="AA22" i="11"/>
  <c r="P11" i="11"/>
  <c r="T11" i="11" s="1"/>
  <c r="AA27" i="11"/>
  <c r="AA17" i="11"/>
  <c r="AA24" i="11"/>
  <c r="P16" i="11"/>
  <c r="AA29" i="11"/>
  <c r="AA19" i="11"/>
  <c r="AE6" i="11" s="1"/>
  <c r="AA38" i="11"/>
  <c r="P22" i="11"/>
  <c r="P17" i="11"/>
  <c r="AA13" i="11"/>
  <c r="AA34" i="11"/>
  <c r="AA15" i="11"/>
  <c r="AA10" i="11"/>
  <c r="P24" i="11"/>
  <c r="P13" i="11"/>
  <c r="AA30" i="11"/>
  <c r="P18" i="11"/>
  <c r="AA11" i="11"/>
  <c r="P28" i="11"/>
  <c r="AA31" i="11"/>
  <c r="AA14" i="11"/>
  <c r="AA33" i="11"/>
  <c r="AA12" i="11"/>
  <c r="AE12" i="11" s="1"/>
  <c r="AA23" i="11"/>
  <c r="P20" i="11"/>
  <c r="AA41" i="11"/>
  <c r="AA26" i="11"/>
  <c r="AA36" i="11"/>
  <c r="AA9" i="11"/>
  <c r="AE9" i="11" s="1"/>
  <c r="AA37" i="11"/>
  <c r="AA20" i="11"/>
  <c r="AA4" i="11"/>
  <c r="P4" i="11"/>
  <c r="T15" i="11"/>
  <c r="P8" i="11"/>
  <c r="Z41" i="11"/>
  <c r="Z42" i="11" s="1"/>
  <c r="T14" i="11"/>
  <c r="T6" i="11"/>
  <c r="AE3" i="11"/>
  <c r="T3" i="11"/>
  <c r="N10" i="16" l="1"/>
  <c r="P10" i="16"/>
  <c r="AB13" i="16"/>
  <c r="AC13" i="16" s="1"/>
  <c r="X14" i="16" s="1"/>
  <c r="AD12" i="16"/>
  <c r="AE9" i="16"/>
  <c r="D11" i="16"/>
  <c r="F11" i="16"/>
  <c r="AE5" i="11"/>
  <c r="AE13" i="11"/>
  <c r="T5" i="11"/>
  <c r="T13" i="11"/>
  <c r="T7" i="11"/>
  <c r="AE7" i="11"/>
  <c r="AE10" i="11"/>
  <c r="AE11" i="11"/>
  <c r="T4" i="11"/>
  <c r="T9" i="11"/>
  <c r="T8" i="11"/>
  <c r="AE14" i="11"/>
  <c r="AB42" i="11"/>
  <c r="T10" i="11"/>
  <c r="AE15" i="11"/>
  <c r="O29" i="11"/>
  <c r="AE4" i="11"/>
  <c r="AA42" i="11"/>
  <c r="Y42" i="11"/>
  <c r="AB14" i="16" l="1"/>
  <c r="AC14" i="16"/>
  <c r="X15" i="16" s="1"/>
  <c r="AF9" i="16"/>
  <c r="AF10" i="16"/>
  <c r="L11" i="16"/>
  <c r="Q10" i="16"/>
  <c r="S10" i="16" s="1"/>
  <c r="R10" i="16"/>
  <c r="T10" i="16" s="1"/>
  <c r="AE10" i="16" s="1"/>
  <c r="B12" i="16"/>
  <c r="G11" i="16"/>
  <c r="I11" i="16" s="1"/>
  <c r="H11" i="16"/>
  <c r="J11" i="16" s="1"/>
  <c r="AD13" i="16"/>
  <c r="AE16" i="11"/>
  <c r="T16" i="11"/>
  <c r="P29" i="11"/>
  <c r="N29" i="11"/>
  <c r="AB43" i="11"/>
  <c r="Z43" i="11"/>
  <c r="D12" i="16" l="1"/>
  <c r="F12" i="16"/>
  <c r="N11" i="16"/>
  <c r="P11" i="16"/>
  <c r="AB15" i="16"/>
  <c r="AC15" i="16" s="1"/>
  <c r="X16" i="16" s="1"/>
  <c r="AD14" i="16"/>
  <c r="Q30" i="11"/>
  <c r="O30" i="11"/>
  <c r="AA43" i="11"/>
  <c r="Y43" i="11"/>
  <c r="AB16" i="16" l="1"/>
  <c r="AC16" i="16"/>
  <c r="X17" i="16" s="1"/>
  <c r="L12" i="16"/>
  <c r="Q11" i="16"/>
  <c r="S11" i="16" s="1"/>
  <c r="R11" i="16"/>
  <c r="T11" i="16" s="1"/>
  <c r="AE11" i="16" s="1"/>
  <c r="AF11" i="16" s="1"/>
  <c r="AD15" i="16"/>
  <c r="B13" i="16"/>
  <c r="G12" i="16"/>
  <c r="I12" i="16" s="1"/>
  <c r="H12" i="16"/>
  <c r="J12" i="16" s="1"/>
  <c r="N30" i="11"/>
  <c r="P30" i="11"/>
  <c r="AB44" i="11"/>
  <c r="Z44" i="11"/>
  <c r="D13" i="16" l="1"/>
  <c r="F13" i="16"/>
  <c r="N12" i="16"/>
  <c r="P12" i="16"/>
  <c r="AB17" i="16"/>
  <c r="AD17" i="16" s="1"/>
  <c r="AC17" i="16"/>
  <c r="AD16" i="16"/>
  <c r="Q31" i="11"/>
  <c r="O31" i="11"/>
  <c r="AA44" i="11"/>
  <c r="Y44" i="11"/>
  <c r="B14" i="16" l="1"/>
  <c r="G13" i="16"/>
  <c r="I13" i="16" s="1"/>
  <c r="H13" i="16"/>
  <c r="J13" i="16" s="1"/>
  <c r="L13" i="16"/>
  <c r="Q12" i="16"/>
  <c r="S12" i="16" s="1"/>
  <c r="R12" i="16"/>
  <c r="T12" i="16" s="1"/>
  <c r="P31" i="11"/>
  <c r="N31" i="11"/>
  <c r="AB45" i="11"/>
  <c r="Z45" i="11"/>
  <c r="AE12" i="16" l="1"/>
  <c r="AF12" i="16" s="1"/>
  <c r="N13" i="16"/>
  <c r="P13" i="16"/>
  <c r="D14" i="16"/>
  <c r="F14" i="16"/>
  <c r="Q32" i="11"/>
  <c r="O32" i="11"/>
  <c r="AA45" i="11"/>
  <c r="Y45" i="11"/>
  <c r="B15" i="16" l="1"/>
  <c r="G14" i="16"/>
  <c r="I14" i="16" s="1"/>
  <c r="H14" i="16"/>
  <c r="J14" i="16" s="1"/>
  <c r="L14" i="16"/>
  <c r="Q13" i="16"/>
  <c r="S13" i="16" s="1"/>
  <c r="R13" i="16"/>
  <c r="T13" i="16" s="1"/>
  <c r="AE13" i="16" s="1"/>
  <c r="AF13" i="16" s="1"/>
  <c r="N32" i="11"/>
  <c r="P32" i="11"/>
  <c r="AB46" i="11"/>
  <c r="Z46" i="11"/>
  <c r="N14" i="16" l="1"/>
  <c r="P14" i="16"/>
  <c r="D15" i="16"/>
  <c r="F15" i="16"/>
  <c r="O33" i="11"/>
  <c r="Q33" i="11"/>
  <c r="AA46" i="11"/>
  <c r="Y46" i="11"/>
  <c r="B16" i="16" l="1"/>
  <c r="G15" i="16"/>
  <c r="I15" i="16" s="1"/>
  <c r="H15" i="16"/>
  <c r="J15" i="16" s="1"/>
  <c r="L15" i="16"/>
  <c r="R14" i="16"/>
  <c r="T14" i="16" s="1"/>
  <c r="AE14" i="16" s="1"/>
  <c r="AF14" i="16" s="1"/>
  <c r="Q14" i="16"/>
  <c r="S14" i="16" s="1"/>
  <c r="N33" i="11"/>
  <c r="P33" i="11"/>
  <c r="AB47" i="11"/>
  <c r="Z47" i="11"/>
  <c r="N15" i="16" l="1"/>
  <c r="P15" i="16"/>
  <c r="D16" i="16"/>
  <c r="F16" i="16"/>
  <c r="Q34" i="11"/>
  <c r="O34" i="11"/>
  <c r="AA47" i="11"/>
  <c r="Y47" i="11"/>
  <c r="B17" i="16" l="1"/>
  <c r="G16" i="16"/>
  <c r="I16" i="16" s="1"/>
  <c r="H16" i="16"/>
  <c r="J16" i="16" s="1"/>
  <c r="L16" i="16"/>
  <c r="R15" i="16"/>
  <c r="T15" i="16" s="1"/>
  <c r="Q15" i="16"/>
  <c r="S15" i="16" s="1"/>
  <c r="P34" i="11"/>
  <c r="N34" i="11"/>
  <c r="AB48" i="11"/>
  <c r="Z48" i="11"/>
  <c r="N16" i="16" l="1"/>
  <c r="P16" i="16"/>
  <c r="AE15" i="16"/>
  <c r="AF15" i="16" s="1"/>
  <c r="D17" i="16"/>
  <c r="F17" i="16"/>
  <c r="Q35" i="11"/>
  <c r="O35" i="11"/>
  <c r="AA48" i="11"/>
  <c r="Y48" i="11"/>
  <c r="G17" i="16" l="1"/>
  <c r="I17" i="16" s="1"/>
  <c r="H17" i="16"/>
  <c r="J17" i="16" s="1"/>
  <c r="L17" i="16"/>
  <c r="R16" i="16"/>
  <c r="T16" i="16" s="1"/>
  <c r="Q16" i="16"/>
  <c r="S16" i="16" s="1"/>
  <c r="N35" i="11"/>
  <c r="P35" i="11"/>
  <c r="AB49" i="11"/>
  <c r="Z49" i="11"/>
  <c r="AE16" i="16" l="1"/>
  <c r="AF16" i="16" s="1"/>
  <c r="N17" i="16"/>
  <c r="P17" i="16"/>
  <c r="Q36" i="11"/>
  <c r="O36" i="11"/>
  <c r="AA49" i="11"/>
  <c r="Y49" i="11"/>
  <c r="Q17" i="16" l="1"/>
  <c r="S17" i="16" s="1"/>
  <c r="R17" i="16"/>
  <c r="T17" i="16" s="1"/>
  <c r="AE17" i="16" s="1"/>
  <c r="N36" i="11"/>
  <c r="P36" i="11"/>
  <c r="AB50" i="11"/>
  <c r="Z50" i="11"/>
  <c r="Q37" i="11" l="1"/>
  <c r="O37" i="11"/>
  <c r="AA50" i="11"/>
  <c r="Y50" i="11"/>
  <c r="P37" i="11" l="1"/>
  <c r="N37" i="11"/>
  <c r="AB51" i="11"/>
  <c r="Z51" i="11"/>
  <c r="Q38" i="11" l="1"/>
  <c r="O38" i="11"/>
  <c r="AA51" i="11"/>
  <c r="Y51" i="11"/>
  <c r="P38" i="11" l="1"/>
  <c r="N38" i="11"/>
  <c r="AB52" i="11"/>
  <c r="Z52" i="11"/>
  <c r="Q39" i="11" l="1"/>
  <c r="O39" i="11"/>
  <c r="AA52" i="11"/>
  <c r="Y52" i="11"/>
  <c r="N39" i="11" l="1"/>
  <c r="P39" i="11"/>
  <c r="AB53" i="11"/>
  <c r="Z53" i="11"/>
  <c r="O40" i="11" l="1"/>
  <c r="Q40" i="11"/>
  <c r="AA53" i="11"/>
  <c r="Y53" i="11"/>
  <c r="N40" i="11" l="1"/>
  <c r="P40" i="11"/>
  <c r="AB54" i="11"/>
  <c r="Z54" i="11"/>
  <c r="Q41" i="11" l="1"/>
  <c r="O41" i="11"/>
  <c r="AA54" i="11"/>
  <c r="Y54" i="11"/>
  <c r="N41" i="11" l="1"/>
  <c r="P41" i="11"/>
  <c r="AB55" i="11"/>
  <c r="Z55" i="11"/>
  <c r="Q42" i="11" l="1"/>
  <c r="O42" i="11"/>
  <c r="AA55" i="11"/>
  <c r="Y55" i="11"/>
  <c r="N42" i="11" l="1"/>
  <c r="P42" i="11"/>
  <c r="AB56" i="11"/>
  <c r="Z56" i="11"/>
  <c r="Q43" i="11" l="1"/>
  <c r="O43" i="11"/>
  <c r="AA56" i="11"/>
  <c r="Y56" i="11"/>
  <c r="N43" i="11" l="1"/>
  <c r="P43" i="11"/>
  <c r="AB57" i="11"/>
  <c r="Z57" i="11"/>
  <c r="O44" i="11" l="1"/>
  <c r="Q44" i="11"/>
  <c r="AA57" i="11"/>
  <c r="Y57" i="11"/>
  <c r="N44" i="11" l="1"/>
  <c r="P44" i="11"/>
  <c r="AB58" i="11"/>
  <c r="Z58" i="11"/>
  <c r="Q45" i="11" l="1"/>
  <c r="O45" i="11"/>
  <c r="AA58" i="11"/>
  <c r="Y58" i="11"/>
  <c r="P45" i="11" l="1"/>
  <c r="N45" i="11"/>
  <c r="AB59" i="11"/>
  <c r="Z59" i="11"/>
  <c r="Q46" i="11" l="1"/>
  <c r="O46" i="11"/>
  <c r="AA59" i="11"/>
  <c r="Y59" i="11"/>
  <c r="N46" i="11" l="1"/>
  <c r="P46" i="11"/>
  <c r="AB60" i="11"/>
  <c r="Z60" i="11"/>
  <c r="O47" i="11" l="1"/>
  <c r="Q47" i="11"/>
  <c r="AA60" i="11"/>
  <c r="Y60" i="11"/>
  <c r="N47" i="11" l="1"/>
  <c r="P47" i="11"/>
  <c r="AB61" i="11"/>
  <c r="Z61" i="11"/>
  <c r="Q48" i="11" l="1"/>
  <c r="O48" i="11"/>
  <c r="AA61" i="11"/>
  <c r="Y61" i="11"/>
  <c r="N48" i="11" l="1"/>
  <c r="P48" i="11"/>
  <c r="AB62" i="11"/>
  <c r="Z62" i="11"/>
  <c r="Q49" i="11" l="1"/>
  <c r="O49" i="11"/>
  <c r="AA62" i="11"/>
  <c r="Y62" i="11"/>
  <c r="N49" i="11" l="1"/>
  <c r="P49" i="11"/>
  <c r="AB63" i="11"/>
  <c r="Z63" i="11"/>
  <c r="Q50" i="11" l="1"/>
  <c r="O50" i="11"/>
  <c r="AA63" i="11"/>
  <c r="Y63" i="11"/>
  <c r="N50" i="11" l="1"/>
  <c r="P50" i="11"/>
  <c r="AB64" i="11"/>
  <c r="Z64" i="11"/>
  <c r="Q51" i="11" l="1"/>
  <c r="O51" i="11"/>
  <c r="AA64" i="11"/>
  <c r="Y64" i="11"/>
  <c r="N51" i="11" l="1"/>
  <c r="P51" i="11"/>
  <c r="AB65" i="11"/>
  <c r="Z65" i="11"/>
  <c r="Q52" i="11" l="1"/>
  <c r="O52" i="11"/>
  <c r="AA65" i="11"/>
  <c r="Y65" i="11"/>
  <c r="P52" i="11" l="1"/>
  <c r="N52" i="11"/>
  <c r="AB66" i="11"/>
  <c r="Z66" i="11"/>
  <c r="Q53" i="11" l="1"/>
  <c r="O53" i="11"/>
  <c r="AA66" i="11"/>
  <c r="Y66" i="11"/>
  <c r="N53" i="11" l="1"/>
  <c r="P53" i="11"/>
  <c r="AB67" i="11"/>
  <c r="Z67" i="11"/>
  <c r="O54" i="11" l="1"/>
  <c r="Q54" i="11"/>
  <c r="AA67" i="11"/>
  <c r="Y67" i="11"/>
  <c r="N54" i="11" l="1"/>
  <c r="P54" i="11"/>
  <c r="AB68" i="11"/>
  <c r="Z68" i="11"/>
  <c r="O55" i="11" l="1"/>
  <c r="Q55" i="11"/>
  <c r="AA68" i="11"/>
  <c r="Y68" i="11"/>
  <c r="N55" i="11" l="1"/>
  <c r="P55" i="11"/>
  <c r="AB69" i="11"/>
  <c r="Z69" i="11"/>
  <c r="Q56" i="11" l="1"/>
  <c r="O56" i="11"/>
  <c r="AA69" i="11"/>
  <c r="Y69" i="11"/>
  <c r="N56" i="11" l="1"/>
  <c r="P56" i="11"/>
  <c r="AB70" i="11"/>
  <c r="Z70" i="11"/>
  <c r="Q57" i="11" l="1"/>
  <c r="O57" i="11"/>
  <c r="AA70" i="11"/>
  <c r="Y70" i="11"/>
  <c r="N57" i="11" l="1"/>
  <c r="P57" i="11"/>
  <c r="AB71" i="11"/>
  <c r="Z71" i="11"/>
  <c r="Q58" i="11" l="1"/>
  <c r="O58" i="11"/>
  <c r="AA71" i="11"/>
  <c r="Y71" i="11"/>
  <c r="N58" i="11" l="1"/>
  <c r="P58" i="11"/>
  <c r="AB72" i="11"/>
  <c r="Z72" i="11"/>
  <c r="Q59" i="11" l="1"/>
  <c r="O59" i="11"/>
  <c r="AA72" i="11"/>
  <c r="Y72" i="11"/>
  <c r="P59" i="11" l="1"/>
  <c r="N59" i="11"/>
  <c r="AB73" i="11"/>
  <c r="Z73" i="11"/>
  <c r="Q60" i="11" l="1"/>
  <c r="O60" i="11"/>
  <c r="AA73" i="11"/>
  <c r="Y73" i="11"/>
  <c r="N60" i="11" l="1"/>
  <c r="P60" i="11"/>
  <c r="AB74" i="11"/>
  <c r="Z74" i="11"/>
  <c r="O61" i="11" l="1"/>
  <c r="Q61" i="11"/>
  <c r="AA74" i="11"/>
  <c r="Y74" i="11"/>
  <c r="N61" i="11" l="1"/>
  <c r="P61" i="11"/>
  <c r="AB75" i="11"/>
  <c r="Z75" i="11"/>
  <c r="Q62" i="11" l="1"/>
  <c r="O62" i="11"/>
  <c r="AA75" i="11"/>
  <c r="Y75" i="11"/>
  <c r="N62" i="11" l="1"/>
  <c r="P62" i="11"/>
  <c r="AB76" i="11"/>
  <c r="Z76" i="11"/>
  <c r="Q63" i="11" l="1"/>
  <c r="O63" i="11"/>
  <c r="AA76" i="11"/>
  <c r="Y76" i="11"/>
  <c r="N63" i="11" l="1"/>
  <c r="P63" i="11"/>
  <c r="AB77" i="11"/>
  <c r="Z77" i="11"/>
  <c r="Q64" i="11" l="1"/>
  <c r="O64" i="11"/>
  <c r="AA77" i="11"/>
  <c r="Y77" i="11"/>
  <c r="N64" i="11" l="1"/>
  <c r="P64" i="11"/>
  <c r="AB78" i="11"/>
  <c r="Z78" i="11"/>
  <c r="Q65" i="11" l="1"/>
  <c r="O65" i="11"/>
  <c r="AA78" i="11"/>
  <c r="Y78" i="11"/>
  <c r="N65" i="11" l="1"/>
  <c r="P65" i="11"/>
  <c r="AB79" i="11"/>
  <c r="Z79" i="11"/>
  <c r="O66" i="11" l="1"/>
  <c r="Q66" i="11"/>
  <c r="AA79" i="11"/>
  <c r="Y79" i="11"/>
  <c r="N66" i="11" l="1"/>
  <c r="P66" i="11"/>
  <c r="AB80" i="11"/>
  <c r="Z80" i="11"/>
  <c r="O67" i="11" l="1"/>
  <c r="Q67" i="11"/>
  <c r="AA80" i="11"/>
  <c r="Y80" i="11"/>
  <c r="N67" i="11" l="1"/>
  <c r="P67" i="11"/>
  <c r="AB81" i="11"/>
  <c r="Z81" i="11"/>
  <c r="O68" i="11" l="1"/>
  <c r="Q68" i="11"/>
  <c r="AA81" i="11"/>
  <c r="Y81" i="11"/>
  <c r="N68" i="11" l="1"/>
  <c r="P68" i="11"/>
  <c r="AB82" i="11"/>
  <c r="Z82" i="11"/>
  <c r="Q69" i="11" l="1"/>
  <c r="O69" i="11"/>
  <c r="AA82" i="11"/>
  <c r="Y82" i="11"/>
  <c r="P69" i="11" l="1"/>
  <c r="N69" i="11"/>
  <c r="AB83" i="11"/>
  <c r="Z83" i="11"/>
  <c r="O70" i="11" l="1"/>
  <c r="Q70" i="11"/>
  <c r="AA83" i="11"/>
  <c r="Y83" i="11"/>
  <c r="P70" i="11" l="1"/>
  <c r="N70" i="11"/>
  <c r="AB84" i="11"/>
  <c r="Z84" i="11"/>
  <c r="Q71" i="11" l="1"/>
  <c r="O71" i="11"/>
  <c r="Y84" i="11"/>
  <c r="AA84" i="11"/>
  <c r="N71" i="11" l="1"/>
  <c r="P71" i="11"/>
  <c r="AB85" i="11"/>
  <c r="Z85" i="11"/>
  <c r="O72" i="11" l="1"/>
  <c r="Q72" i="11"/>
  <c r="Y85" i="11"/>
  <c r="AA85" i="11"/>
  <c r="P72" i="11" l="1"/>
  <c r="N72" i="11"/>
  <c r="AB86" i="11"/>
  <c r="Z86" i="11"/>
  <c r="O73" i="11" l="1"/>
  <c r="Q73" i="11"/>
  <c r="AA86" i="11"/>
  <c r="Y86" i="11"/>
  <c r="N73" i="11" l="1"/>
  <c r="P73" i="11"/>
  <c r="AB87" i="11"/>
  <c r="Z87" i="11"/>
  <c r="O74" i="11" l="1"/>
  <c r="Q74" i="11"/>
  <c r="AA87" i="11"/>
  <c r="Y87" i="11"/>
  <c r="P74" i="11" l="1"/>
  <c r="N74" i="11"/>
  <c r="AB88" i="11"/>
  <c r="Z88" i="11"/>
  <c r="Q75" i="11" l="1"/>
  <c r="O75" i="11"/>
  <c r="AA88" i="11"/>
  <c r="Y88" i="11"/>
  <c r="N75" i="11" l="1"/>
  <c r="P75" i="11"/>
  <c r="AB89" i="11"/>
  <c r="Z89" i="11"/>
  <c r="Q76" i="11" l="1"/>
  <c r="O76" i="11"/>
  <c r="AA89" i="11"/>
  <c r="Y89" i="11"/>
  <c r="N76" i="11" l="1"/>
  <c r="P76" i="11"/>
  <c r="AB90" i="11"/>
  <c r="Z90" i="11"/>
  <c r="Q77" i="11" l="1"/>
  <c r="O77" i="11"/>
  <c r="AA90" i="11"/>
  <c r="Y90" i="11"/>
  <c r="N77" i="11" l="1"/>
  <c r="P77" i="11"/>
  <c r="AB91" i="11"/>
  <c r="Z91" i="11"/>
  <c r="Q78" i="11" l="1"/>
  <c r="O78" i="11"/>
  <c r="AA91" i="11"/>
  <c r="Y91" i="11"/>
  <c r="P78" i="11" l="1"/>
  <c r="N78" i="11"/>
  <c r="AB92" i="11"/>
  <c r="Z92" i="11"/>
  <c r="O79" i="11" l="1"/>
  <c r="Q79" i="11"/>
  <c r="Y92" i="11"/>
  <c r="AA92" i="11"/>
  <c r="N79" i="11" l="1"/>
  <c r="P79" i="11"/>
  <c r="AB93" i="11"/>
  <c r="Z93" i="11"/>
  <c r="Q80" i="11" l="1"/>
  <c r="O80" i="11"/>
  <c r="AA93" i="11"/>
  <c r="Y93" i="11"/>
  <c r="N80" i="11" l="1"/>
  <c r="P80" i="11"/>
  <c r="AB94" i="11"/>
  <c r="AC94" i="11" s="1"/>
  <c r="Z94" i="11"/>
  <c r="O81" i="11" l="1"/>
  <c r="Q81" i="11"/>
  <c r="R81" i="11" s="1"/>
  <c r="AA94" i="11"/>
  <c r="Y94" i="11"/>
  <c r="N81" i="11" l="1"/>
  <c r="P81" i="11"/>
  <c r="AB95" i="11"/>
  <c r="AC95" i="11" s="1"/>
  <c r="Z95" i="11"/>
  <c r="Q82" i="11" l="1"/>
  <c r="R82" i="11" s="1"/>
  <c r="O82" i="11"/>
  <c r="AA95" i="11"/>
  <c r="Y95" i="11"/>
  <c r="N82" i="11" l="1"/>
  <c r="P82" i="11"/>
  <c r="AB96" i="11"/>
  <c r="AC96" i="11" s="1"/>
  <c r="Z96" i="11"/>
  <c r="Q83" i="11" l="1"/>
  <c r="R83" i="11" s="1"/>
  <c r="O83" i="11"/>
  <c r="AA96" i="11"/>
  <c r="Y96" i="11"/>
  <c r="P83" i="11" l="1"/>
  <c r="N83" i="11"/>
  <c r="AB97" i="11"/>
  <c r="AC97" i="11" s="1"/>
  <c r="Z97" i="11"/>
  <c r="Q84" i="11" l="1"/>
  <c r="R84" i="11" s="1"/>
  <c r="O84" i="11"/>
  <c r="Y97" i="11"/>
  <c r="AA97" i="11"/>
  <c r="P84" i="11" l="1"/>
  <c r="N84" i="11"/>
  <c r="AB98" i="11"/>
  <c r="AC98" i="11" s="1"/>
  <c r="Z98" i="11"/>
  <c r="Q85" i="11" l="1"/>
  <c r="R85" i="11" s="1"/>
  <c r="O85" i="11"/>
  <c r="AA98" i="11"/>
  <c r="Y98" i="11"/>
  <c r="P85" i="11" l="1"/>
  <c r="N85" i="11"/>
  <c r="AB99" i="11"/>
  <c r="AC99" i="11" s="1"/>
  <c r="Z99" i="11"/>
  <c r="Q86" i="11" l="1"/>
  <c r="R86" i="11" s="1"/>
  <c r="O86" i="11"/>
  <c r="AA99" i="11"/>
  <c r="Y99" i="11"/>
  <c r="P86" i="11" l="1"/>
  <c r="N86" i="11"/>
  <c r="AB100" i="11"/>
  <c r="AC100" i="11" s="1"/>
  <c r="Z100" i="11"/>
  <c r="Q87" i="11" l="1"/>
  <c r="R87" i="11" s="1"/>
  <c r="O87" i="11"/>
  <c r="AA100" i="11"/>
  <c r="Y100" i="11"/>
  <c r="N87" i="11" l="1"/>
  <c r="P87" i="11"/>
  <c r="AB101" i="11"/>
  <c r="AC101" i="11" s="1"/>
  <c r="Z101" i="11"/>
  <c r="Q88" i="11" l="1"/>
  <c r="R88" i="11" s="1"/>
  <c r="O88" i="11"/>
  <c r="Y101" i="11"/>
  <c r="AA101" i="11"/>
  <c r="P88" i="11" l="1"/>
  <c r="N88" i="11"/>
  <c r="AB102" i="11"/>
  <c r="AC102" i="11" s="1"/>
  <c r="Z102" i="11"/>
  <c r="Q89" i="11" l="1"/>
  <c r="R89" i="11" s="1"/>
  <c r="O89" i="11"/>
  <c r="AA102" i="11"/>
  <c r="Y102" i="11"/>
  <c r="N89" i="11" l="1"/>
  <c r="P89" i="11"/>
  <c r="AB103" i="11"/>
  <c r="AC103" i="11" s="1"/>
  <c r="Z103" i="11"/>
  <c r="Q90" i="11" l="1"/>
  <c r="R90" i="11" s="1"/>
  <c r="O90" i="11"/>
  <c r="AA103" i="11"/>
  <c r="Y103" i="11"/>
  <c r="N90" i="11" l="1"/>
  <c r="P90" i="11"/>
  <c r="AB104" i="11"/>
  <c r="AC104" i="11" s="1"/>
  <c r="Z104" i="11"/>
  <c r="Q91" i="11" l="1"/>
  <c r="R91" i="11" s="1"/>
  <c r="O91" i="11"/>
  <c r="AA104" i="11"/>
  <c r="Y104" i="11"/>
  <c r="P91" i="11" l="1"/>
  <c r="N91" i="11"/>
  <c r="AB105" i="11"/>
  <c r="AC105" i="11" s="1"/>
  <c r="Z105" i="11"/>
  <c r="Q92" i="11" l="1"/>
  <c r="R92" i="11" s="1"/>
  <c r="O92" i="11"/>
  <c r="Y105" i="11"/>
  <c r="AA105" i="11"/>
  <c r="P92" i="11" l="1"/>
  <c r="N92" i="11"/>
  <c r="AB106" i="11"/>
  <c r="AC106" i="11" s="1"/>
  <c r="AC107" i="11" s="1"/>
  <c r="Z106" i="11"/>
  <c r="Q93" i="11" l="1"/>
  <c r="R93" i="11" s="1"/>
  <c r="S93" i="11" s="1"/>
  <c r="O93" i="11"/>
  <c r="AA106" i="11"/>
  <c r="Y106" i="11"/>
  <c r="AB119" i="11" l="1"/>
  <c r="AB110" i="11"/>
  <c r="AB107" i="11"/>
  <c r="AB114" i="11"/>
  <c r="AB109" i="11"/>
  <c r="AB115" i="11"/>
  <c r="AB116" i="11"/>
  <c r="AB118" i="11"/>
  <c r="AB113" i="11"/>
  <c r="AB112" i="11"/>
  <c r="AB117" i="11"/>
  <c r="AB111" i="11"/>
  <c r="AB108" i="11"/>
  <c r="P93" i="11"/>
  <c r="N93" i="11"/>
  <c r="O94" i="11" l="1"/>
  <c r="Q94" i="11"/>
  <c r="R94" i="11" s="1"/>
  <c r="P94" i="11" l="1"/>
  <c r="N94" i="11"/>
  <c r="Q95" i="11" l="1"/>
  <c r="R95" i="11" s="1"/>
  <c r="O95" i="11"/>
  <c r="N95" i="11" l="1"/>
  <c r="P95" i="11"/>
  <c r="Q96" i="11" l="1"/>
  <c r="R96" i="11" s="1"/>
  <c r="O96" i="11"/>
  <c r="P96" i="11" l="1"/>
  <c r="N96" i="11"/>
  <c r="O97" i="11" l="1"/>
  <c r="Q97" i="11"/>
  <c r="R97" i="11" s="1"/>
  <c r="P97" i="11" l="1"/>
  <c r="N97" i="11"/>
  <c r="Q98" i="11" l="1"/>
  <c r="R98" i="11" s="1"/>
  <c r="O98" i="11"/>
  <c r="P98" i="11" l="1"/>
  <c r="N98" i="11"/>
  <c r="O99" i="11" l="1"/>
  <c r="Q99" i="11"/>
  <c r="R99" i="11" s="1"/>
  <c r="N99" i="11" l="1"/>
  <c r="P99" i="11"/>
  <c r="Q100" i="11" l="1"/>
  <c r="R100" i="11" s="1"/>
  <c r="O100" i="11"/>
  <c r="N100" i="11" l="1"/>
  <c r="P100" i="11"/>
  <c r="O101" i="11" l="1"/>
  <c r="Q101" i="11"/>
  <c r="R101" i="11" s="1"/>
  <c r="P101" i="11" l="1"/>
  <c r="N101" i="11"/>
  <c r="Q102" i="11" l="1"/>
  <c r="R102" i="11" s="1"/>
  <c r="O102" i="11"/>
  <c r="P102" i="11" l="1"/>
  <c r="N102" i="11"/>
  <c r="O103" i="11" l="1"/>
  <c r="Q103" i="11"/>
  <c r="R103" i="11" s="1"/>
  <c r="N103" i="11" l="1"/>
  <c r="P103" i="11"/>
  <c r="Q104" i="11" l="1"/>
  <c r="R104" i="11" s="1"/>
  <c r="O104" i="11"/>
  <c r="P104" i="11" l="1"/>
  <c r="N104" i="11"/>
  <c r="O105" i="11" l="1"/>
  <c r="Q105" i="11"/>
  <c r="R105" i="11" s="1"/>
  <c r="P105" i="11" l="1"/>
  <c r="N105" i="11"/>
  <c r="Q106" i="11" l="1"/>
  <c r="R106" i="11" s="1"/>
  <c r="R107" i="11" s="1"/>
  <c r="O106" i="11"/>
  <c r="N106" i="11" l="1"/>
  <c r="P106" i="11"/>
  <c r="D16" i="9" l="1"/>
  <c r="C16" i="9"/>
  <c r="B16" i="9"/>
  <c r="Y41" i="9" l="1"/>
  <c r="N28" i="9"/>
  <c r="AA38" i="9" s="1"/>
  <c r="AA17" i="9"/>
  <c r="P14" i="9"/>
  <c r="AA5" i="9"/>
  <c r="AA28" i="9"/>
  <c r="P26" i="9"/>
  <c r="AA33" i="9"/>
  <c r="AA35" i="9"/>
  <c r="AA15" i="9"/>
  <c r="AA9" i="9"/>
  <c r="P6" i="9"/>
  <c r="AA13" i="9"/>
  <c r="P16" i="9"/>
  <c r="AA18" i="9" l="1"/>
  <c r="P23" i="9"/>
  <c r="P21" i="9"/>
  <c r="P9" i="9"/>
  <c r="P12" i="9"/>
  <c r="P15" i="9"/>
  <c r="AA32" i="9"/>
  <c r="AA24" i="9"/>
  <c r="P5" i="9"/>
  <c r="AA22" i="9"/>
  <c r="AE9" i="9" s="1"/>
  <c r="AA20" i="9"/>
  <c r="AA34" i="9"/>
  <c r="AA26" i="9"/>
  <c r="P10" i="9"/>
  <c r="T10" i="9" s="1"/>
  <c r="AA39" i="9"/>
  <c r="AE13" i="9" s="1"/>
  <c r="O28" i="9"/>
  <c r="Q29" i="9" s="1"/>
  <c r="P11" i="9"/>
  <c r="P18" i="9"/>
  <c r="P20" i="9"/>
  <c r="AA4" i="9"/>
  <c r="AA21" i="9"/>
  <c r="AA12" i="9"/>
  <c r="P19" i="9"/>
  <c r="T6" i="9" s="1"/>
  <c r="P17" i="9"/>
  <c r="AA36" i="9"/>
  <c r="AA10" i="9"/>
  <c r="P8" i="9"/>
  <c r="T8" i="9" s="1"/>
  <c r="AA23" i="9"/>
  <c r="P3" i="9"/>
  <c r="T3" i="9" s="1"/>
  <c r="AA30" i="9"/>
  <c r="AE4" i="9" s="1"/>
  <c r="AA31" i="9"/>
  <c r="AE5" i="9" s="1"/>
  <c r="AA25" i="9"/>
  <c r="AE12" i="9" s="1"/>
  <c r="P25" i="9"/>
  <c r="AA11" i="9"/>
  <c r="AA27" i="9"/>
  <c r="AA7" i="9"/>
  <c r="AA3" i="9"/>
  <c r="AA6" i="9"/>
  <c r="AA19" i="9"/>
  <c r="P28" i="9"/>
  <c r="T15" i="9" s="1"/>
  <c r="P7" i="9"/>
  <c r="AA37" i="9"/>
  <c r="AA41" i="9"/>
  <c r="AE15" i="9" s="1"/>
  <c r="AA16" i="9"/>
  <c r="P13" i="9"/>
  <c r="T13" i="9" s="1"/>
  <c r="AA8" i="9"/>
  <c r="AE8" i="9" s="1"/>
  <c r="Z41" i="9"/>
  <c r="AE6" i="9"/>
  <c r="AA29" i="9"/>
  <c r="AA40" i="9"/>
  <c r="P27" i="9"/>
  <c r="T14" i="9" s="1"/>
  <c r="P24" i="9"/>
  <c r="P4" i="9"/>
  <c r="P22" i="9"/>
  <c r="T9" i="9" s="1"/>
  <c r="AA14" i="9"/>
  <c r="AB42" i="9" l="1"/>
  <c r="T7" i="9"/>
  <c r="T12" i="9"/>
  <c r="T5" i="9"/>
  <c r="O29" i="9"/>
  <c r="P29" i="9" s="1"/>
  <c r="AE7" i="9"/>
  <c r="T11" i="9"/>
  <c r="T4" i="9"/>
  <c r="T16" i="9" s="1"/>
  <c r="AE11" i="9"/>
  <c r="AE10" i="9"/>
  <c r="AE14" i="9"/>
  <c r="Z42" i="9"/>
  <c r="AE3" i="9"/>
  <c r="N29" i="9" l="1"/>
  <c r="Q30" i="9" s="1"/>
  <c r="AE16" i="9"/>
  <c r="Y42" i="9"/>
  <c r="AA42" i="9"/>
  <c r="O30" i="9"/>
  <c r="AB43" i="9" l="1"/>
  <c r="Z43" i="9"/>
  <c r="N30" i="9"/>
  <c r="P30" i="9"/>
  <c r="Y43" i="9" l="1"/>
  <c r="AA43" i="9"/>
  <c r="Q31" i="9"/>
  <c r="O31" i="9"/>
  <c r="AB44" i="9" l="1"/>
  <c r="Z44" i="9"/>
  <c r="P31" i="9"/>
  <c r="N31" i="9"/>
  <c r="AA44" i="9" l="1"/>
  <c r="Y44" i="9"/>
  <c r="Q32" i="9"/>
  <c r="O32" i="9"/>
  <c r="Z45" i="9" l="1"/>
  <c r="AB45" i="9"/>
  <c r="N32" i="9"/>
  <c r="P32" i="9"/>
  <c r="Y45" i="9" l="1"/>
  <c r="AA45" i="9"/>
  <c r="Q33" i="9"/>
  <c r="O33" i="9"/>
  <c r="Z46" i="9" l="1"/>
  <c r="AB46" i="9"/>
  <c r="P33" i="9"/>
  <c r="N33" i="9"/>
  <c r="Y46" i="9" l="1"/>
  <c r="AA46" i="9"/>
  <c r="Q34" i="9"/>
  <c r="O34" i="9"/>
  <c r="AB47" i="9" l="1"/>
  <c r="Z47" i="9"/>
  <c r="N34" i="9"/>
  <c r="P34" i="9"/>
  <c r="Y47" i="9" l="1"/>
  <c r="AA47" i="9"/>
  <c r="Q35" i="9"/>
  <c r="O35" i="9"/>
  <c r="Z48" i="9" l="1"/>
  <c r="AB48" i="9"/>
  <c r="N35" i="9"/>
  <c r="P35" i="9"/>
  <c r="AA48" i="9" l="1"/>
  <c r="Y48" i="9"/>
  <c r="Q36" i="9"/>
  <c r="O36" i="9"/>
  <c r="Z49" i="9" l="1"/>
  <c r="AB49" i="9"/>
  <c r="P36" i="9"/>
  <c r="N36" i="9"/>
  <c r="AA49" i="9" l="1"/>
  <c r="Y49" i="9"/>
  <c r="Q37" i="9"/>
  <c r="O37" i="9"/>
  <c r="Z50" i="9" l="1"/>
  <c r="AB50" i="9"/>
  <c r="P37" i="9"/>
  <c r="N37" i="9"/>
  <c r="AA50" i="9" l="1"/>
  <c r="Y50" i="9"/>
  <c r="Q38" i="9"/>
  <c r="O38" i="9"/>
  <c r="Z51" i="9" l="1"/>
  <c r="AB51" i="9"/>
  <c r="N38" i="9"/>
  <c r="P38" i="9"/>
  <c r="Y51" i="9" l="1"/>
  <c r="AA51" i="9"/>
  <c r="Q39" i="9"/>
  <c r="O39" i="9"/>
  <c r="Z52" i="9" l="1"/>
  <c r="AB52" i="9"/>
  <c r="P39" i="9"/>
  <c r="N39" i="9"/>
  <c r="Y52" i="9" l="1"/>
  <c r="AA52" i="9"/>
  <c r="Q40" i="9"/>
  <c r="O40" i="9"/>
  <c r="Z53" i="9" l="1"/>
  <c r="AB53" i="9"/>
  <c r="P40" i="9"/>
  <c r="N40" i="9"/>
  <c r="AA53" i="9" l="1"/>
  <c r="Y53" i="9"/>
  <c r="Q41" i="9"/>
  <c r="O41" i="9"/>
  <c r="Z54" i="9" l="1"/>
  <c r="AB54" i="9"/>
  <c r="P41" i="9"/>
  <c r="N41" i="9"/>
  <c r="Y54" i="9" l="1"/>
  <c r="AA54" i="9"/>
  <c r="Q42" i="9"/>
  <c r="O42" i="9"/>
  <c r="Z55" i="9" l="1"/>
  <c r="AB55" i="9"/>
  <c r="P42" i="9"/>
  <c r="N42" i="9"/>
  <c r="Y55" i="9" l="1"/>
  <c r="AA55" i="9"/>
  <c r="Q43" i="9"/>
  <c r="O43" i="9"/>
  <c r="Z56" i="9" l="1"/>
  <c r="AB56" i="9"/>
  <c r="P43" i="9"/>
  <c r="N43" i="9"/>
  <c r="AA56" i="9" l="1"/>
  <c r="Y56" i="9"/>
  <c r="Q44" i="9"/>
  <c r="O44" i="9"/>
  <c r="Z57" i="9" l="1"/>
  <c r="AB57" i="9"/>
  <c r="N44" i="9"/>
  <c r="P44" i="9"/>
  <c r="AA57" i="9" l="1"/>
  <c r="Y57" i="9"/>
  <c r="Q45" i="9"/>
  <c r="O45" i="9"/>
  <c r="AB58" i="9" l="1"/>
  <c r="Z58" i="9"/>
  <c r="P45" i="9"/>
  <c r="N45" i="9"/>
  <c r="AA58" i="9" l="1"/>
  <c r="Y58" i="9"/>
  <c r="Q46" i="9"/>
  <c r="O46" i="9"/>
  <c r="AB59" i="9" l="1"/>
  <c r="Z59" i="9"/>
  <c r="N46" i="9"/>
  <c r="P46" i="9"/>
  <c r="Y59" i="9" l="1"/>
  <c r="AA59" i="9"/>
  <c r="Q47" i="9"/>
  <c r="O47" i="9"/>
  <c r="Z60" i="9" l="1"/>
  <c r="AB60" i="9"/>
  <c r="P47" i="9"/>
  <c r="N47" i="9"/>
  <c r="Y60" i="9" l="1"/>
  <c r="AA60" i="9"/>
  <c r="Q48" i="9"/>
  <c r="O48" i="9"/>
  <c r="Z61" i="9" l="1"/>
  <c r="AB61" i="9"/>
  <c r="N48" i="9"/>
  <c r="P48" i="9"/>
  <c r="AA61" i="9" l="1"/>
  <c r="Y61" i="9"/>
  <c r="Q49" i="9"/>
  <c r="O49" i="9"/>
  <c r="Z62" i="9" l="1"/>
  <c r="AB62" i="9"/>
  <c r="P49" i="9"/>
  <c r="N49" i="9"/>
  <c r="Y62" i="9" l="1"/>
  <c r="AA62" i="9"/>
  <c r="Q50" i="9"/>
  <c r="O50" i="9"/>
  <c r="Z63" i="9" l="1"/>
  <c r="AB63" i="9"/>
  <c r="N50" i="9"/>
  <c r="P50" i="9"/>
  <c r="Y63" i="9" l="1"/>
  <c r="AA63" i="9"/>
  <c r="Q51" i="9"/>
  <c r="O51" i="9"/>
  <c r="Z64" i="9" l="1"/>
  <c r="AB64" i="9"/>
  <c r="P51" i="9"/>
  <c r="N51" i="9"/>
  <c r="AA64" i="9" l="1"/>
  <c r="Y64" i="9"/>
  <c r="Q52" i="9"/>
  <c r="O52" i="9"/>
  <c r="Z65" i="9" l="1"/>
  <c r="AB65" i="9"/>
  <c r="N52" i="9"/>
  <c r="P52" i="9"/>
  <c r="Y65" i="9" l="1"/>
  <c r="AA65" i="9"/>
  <c r="Q53" i="9"/>
  <c r="O53" i="9"/>
  <c r="Z66" i="9" l="1"/>
  <c r="AB66" i="9"/>
  <c r="P53" i="9"/>
  <c r="N53" i="9"/>
  <c r="Y66" i="9" l="1"/>
  <c r="AA66" i="9"/>
  <c r="Q54" i="9"/>
  <c r="O54" i="9"/>
  <c r="Z67" i="9" l="1"/>
  <c r="AB67" i="9"/>
  <c r="N54" i="9"/>
  <c r="P54" i="9"/>
  <c r="Y67" i="9" l="1"/>
  <c r="AA67" i="9"/>
  <c r="Q55" i="9"/>
  <c r="O55" i="9"/>
  <c r="Z68" i="9" l="1"/>
  <c r="AB68" i="9"/>
  <c r="P55" i="9"/>
  <c r="N55" i="9"/>
  <c r="Y68" i="9" l="1"/>
  <c r="AA68" i="9"/>
  <c r="Q56" i="9"/>
  <c r="O56" i="9"/>
  <c r="Z69" i="9" l="1"/>
  <c r="AB69" i="9"/>
  <c r="N56" i="9"/>
  <c r="P56" i="9"/>
  <c r="AA69" i="9" l="1"/>
  <c r="Y69" i="9"/>
  <c r="Q57" i="9"/>
  <c r="O57" i="9"/>
  <c r="Z70" i="9" l="1"/>
  <c r="AB70" i="9"/>
  <c r="P57" i="9"/>
  <c r="N57" i="9"/>
  <c r="Y70" i="9" l="1"/>
  <c r="AA70" i="9"/>
  <c r="Q58" i="9"/>
  <c r="O58" i="9"/>
  <c r="Z71" i="9" l="1"/>
  <c r="AB71" i="9"/>
  <c r="N58" i="9"/>
  <c r="P58" i="9"/>
  <c r="Y71" i="9" l="1"/>
  <c r="AA71" i="9"/>
  <c r="Q59" i="9"/>
  <c r="O59" i="9"/>
  <c r="Z72" i="9" l="1"/>
  <c r="AB72" i="9"/>
  <c r="P59" i="9"/>
  <c r="N59" i="9"/>
  <c r="AA72" i="9" l="1"/>
  <c r="Y72" i="9"/>
  <c r="Q60" i="9"/>
  <c r="O60" i="9"/>
  <c r="Z73" i="9" l="1"/>
  <c r="AB73" i="9"/>
  <c r="N60" i="9"/>
  <c r="P60" i="9"/>
  <c r="Y73" i="9" l="1"/>
  <c r="AA73" i="9"/>
  <c r="Q61" i="9"/>
  <c r="O61" i="9"/>
  <c r="Z74" i="9" l="1"/>
  <c r="AB74" i="9"/>
  <c r="P61" i="9"/>
  <c r="N61" i="9"/>
  <c r="Y74" i="9" l="1"/>
  <c r="AA74" i="9"/>
  <c r="Q62" i="9"/>
  <c r="O62" i="9"/>
  <c r="Z75" i="9" l="1"/>
  <c r="AB75" i="9"/>
  <c r="N62" i="9"/>
  <c r="P62" i="9"/>
  <c r="Y75" i="9" l="1"/>
  <c r="AA75" i="9"/>
  <c r="Q63" i="9"/>
  <c r="O63" i="9"/>
  <c r="Z76" i="9" l="1"/>
  <c r="AB76" i="9"/>
  <c r="P63" i="9"/>
  <c r="N63" i="9"/>
  <c r="Y76" i="9" l="1"/>
  <c r="AA76" i="9"/>
  <c r="Q64" i="9"/>
  <c r="O64" i="9"/>
  <c r="Z77" i="9" l="1"/>
  <c r="AB77" i="9"/>
  <c r="N64" i="9"/>
  <c r="P64" i="9"/>
  <c r="AA77" i="9" l="1"/>
  <c r="Y77" i="9"/>
  <c r="Q65" i="9"/>
  <c r="O65" i="9"/>
  <c r="Z78" i="9" l="1"/>
  <c r="AB78" i="9"/>
  <c r="P65" i="9"/>
  <c r="N65" i="9"/>
  <c r="Y78" i="9" l="1"/>
  <c r="AA78" i="9"/>
  <c r="Q66" i="9"/>
  <c r="O66" i="9"/>
  <c r="Z79" i="9" l="1"/>
  <c r="AB79" i="9"/>
  <c r="N66" i="9"/>
  <c r="P66" i="9"/>
  <c r="Y79" i="9" l="1"/>
  <c r="AA79" i="9"/>
  <c r="Q67" i="9"/>
  <c r="O67" i="9"/>
  <c r="Z80" i="9" l="1"/>
  <c r="AB80" i="9"/>
  <c r="P67" i="9"/>
  <c r="N67" i="9"/>
  <c r="AA80" i="9" l="1"/>
  <c r="Y80" i="9"/>
  <c r="Q68" i="9"/>
  <c r="O68" i="9"/>
  <c r="Z81" i="9" l="1"/>
  <c r="AB81" i="9"/>
  <c r="N68" i="9"/>
  <c r="P68" i="9"/>
  <c r="Y81" i="9" l="1"/>
  <c r="AA81" i="9"/>
  <c r="Q69" i="9"/>
  <c r="O69" i="9"/>
  <c r="Z82" i="9" l="1"/>
  <c r="AB82" i="9"/>
  <c r="P69" i="9"/>
  <c r="N69" i="9"/>
  <c r="AA82" i="9" l="1"/>
  <c r="Y82" i="9"/>
  <c r="Q70" i="9"/>
  <c r="O70" i="9"/>
  <c r="Z83" i="9" l="1"/>
  <c r="AB83" i="9"/>
  <c r="N70" i="9"/>
  <c r="P70" i="9"/>
  <c r="Y83" i="9" l="1"/>
  <c r="AA83" i="9"/>
  <c r="Q71" i="9"/>
  <c r="O71" i="9"/>
  <c r="Z84" i="9" l="1"/>
  <c r="AB84" i="9"/>
  <c r="P71" i="9"/>
  <c r="N71" i="9"/>
  <c r="Y84" i="9" l="1"/>
  <c r="AA84" i="9"/>
  <c r="Q72" i="9"/>
  <c r="O72" i="9"/>
  <c r="AB85" i="9" l="1"/>
  <c r="Z85" i="9"/>
  <c r="N72" i="9"/>
  <c r="P72" i="9"/>
  <c r="AA85" i="9" l="1"/>
  <c r="Y85" i="9"/>
  <c r="Q73" i="9"/>
  <c r="O73" i="9"/>
  <c r="Z86" i="9" l="1"/>
  <c r="AB86" i="9"/>
  <c r="P73" i="9"/>
  <c r="N73" i="9"/>
  <c r="Y86" i="9" l="1"/>
  <c r="AA86" i="9"/>
  <c r="Q74" i="9"/>
  <c r="O74" i="9"/>
  <c r="Z87" i="9" l="1"/>
  <c r="AB87" i="9"/>
  <c r="N74" i="9"/>
  <c r="P74" i="9"/>
  <c r="Y87" i="9" l="1"/>
  <c r="AA87" i="9"/>
  <c r="Q75" i="9"/>
  <c r="O75" i="9"/>
  <c r="Z88" i="9" l="1"/>
  <c r="AB88" i="9"/>
  <c r="P75" i="9"/>
  <c r="N75" i="9"/>
  <c r="AA88" i="9" l="1"/>
  <c r="Y88" i="9"/>
  <c r="Q76" i="9"/>
  <c r="O76" i="9"/>
  <c r="Z89" i="9" l="1"/>
  <c r="AB89" i="9"/>
  <c r="N76" i="9"/>
  <c r="P76" i="9"/>
  <c r="Y89" i="9" l="1"/>
  <c r="AA89" i="9"/>
  <c r="Q77" i="9"/>
  <c r="O77" i="9"/>
  <c r="Z90" i="9" l="1"/>
  <c r="AB90" i="9"/>
  <c r="P77" i="9"/>
  <c r="N77" i="9"/>
  <c r="AA90" i="9" l="1"/>
  <c r="Y90" i="9"/>
  <c r="Q78" i="9"/>
  <c r="O78" i="9"/>
  <c r="Z91" i="9" l="1"/>
  <c r="AB91" i="9"/>
  <c r="N78" i="9"/>
  <c r="P78" i="9"/>
  <c r="Y91" i="9" l="1"/>
  <c r="AA91" i="9"/>
  <c r="Q79" i="9"/>
  <c r="O79" i="9"/>
  <c r="Z92" i="9" l="1"/>
  <c r="AB92" i="9"/>
  <c r="P79" i="9"/>
  <c r="N79" i="9"/>
  <c r="Y92" i="9" l="1"/>
  <c r="AA92" i="9"/>
  <c r="Q80" i="9"/>
  <c r="O80" i="9"/>
  <c r="Z93" i="9" l="1"/>
  <c r="AB93" i="9"/>
  <c r="N80" i="9"/>
  <c r="P80" i="9"/>
  <c r="AA93" i="9" l="1"/>
  <c r="Y93" i="9"/>
  <c r="Q81" i="9"/>
  <c r="R81" i="9" s="1"/>
  <c r="O81" i="9"/>
  <c r="Z94" i="9" l="1"/>
  <c r="AB94" i="9"/>
  <c r="AC94" i="9" s="1"/>
  <c r="P81" i="9"/>
  <c r="N81" i="9"/>
  <c r="Y94" i="9" l="1"/>
  <c r="AA94" i="9"/>
  <c r="Q82" i="9"/>
  <c r="R82" i="9" s="1"/>
  <c r="O82" i="9"/>
  <c r="Z95" i="9" l="1"/>
  <c r="AB95" i="9"/>
  <c r="AC95" i="9" s="1"/>
  <c r="N82" i="9"/>
  <c r="P82" i="9"/>
  <c r="AA95" i="9" l="1"/>
  <c r="Y95" i="9"/>
  <c r="Q83" i="9"/>
  <c r="R83" i="9" s="1"/>
  <c r="O83" i="9"/>
  <c r="Z96" i="9" l="1"/>
  <c r="AB96" i="9"/>
  <c r="AC96" i="9" s="1"/>
  <c r="P83" i="9"/>
  <c r="N83" i="9"/>
  <c r="AA96" i="9" l="1"/>
  <c r="Y96" i="9"/>
  <c r="Q84" i="9"/>
  <c r="R84" i="9" s="1"/>
  <c r="O84" i="9"/>
  <c r="Z97" i="9" l="1"/>
  <c r="AB97" i="9"/>
  <c r="AC97" i="9" s="1"/>
  <c r="N84" i="9"/>
  <c r="P84" i="9"/>
  <c r="AA97" i="9" l="1"/>
  <c r="Y97" i="9"/>
  <c r="Q85" i="9"/>
  <c r="R85" i="9" s="1"/>
  <c r="O85" i="9"/>
  <c r="Z98" i="9" l="1"/>
  <c r="AB98" i="9"/>
  <c r="AC98" i="9" s="1"/>
  <c r="P85" i="9"/>
  <c r="N85" i="9"/>
  <c r="Y98" i="9" l="1"/>
  <c r="AA98" i="9"/>
  <c r="Q86" i="9"/>
  <c r="R86" i="9" s="1"/>
  <c r="O86" i="9"/>
  <c r="Z99" i="9" l="1"/>
  <c r="AB99" i="9"/>
  <c r="AC99" i="9" s="1"/>
  <c r="N86" i="9"/>
  <c r="P86" i="9"/>
  <c r="Y99" i="9" l="1"/>
  <c r="AA99" i="9"/>
  <c r="Q87" i="9"/>
  <c r="R87" i="9" s="1"/>
  <c r="O87" i="9"/>
  <c r="Z100" i="9" l="1"/>
  <c r="AB100" i="9"/>
  <c r="AC100" i="9" s="1"/>
  <c r="P87" i="9"/>
  <c r="N87" i="9"/>
  <c r="Y100" i="9" l="1"/>
  <c r="AA100" i="9"/>
  <c r="Q88" i="9"/>
  <c r="R88" i="9" s="1"/>
  <c r="O88" i="9"/>
  <c r="Z101" i="9" l="1"/>
  <c r="AB101" i="9"/>
  <c r="AC101" i="9" s="1"/>
  <c r="N88" i="9"/>
  <c r="P88" i="9"/>
  <c r="Y101" i="9" l="1"/>
  <c r="AA101" i="9"/>
  <c r="Q89" i="9"/>
  <c r="R89" i="9" s="1"/>
  <c r="O89" i="9"/>
  <c r="Z102" i="9" l="1"/>
  <c r="AB102" i="9"/>
  <c r="AC102" i="9" s="1"/>
  <c r="P89" i="9"/>
  <c r="N89" i="9"/>
  <c r="Y102" i="9" l="1"/>
  <c r="AA102" i="9"/>
  <c r="Q90" i="9"/>
  <c r="R90" i="9" s="1"/>
  <c r="O90" i="9"/>
  <c r="AB103" i="9" l="1"/>
  <c r="AC103" i="9" s="1"/>
  <c r="Z103" i="9"/>
  <c r="N90" i="9"/>
  <c r="P90" i="9"/>
  <c r="Y103" i="9" l="1"/>
  <c r="AA103" i="9"/>
  <c r="Q91" i="9"/>
  <c r="R91" i="9" s="1"/>
  <c r="O91" i="9"/>
  <c r="Z104" i="9" l="1"/>
  <c r="AB104" i="9"/>
  <c r="AC104" i="9" s="1"/>
  <c r="P91" i="9"/>
  <c r="N91" i="9"/>
  <c r="Y104" i="9" l="1"/>
  <c r="AA104" i="9"/>
  <c r="Q92" i="9"/>
  <c r="R92" i="9" s="1"/>
  <c r="O92" i="9"/>
  <c r="Z105" i="9" l="1"/>
  <c r="AB105" i="9"/>
  <c r="AC105" i="9" s="1"/>
  <c r="N92" i="9"/>
  <c r="P92" i="9"/>
  <c r="AA105" i="9" l="1"/>
  <c r="Y105" i="9"/>
  <c r="Q93" i="9"/>
  <c r="R93" i="9" s="1"/>
  <c r="S93" i="9" s="1"/>
  <c r="O93" i="9"/>
  <c r="Z106" i="9" l="1"/>
  <c r="AB106" i="9"/>
  <c r="AC106" i="9" s="1"/>
  <c r="AC107" i="9" s="1"/>
  <c r="P93" i="9"/>
  <c r="N93" i="9"/>
  <c r="AA106" i="9" l="1"/>
  <c r="Y106" i="9"/>
  <c r="AB107" i="9" s="1"/>
  <c r="Q94" i="9"/>
  <c r="R94" i="9" s="1"/>
  <c r="O94" i="9"/>
  <c r="AB117" i="9" l="1"/>
  <c r="AB110" i="9"/>
  <c r="AB111" i="9"/>
  <c r="AB109" i="9"/>
  <c r="AB118" i="9"/>
  <c r="AB114" i="9"/>
  <c r="AB115" i="9"/>
  <c r="AB119" i="9"/>
  <c r="AB108" i="9"/>
  <c r="AB112" i="9"/>
  <c r="AB116" i="9"/>
  <c r="AB113" i="9"/>
  <c r="N94" i="9"/>
  <c r="P94" i="9"/>
  <c r="Q95" i="9" l="1"/>
  <c r="R95" i="9" s="1"/>
  <c r="O95" i="9"/>
  <c r="P95" i="9" l="1"/>
  <c r="N95" i="9"/>
  <c r="Q96" i="9" l="1"/>
  <c r="R96" i="9" s="1"/>
  <c r="O96" i="9"/>
  <c r="N96" i="9" l="1"/>
  <c r="P96" i="9"/>
  <c r="Q97" i="9" l="1"/>
  <c r="R97" i="9" s="1"/>
  <c r="O97" i="9"/>
  <c r="N97" i="9" l="1"/>
  <c r="P97" i="9"/>
  <c r="Q98" i="9" l="1"/>
  <c r="R98" i="9" s="1"/>
  <c r="O98" i="9"/>
  <c r="P98" i="9" l="1"/>
  <c r="N98" i="9"/>
  <c r="Q99" i="9" l="1"/>
  <c r="R99" i="9" s="1"/>
  <c r="O99" i="9"/>
  <c r="N99" i="9" l="1"/>
  <c r="P99" i="9"/>
  <c r="Q100" i="9" l="1"/>
  <c r="R100" i="9" s="1"/>
  <c r="O100" i="9"/>
  <c r="P100" i="9" l="1"/>
  <c r="N100" i="9"/>
  <c r="Q101" i="9" l="1"/>
  <c r="R101" i="9" s="1"/>
  <c r="O101" i="9"/>
  <c r="N101" i="9" l="1"/>
  <c r="P101" i="9"/>
  <c r="Q102" i="9" l="1"/>
  <c r="R102" i="9" s="1"/>
  <c r="O102" i="9"/>
  <c r="N102" i="9" l="1"/>
  <c r="P102" i="9"/>
  <c r="Q103" i="9" l="1"/>
  <c r="R103" i="9" s="1"/>
  <c r="O103" i="9"/>
  <c r="P103" i="9" l="1"/>
  <c r="N103" i="9"/>
  <c r="Q104" i="9" l="1"/>
  <c r="R104" i="9" s="1"/>
  <c r="O104" i="9"/>
  <c r="N104" i="9" l="1"/>
  <c r="P104" i="9"/>
  <c r="Q105" i="9" l="1"/>
  <c r="R105" i="9" s="1"/>
  <c r="O105" i="9"/>
  <c r="N105" i="9" l="1"/>
  <c r="P105" i="9"/>
  <c r="Q106" i="9" l="1"/>
  <c r="R106" i="9" s="1"/>
  <c r="R107" i="9" s="1"/>
  <c r="O106" i="9"/>
  <c r="P106" i="9" l="1"/>
  <c r="N106" i="9"/>
</calcChain>
</file>

<file path=xl/sharedStrings.xml><?xml version="1.0" encoding="utf-8"?>
<sst xmlns="http://schemas.openxmlformats.org/spreadsheetml/2006/main" count="388" uniqueCount="178">
  <si>
    <t>Demand</t>
  </si>
  <si>
    <t>Starting 
Inventory</t>
  </si>
  <si>
    <t>Amount 
Produced</t>
  </si>
  <si>
    <t>Inventory 
Carrying Cost</t>
  </si>
  <si>
    <t>Ovetime 
Cost</t>
  </si>
  <si>
    <t>Cumulative 
Costs</t>
  </si>
  <si>
    <t>Available 
for Sales</t>
  </si>
  <si>
    <t>Period 
Cost</t>
  </si>
  <si>
    <t xml:space="preserve"> </t>
  </si>
  <si>
    <t>Backorder</t>
  </si>
  <si>
    <t>Backorder
Cost</t>
  </si>
  <si>
    <t>Ending 
Inventory</t>
  </si>
  <si>
    <t>Ending Inventory</t>
  </si>
  <si>
    <t>On Hand</t>
  </si>
  <si>
    <t>Total Time Used</t>
  </si>
  <si>
    <t>Week</t>
  </si>
  <si>
    <t>Starting Inventory</t>
  </si>
  <si>
    <t>Consumption</t>
  </si>
  <si>
    <t>MacBook Pro 13"</t>
  </si>
  <si>
    <t>MacBook Air 13"</t>
  </si>
  <si>
    <t>M1</t>
  </si>
  <si>
    <t>M1 Related Costs</t>
  </si>
  <si>
    <t>Purchase Order (Taiwan) Placed</t>
  </si>
  <si>
    <t>Purchase Order (Taiwan) Received</t>
  </si>
  <si>
    <t>Purchase Order (Nanjing) Received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</si>
  <si>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</si>
  <si>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</si>
  <si>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</si>
  <si>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</si>
  <si>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</si>
  <si>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</si>
  <si>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</si>
  <si>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</si>
  <si>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</si>
  <si>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</si>
  <si>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</si>
  <si>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</si>
  <si>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</si>
  <si>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Date</t>
  </si>
  <si>
    <t>G</t>
  </si>
  <si>
    <t>S</t>
  </si>
  <si>
    <t>c</t>
  </si>
  <si>
    <t>Seasonal Factors</t>
  </si>
  <si>
    <t>alpha</t>
  </si>
  <si>
    <t>beta</t>
  </si>
  <si>
    <t>gamma</t>
  </si>
  <si>
    <t>Periods</t>
  </si>
  <si>
    <t>Forecast</t>
  </si>
  <si>
    <t>MAD</t>
  </si>
  <si>
    <t>Average</t>
  </si>
  <si>
    <t>3 step initialization</t>
  </si>
  <si>
    <t>Factors</t>
  </si>
  <si>
    <t>PRO</t>
  </si>
  <si>
    <t>AIR</t>
  </si>
  <si>
    <t xml:space="preserve">Seasonal </t>
  </si>
  <si>
    <t xml:space="preserve">Winter's </t>
  </si>
  <si>
    <t>Seasonal</t>
  </si>
  <si>
    <t>Winter</t>
  </si>
  <si>
    <t>2021 MAD</t>
  </si>
  <si>
    <t>AVERAGE:</t>
  </si>
  <si>
    <t>2 step initialization</t>
  </si>
  <si>
    <t>Initialization</t>
  </si>
  <si>
    <t>Avg:</t>
  </si>
  <si>
    <t>Avg.</t>
  </si>
  <si>
    <t>:AVG</t>
  </si>
  <si>
    <t>Optimized</t>
  </si>
  <si>
    <t>Deseaonalized</t>
  </si>
  <si>
    <t>Mean</t>
  </si>
  <si>
    <t>Divided</t>
  </si>
  <si>
    <t>Season(week)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</si>
  <si>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</si>
  <si>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</si>
  <si>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</si>
  <si>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</si>
  <si>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</si>
  <si>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</si>
  <si>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</si>
  <si>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</si>
  <si>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</si>
  <si>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</si>
  <si>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</si>
  <si>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</si>
  <si>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</si>
  <si>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2015-01</t>
  </si>
  <si>
    <t>2015-02</t>
  </si>
  <si>
    <t>Sum</t>
  </si>
  <si>
    <t>AVG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</si>
  <si>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</si>
  <si>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</si>
  <si>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</si>
  <si>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</si>
  <si>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</si>
  <si>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</si>
  <si>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</si>
  <si>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</si>
  <si>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</si>
  <si>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</si>
  <si>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</si>
  <si>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</si>
  <si>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</si>
  <si>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</si>
  <si>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</si>
  <si>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</si>
  <si>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</si>
  <si>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</si>
  <si>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</si>
  <si>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</si>
  <si>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</si>
  <si>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</si>
  <si>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</si>
  <si>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</si>
  <si>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</si>
  <si>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</si>
  <si>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</si>
  <si>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</si>
  <si>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</si>
  <si>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</si>
  <si>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</si>
  <si>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</si>
  <si>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</si>
  <si>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</si>
  <si>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</si>
  <si>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</si>
  <si>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</si>
  <si>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</si>
  <si>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</si>
  <si>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</si>
  <si>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</si>
  <si>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</si>
  <si>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</si>
  <si>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</si>
  <si>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</si>
  <si>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</si>
  <si>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</si>
  <si>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</si>
  <si>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</si>
  <si>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</si>
  <si>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</si>
  <si>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</si>
  <si>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</si>
  <si>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</si>
  <si>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</si>
  <si>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</si>
  <si>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</si>
  <si>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</si>
  <si>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</si>
  <si>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</si>
  <si>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</si>
  <si>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</si>
  <si>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</si>
  <si>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</si>
  <si>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</si>
  <si>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</si>
  <si>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</si>
  <si>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</si>
  <si>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</si>
  <si>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</si>
  <si>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</si>
  <si>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</si>
  <si>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</si>
  <si>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</si>
  <si>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</si>
  <si>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</si>
  <si>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</si>
  <si>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</si>
  <si>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</si>
  <si>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</si>
  <si>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</si>
  <si>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</si>
  <si>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</si>
  <si>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</si>
  <si>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</si>
  <si>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</si>
  <si>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</si>
  <si>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</si>
  <si>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2021-13</t>
  </si>
  <si>
    <t>Forecast of 2021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</si>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</sst>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_([$$-409]* #,##0.00_);_([$$-409]* \(#,##0.00\);_([$$-409]* &quot;-&quot;??_);_(@_)"/>
    <numFmt numFmtId="166" formatCode="[$$-409]#,##0.00_);\([$$-409]#,##0.0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2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</cellStyleXfs>
  <cellXfs count="9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3" fontId="0" fillId="0" borderId="3" xfId="0" applyNumberFormat="1" applyBorder="1"/>
    <xf numFmtId="0" fontId="0" fillId="0" borderId="0" xfId="0" applyFont="1"/>
    <xf numFmtId="0" fontId="0" fillId="0" borderId="6" xfId="0" applyBorder="1"/>
    <xf numFmtId="3" fontId="0" fillId="0" borderId="6" xfId="0" applyNumberFormat="1" applyBorder="1"/>
    <xf numFmtId="0" fontId="0" fillId="0" borderId="8" xfId="0" applyBorder="1"/>
    <xf numFmtId="3" fontId="0" fillId="0" borderId="9" xfId="0" applyNumberFormat="1" applyBorder="1"/>
    <xf numFmtId="0" fontId="0" fillId="0" borderId="9" xfId="0" applyBorder="1"/>
    <xf numFmtId="0" fontId="1" fillId="0" borderId="9" xfId="0" applyFont="1" applyBorder="1"/>
    <xf numFmtId="0" fontId="0" fillId="0" borderId="1" xfId="0" applyBorder="1"/>
    <xf numFmtId="0" fontId="0" fillId="0" borderId="5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12" xfId="0" applyFont="1" applyBorder="1"/>
    <xf numFmtId="0" fontId="0" fillId="0" borderId="13" xfId="0" applyBorder="1" applyAlignment="1">
      <alignment wrapText="1"/>
    </xf>
    <xf numFmtId="2" fontId="0" fillId="0" borderId="3" xfId="0" applyNumberFormat="1" applyBorder="1"/>
    <xf numFmtId="2" fontId="0" fillId="0" borderId="9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 applyAlignment="1">
      <alignment wrapText="1"/>
    </xf>
    <xf numFmtId="164" fontId="0" fillId="0" borderId="3" xfId="0" applyNumberFormat="1" applyBorder="1"/>
    <xf numFmtId="164" fontId="0" fillId="0" borderId="0" xfId="0" applyNumberFormat="1"/>
    <xf numFmtId="165" fontId="0" fillId="0" borderId="7" xfId="0" applyNumberFormat="1" applyBorder="1"/>
    <xf numFmtId="165" fontId="0" fillId="0" borderId="3" xfId="0" applyNumberFormat="1" applyBorder="1"/>
    <xf numFmtId="3" fontId="2" fillId="2" borderId="6" xfId="0" applyNumberFormat="1" applyFont="1" applyFill="1" applyBorder="1"/>
    <xf numFmtId="2" fontId="2" fillId="2" borderId="6" xfId="0" applyNumberFormat="1" applyFont="1" applyFill="1" applyBorder="1"/>
    <xf numFmtId="2" fontId="2" fillId="2" borderId="3" xfId="0" applyNumberFormat="1" applyFont="1" applyFill="1" applyBorder="1"/>
    <xf numFmtId="0" fontId="2" fillId="2" borderId="3" xfId="0" applyFont="1" applyFill="1" applyBorder="1"/>
    <xf numFmtId="3" fontId="2" fillId="2" borderId="3" xfId="0" applyNumberFormat="1" applyFont="1" applyFill="1" applyBorder="1"/>
    <xf numFmtId="165" fontId="2" fillId="2" borderId="3" xfId="0" applyNumberFormat="1" applyFont="1" applyFill="1" applyBorder="1"/>
    <xf numFmtId="2" fontId="2" fillId="2" borderId="7" xfId="0" applyNumberFormat="1" applyFont="1" applyFill="1" applyBorder="1"/>
    <xf numFmtId="164" fontId="0" fillId="0" borderId="16" xfId="0" applyNumberFormat="1" applyBorder="1"/>
    <xf numFmtId="164" fontId="0" fillId="0" borderId="17" xfId="0" applyNumberFormat="1" applyBorder="1" applyAlignment="1">
      <alignment wrapText="1"/>
    </xf>
    <xf numFmtId="164" fontId="2" fillId="2" borderId="18" xfId="0" applyNumberFormat="1" applyFont="1" applyFill="1" applyBorder="1"/>
    <xf numFmtId="164" fontId="0" fillId="0" borderId="18" xfId="0" applyNumberFormat="1" applyBorder="1"/>
    <xf numFmtId="164" fontId="0" fillId="0" borderId="5" xfId="0" applyNumberFormat="1" applyBorder="1"/>
    <xf numFmtId="164" fontId="0" fillId="0" borderId="14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164" fontId="2" fillId="2" borderId="15" xfId="0" applyNumberFormat="1" applyFont="1" applyFill="1" applyBorder="1"/>
    <xf numFmtId="164" fontId="2" fillId="2" borderId="7" xfId="0" applyNumberFormat="1" applyFont="1" applyFill="1" applyBorder="1"/>
    <xf numFmtId="164" fontId="0" fillId="0" borderId="15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0" xfId="0" applyFont="1" applyBorder="1"/>
    <xf numFmtId="0" fontId="0" fillId="0" borderId="5" xfId="0" applyBorder="1" applyAlignment="1">
      <alignment wrapText="1"/>
    </xf>
    <xf numFmtId="0" fontId="2" fillId="2" borderId="6" xfId="0" applyFont="1" applyFill="1" applyBorder="1"/>
    <xf numFmtId="165" fontId="2" fillId="2" borderId="7" xfId="0" applyNumberFormat="1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4" fontId="0" fillId="0" borderId="9" xfId="0" applyNumberFormat="1" applyBorder="1"/>
    <xf numFmtId="166" fontId="2" fillId="2" borderId="7" xfId="0" applyNumberFormat="1" applyFont="1" applyFill="1" applyBorder="1"/>
    <xf numFmtId="166" fontId="0" fillId="0" borderId="7" xfId="0" applyNumberFormat="1" applyBorder="1"/>
    <xf numFmtId="3" fontId="0" fillId="0" borderId="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3" borderId="0" xfId="0" applyFill="1"/>
    <xf numFmtId="0" fontId="0" fillId="0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1" fillId="6" borderId="0" xfId="0" applyFont="1" applyFill="1"/>
    <xf numFmtId="0" fontId="3" fillId="0" borderId="0" xfId="0" applyFont="1"/>
    <xf numFmtId="0" fontId="0" fillId="7" borderId="0" xfId="0" applyFill="1" applyAlignment="1"/>
    <xf numFmtId="0" fontId="0" fillId="8" borderId="0" xfId="0" applyFill="1" applyAlignment="1"/>
    <xf numFmtId="0" fontId="0" fillId="8" borderId="0" xfId="0" applyFill="1"/>
    <xf numFmtId="0" fontId="0" fillId="11" borderId="0" xfId="0" applyFill="1"/>
    <xf numFmtId="0" fontId="0" fillId="13" borderId="0" xfId="0" applyFont="1" applyFill="1"/>
    <xf numFmtId="0" fontId="0" fillId="13" borderId="0" xfId="0" applyFill="1"/>
    <xf numFmtId="0" fontId="4" fillId="5" borderId="0" xfId="0" applyFont="1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14" borderId="0" xfId="0" applyFont="1" applyFill="1" applyAlignment="1">
      <alignment horizontal="right"/>
    </xf>
    <xf numFmtId="0" fontId="4" fillId="14" borderId="0" xfId="0" applyFont="1" applyFill="1" applyAlignment="1">
      <alignment horizontal="right"/>
    </xf>
    <xf numFmtId="2" fontId="6" fillId="16" borderId="9" xfId="2" applyNumberFormat="1" applyBorder="1"/>
    <xf numFmtId="0" fontId="5" fillId="15" borderId="4" xfId="1" applyBorder="1"/>
    <xf numFmtId="3" fontId="6" fillId="16" borderId="9" xfId="2" applyNumberFormat="1" applyBorder="1"/>
    <xf numFmtId="2" fontId="6" fillId="16" borderId="3" xfId="2" applyNumberFormat="1" applyBorder="1"/>
    <xf numFmtId="3" fontId="6" fillId="16" borderId="3" xfId="2" applyNumberFormat="1" applyBorder="1"/>
    <xf numFmtId="0" fontId="7" fillId="0" borderId="13" xfId="0" applyFont="1" applyBorder="1" applyAlignment="1">
      <alignment wrapText="1"/>
    </xf>
    <xf numFmtId="0" fontId="6" fillId="16" borderId="12" xfId="2" applyBorder="1" applyAlignment="1">
      <alignment wrapText="1"/>
    </xf>
    <xf numFmtId="0" fontId="5" fillId="15" borderId="0" xfId="1"/>
    <xf numFmtId="0" fontId="6" fillId="16" borderId="2" xfId="2" applyBorder="1" applyAlignment="1">
      <alignment wrapText="1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Deseosanalized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2489063867016"/>
                  <c:y val="0.27901210265383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[1]MacbookProSeason!$C$2:$C$14</c:f>
              <c:numCache>
                <c:formatCode>General</c:formatCode>
                <c:ptCount val="13"/>
                <c:pt idx="0">
                  <c:v>24465.613856342337</c:v>
                </c:pt>
                <c:pt idx="1">
                  <c:v>25822.281167108755</c:v>
                </c:pt>
                <c:pt idx="2">
                  <c:v>26290.023701788406</c:v>
                </c:pt>
                <c:pt idx="3">
                  <c:v>26478.538036549093</c:v>
                </c:pt>
                <c:pt idx="4">
                  <c:v>26657.953696788645</c:v>
                </c:pt>
                <c:pt idx="5">
                  <c:v>26511.612584417722</c:v>
                </c:pt>
                <c:pt idx="6">
                  <c:v>26724.621103803252</c:v>
                </c:pt>
                <c:pt idx="7">
                  <c:v>27034.157178561505</c:v>
                </c:pt>
                <c:pt idx="8">
                  <c:v>26713.225371120108</c:v>
                </c:pt>
                <c:pt idx="9">
                  <c:v>26837.918345891012</c:v>
                </c:pt>
                <c:pt idx="10">
                  <c:v>26592.191727870122</c:v>
                </c:pt>
                <c:pt idx="11">
                  <c:v>25136.094674556214</c:v>
                </c:pt>
                <c:pt idx="12">
                  <c:v>25601.577909270218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1-487E-8AA4-2BA3562A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49000"/>
        <c:axId val="502210368"/>
      </c:lineChart>
      <c:catAx>
        <c:axId val="5131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0368"/>
        <c:crosses val="autoZero"/>
        <c:auto val="1"/>
        <c:lblAlgn val="ctr"/>
        <c:lblOffset val="100"/>
        <c:noMultiLvlLbl val="0"/>
      </c:catAx>
      <c:valAx>
        <c:axId val="502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Deseasonalized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62489063867016"/>
                  <c:y val="0.27901210265383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[1]MacbookProSeason!$C$2:$C$14</c:f>
              <c:numCache>
                <c:formatCode>General</c:formatCode>
                <c:ptCount val="13"/>
                <c:pt idx="0">
                  <c:v>24465.613856342337</c:v>
                </c:pt>
                <c:pt idx="1">
                  <c:v>25822.281167108755</c:v>
                </c:pt>
                <c:pt idx="2">
                  <c:v>26290.023701788406</c:v>
                </c:pt>
                <c:pt idx="3">
                  <c:v>26478.538036549093</c:v>
                </c:pt>
                <c:pt idx="4">
                  <c:v>26657.953696788645</c:v>
                </c:pt>
                <c:pt idx="5">
                  <c:v>26511.612584417722</c:v>
                </c:pt>
                <c:pt idx="6">
                  <c:v>26724.621103803252</c:v>
                </c:pt>
                <c:pt idx="7">
                  <c:v>27034.157178561505</c:v>
                </c:pt>
                <c:pt idx="8">
                  <c:v>26713.225371120108</c:v>
                </c:pt>
                <c:pt idx="9">
                  <c:v>26837.918345891012</c:v>
                </c:pt>
                <c:pt idx="10">
                  <c:v>26592.191727870122</c:v>
                </c:pt>
                <c:pt idx="11">
                  <c:v>25136.094674556214</c:v>
                </c:pt>
                <c:pt idx="12">
                  <c:v>25601.577909270218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A-4499-8E97-E2BE29F8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149000"/>
        <c:axId val="502210368"/>
      </c:lineChart>
      <c:catAx>
        <c:axId val="51314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10368"/>
        <c:crosses val="autoZero"/>
        <c:auto val="1"/>
        <c:lblAlgn val="ctr"/>
        <c:lblOffset val="100"/>
        <c:noMultiLvlLbl val="0"/>
      </c:catAx>
      <c:valAx>
        <c:axId val="5022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Seasonal Averages of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0314960629921"/>
          <c:y val="0.17634259259259263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'Why Winter'!$B$16:$I$16</c:f>
              <c:numCache>
                <c:formatCode>General</c:formatCode>
                <c:ptCount val="8"/>
                <c:pt idx="0">
                  <c:v>26346.153846153848</c:v>
                </c:pt>
                <c:pt idx="1">
                  <c:v>26576.923076923078</c:v>
                </c:pt>
                <c:pt idx="2">
                  <c:v>28000</c:v>
                </c:pt>
                <c:pt idx="3">
                  <c:v>29269.23076923077</c:v>
                </c:pt>
                <c:pt idx="4">
                  <c:v>29307.692307692309</c:v>
                </c:pt>
                <c:pt idx="5">
                  <c:v>29307.692307692309</c:v>
                </c:pt>
                <c:pt idx="6">
                  <c:v>30884.615384615383</c:v>
                </c:pt>
                <c:pt idx="7">
                  <c:v>29369.23076923077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E-4801-A3A0-03F2B502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2720"/>
        <c:axId val="522179376"/>
      </c:lineChart>
      <c:catAx>
        <c:axId val="52217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9376"/>
        <c:crosses val="autoZero"/>
        <c:auto val="1"/>
        <c:lblAlgn val="ctr"/>
        <c:lblOffset val="100"/>
        <c:noMultiLvlLbl val="0"/>
      </c:catAx>
      <c:valAx>
        <c:axId val="5221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Seasonal Averages</a:t>
            </a:r>
            <a:r>
              <a:rPr lang="tr-TR" baseline="0"/>
              <a:t> of AIR</a:t>
            </a:r>
            <a:endParaRPr lang="tr-TR"/>
          </a:p>
        </c:rich>
      </c:tx>
      <c:layout>
        <c:manualLayout>
          <c:xMode val="edge"/>
          <c:yMode val="edge"/>
          <c:x val="0.28040143574768384"/>
          <c:y val="2.6809651474530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663000569968969"/>
          <c:w val="0.85382598077558181"/>
          <c:h val="0.7791187294617663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387357830271213E-2"/>
                  <c:y val="0.28254192184310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'Why Winter'!$B$32:$I$32</c:f>
              <c:numCache>
                <c:formatCode>General</c:formatCode>
                <c:ptCount val="8"/>
                <c:pt idx="0">
                  <c:v>49730.769230769234</c:v>
                </c:pt>
                <c:pt idx="1">
                  <c:v>50269.230769230766</c:v>
                </c:pt>
                <c:pt idx="2">
                  <c:v>51653.846153846156</c:v>
                </c:pt>
                <c:pt idx="3">
                  <c:v>52807.692307692305</c:v>
                </c:pt>
                <c:pt idx="4">
                  <c:v>52884.615384615383</c:v>
                </c:pt>
                <c:pt idx="5">
                  <c:v>52769.230769230766</c:v>
                </c:pt>
                <c:pt idx="6">
                  <c:v>54230.769230769234</c:v>
                </c:pt>
                <c:pt idx="7">
                  <c:v>52653.846153846156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2D-4988-9211-BFEA280A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96576"/>
        <c:axId val="509748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'Why Winter'!$B$31:$I$31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43500</c:v>
                      </c:pt>
                      <c:pt idx="1">
                        <c:v>44000</c:v>
                      </c:pt>
                      <c:pt idx="2">
                        <c:v>45000</c:v>
                      </c:pt>
                      <c:pt idx="3">
                        <c:v>46000</c:v>
                      </c:pt>
                      <c:pt idx="4">
                        <c:v>46000</c:v>
                      </c:pt>
                      <c:pt idx="5">
                        <c:v>46000</c:v>
                      </c:pt>
                      <c:pt idx="6">
                        <c:v>48000</c:v>
                      </c:pt>
                      <c:pt idx="7">
                        <c:v>45700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42D-4988-9211-BFEA280AC025}"/>
                  </c:ext>
                </c:extLst>
              </c15:ser>
            </c15:filteredLineSeries>
          </c:ext>
        </c:extLst>
      </c:lineChart>
      <c:catAx>
        <c:axId val="8278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496"/>
        <c:crosses val="autoZero"/>
        <c:auto val="1"/>
        <c:lblAlgn val="ctr"/>
        <c:lblOffset val="100"/>
        <c:noMultiLvlLbl val="0"/>
      </c:catAx>
      <c:valAx>
        <c:axId val="5097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18</xdr:row>
      <xdr:rowOff>106680</xdr:rowOff>
    </xdr:from>
    <xdr:to>
      <xdr:col>14</xdr:col>
      <xdr:colOff>525780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DE75-BB0D-486E-A6BF-9149A1862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17</xdr:row>
      <xdr:rowOff>53340</xdr:rowOff>
    </xdr:from>
    <xdr:to>
      <xdr:col>14</xdr:col>
      <xdr:colOff>274320</xdr:colOff>
      <xdr:row>32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CAF02-5949-431F-BE24-3AC564928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99060</xdr:rowOff>
    </xdr:from>
    <xdr:to>
      <xdr:col>19</xdr:col>
      <xdr:colOff>7620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7BDDA-4521-4C94-BA45-26DD0EDF7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320040</xdr:colOff>
      <xdr:row>16</xdr:row>
      <xdr:rowOff>45720</xdr:rowOff>
    </xdr:from>
    <xdr:to>
      <xdr:col>19</xdr:col>
      <xdr:colOff>45720</xdr:colOff>
      <xdr:row>31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70764-0DA6-4637-8BAC-4BA8A7C8B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bookProSea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bookProSeason"/>
      <sheetName val="MacbookAirSeason (2)"/>
      <sheetName val="Sheet1"/>
    </sheetNames>
    <sheetDataSet>
      <sheetData sheetId="0">
        <row r="2">
          <cell r="C2">
            <v>24465.613856342337</v>
          </cell>
        </row>
        <row r="3">
          <cell r="C3">
            <v>25822.281167108755</v>
          </cell>
        </row>
        <row r="4">
          <cell r="C4">
            <v>26290.023701788406</v>
          </cell>
        </row>
        <row r="5">
          <cell r="C5">
            <v>26478.538036549093</v>
          </cell>
        </row>
        <row r="6">
          <cell r="C6">
            <v>26657.953696788645</v>
          </cell>
        </row>
        <row r="7">
          <cell r="C7">
            <v>26511.612584417722</v>
          </cell>
        </row>
        <row r="8">
          <cell r="C8">
            <v>26724.621103803252</v>
          </cell>
        </row>
        <row r="9">
          <cell r="C9">
            <v>27034.157178561505</v>
          </cell>
        </row>
        <row r="10">
          <cell r="C10">
            <v>26713.225371120108</v>
          </cell>
        </row>
        <row r="11">
          <cell r="C11">
            <v>26837.918345891012</v>
          </cell>
        </row>
        <row r="12">
          <cell r="C12">
            <v>26592.191727870122</v>
          </cell>
        </row>
        <row r="13">
          <cell r="C13">
            <v>25136.094674556214</v>
          </cell>
        </row>
        <row r="14">
          <cell r="C14">
            <v>25601.577909270218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4380-C449-4488-8591-DC95F6EF89A3}">
  <dimension ref="A1:AH80"/>
  <sheetViews>
    <sheetView tabSelected="1" zoomScaleNormal="100" workbookViewId="0">
      <selection activeCell="AF10" sqref="AF10"/>
    </sheetView>
  </sheetViews>
  <sheetFormatPr defaultColWidth="8.88671875" defaultRowHeight="14.4" x14ac:dyDescent="0.3"/>
  <cols>
    <col min="1" max="1" width="5.88671875" bestFit="1" customWidth="1"/>
    <col min="2" max="2" width="11" customWidth="1"/>
    <col min="3" max="3" width="10.44140625" customWidth="1"/>
    <col min="4" max="4" width="7.88671875" customWidth="1"/>
    <col min="5" max="5" width="8.6640625" style="4" customWidth="1"/>
    <col min="6" max="6" width="8.33203125" bestFit="1" customWidth="1"/>
    <col min="7" max="7" width="9" customWidth="1"/>
    <col min="8" max="8" width="8.88671875" bestFit="1" customWidth="1"/>
    <col min="9" max="9" width="13.109375" bestFit="1" customWidth="1"/>
    <col min="10" max="10" width="15.33203125" bestFit="1" customWidth="1"/>
    <col min="11" max="11" width="15.33203125" customWidth="1"/>
    <col min="12" max="12" width="8.33203125" customWidth="1"/>
    <col min="13" max="13" width="10.33203125" customWidth="1"/>
    <col min="14" max="14" width="7.88671875" customWidth="1"/>
    <col min="15" max="15" width="15.44140625" bestFit="1" customWidth="1"/>
    <col min="16" max="16" width="8.5546875" bestFit="1" customWidth="1"/>
    <col min="17" max="18" width="9" customWidth="1"/>
    <col min="19" max="19" width="11.109375" style="31" customWidth="1"/>
    <col min="20" max="20" width="15.33203125" bestFit="1" customWidth="1"/>
    <col min="21" max="21" width="9.88671875" customWidth="1"/>
    <col min="22" max="23" width="12.33203125" customWidth="1"/>
    <col min="24" max="25" width="10.109375" bestFit="1" customWidth="1"/>
    <col min="26" max="29" width="11.44140625" customWidth="1"/>
    <col min="30" max="30" width="14.33203125" style="31" customWidth="1"/>
    <col min="31" max="31" width="15.109375" style="31" bestFit="1" customWidth="1"/>
    <col min="32" max="32" width="15.109375" style="31" customWidth="1"/>
  </cols>
  <sheetData>
    <row r="1" spans="1:34" ht="15" thickBot="1" x14ac:dyDescent="0.35">
      <c r="B1" s="16"/>
      <c r="C1" s="3"/>
      <c r="D1" s="3"/>
      <c r="E1" s="3" t="s">
        <v>18</v>
      </c>
      <c r="F1" s="3"/>
      <c r="G1" s="3"/>
      <c r="H1" s="3"/>
      <c r="I1" s="3"/>
      <c r="J1" s="17"/>
      <c r="K1" s="3"/>
      <c r="L1" s="16"/>
      <c r="M1" s="3"/>
      <c r="N1" s="3"/>
      <c r="O1" s="3" t="s">
        <v>19</v>
      </c>
      <c r="P1" s="3"/>
      <c r="Q1" s="3"/>
      <c r="R1" s="3"/>
      <c r="S1" s="28"/>
      <c r="T1" s="17"/>
      <c r="U1" s="16"/>
      <c r="V1" s="17"/>
      <c r="W1" s="3"/>
      <c r="X1" s="16"/>
      <c r="Y1" s="3"/>
      <c r="Z1" s="3" t="s">
        <v>20</v>
      </c>
      <c r="AA1" s="3"/>
      <c r="AB1" s="3"/>
      <c r="AC1" s="17"/>
      <c r="AD1" s="41"/>
      <c r="AE1" s="28"/>
      <c r="AF1" s="45"/>
    </row>
    <row r="2" spans="1:34" ht="57.6" x14ac:dyDescent="0.3">
      <c r="A2" s="90" t="s">
        <v>15</v>
      </c>
      <c r="B2" s="1" t="s">
        <v>1</v>
      </c>
      <c r="C2" s="91" t="s">
        <v>2</v>
      </c>
      <c r="D2" s="2" t="s">
        <v>6</v>
      </c>
      <c r="E2" s="5" t="s">
        <v>0</v>
      </c>
      <c r="F2" s="2" t="s">
        <v>11</v>
      </c>
      <c r="G2" s="2" t="s">
        <v>13</v>
      </c>
      <c r="H2" s="3" t="s">
        <v>9</v>
      </c>
      <c r="I2" s="2" t="s">
        <v>3</v>
      </c>
      <c r="J2" s="54" t="s">
        <v>10</v>
      </c>
      <c r="K2" s="90" t="s">
        <v>15</v>
      </c>
      <c r="L2" s="18" t="s">
        <v>1</v>
      </c>
      <c r="M2" s="89" t="s">
        <v>2</v>
      </c>
      <c r="N2" s="19" t="s">
        <v>6</v>
      </c>
      <c r="O2" s="20" t="s">
        <v>0</v>
      </c>
      <c r="P2" s="19" t="s">
        <v>12</v>
      </c>
      <c r="Q2" s="19" t="s">
        <v>13</v>
      </c>
      <c r="R2" s="19" t="s">
        <v>9</v>
      </c>
      <c r="S2" s="29" t="s">
        <v>3</v>
      </c>
      <c r="T2" s="21" t="s">
        <v>10</v>
      </c>
      <c r="U2" s="18" t="s">
        <v>14</v>
      </c>
      <c r="V2" s="21" t="s">
        <v>4</v>
      </c>
      <c r="W2" t="s">
        <v>15</v>
      </c>
      <c r="X2" s="18" t="s">
        <v>16</v>
      </c>
      <c r="Y2" s="19" t="s">
        <v>17</v>
      </c>
      <c r="Z2" s="19" t="s">
        <v>22</v>
      </c>
      <c r="AA2" s="19" t="s">
        <v>23</v>
      </c>
      <c r="AB2" s="19" t="s">
        <v>24</v>
      </c>
      <c r="AC2" s="88" t="s">
        <v>12</v>
      </c>
      <c r="AD2" s="42" t="s">
        <v>21</v>
      </c>
      <c r="AE2" s="46" t="s">
        <v>7</v>
      </c>
      <c r="AF2" s="47" t="s">
        <v>5</v>
      </c>
    </row>
    <row r="3" spans="1:34" x14ac:dyDescent="0.3">
      <c r="A3" s="84">
        <v>-1</v>
      </c>
      <c r="B3" s="55">
        <v>0</v>
      </c>
      <c r="C3" s="87">
        <v>0</v>
      </c>
      <c r="D3" s="37">
        <f t="shared" ref="D3:D17" si="0">C3+B3</f>
        <v>0</v>
      </c>
      <c r="E3" s="37">
        <v>0</v>
      </c>
      <c r="F3" s="38">
        <f t="shared" ref="F3:F17" si="1">B3+C3-E3</f>
        <v>0</v>
      </c>
      <c r="G3" s="38">
        <f t="shared" ref="G3:G17" si="2">MAX(F3,0)</f>
        <v>0</v>
      </c>
      <c r="H3" s="38">
        <f t="shared" ref="H3:H17" si="3">MAX(-F3,0)</f>
        <v>0</v>
      </c>
      <c r="I3" s="39">
        <f t="shared" ref="I3:I16" si="4">G3*0.28</f>
        <v>0</v>
      </c>
      <c r="J3" s="56">
        <f t="shared" ref="J3:J16" si="5">0.58*H3</f>
        <v>0</v>
      </c>
      <c r="K3" s="84">
        <v>-1</v>
      </c>
      <c r="L3" s="55">
        <v>0</v>
      </c>
      <c r="M3" s="87">
        <v>0</v>
      </c>
      <c r="N3" s="37">
        <f t="shared" ref="N3:N17" si="6">L3+M3</f>
        <v>0</v>
      </c>
      <c r="O3" s="37">
        <v>0</v>
      </c>
      <c r="P3" s="38">
        <f t="shared" ref="P3:P17" si="7">L3+M3-O3</f>
        <v>0</v>
      </c>
      <c r="Q3" s="38">
        <f t="shared" ref="Q3:Q17" si="8">MAX(P3,0)</f>
        <v>0</v>
      </c>
      <c r="R3" s="38">
        <f t="shared" ref="R3:R17" si="9">MAX(-P3,0)</f>
        <v>0</v>
      </c>
      <c r="S3" s="39">
        <f t="shared" ref="S3:S16" si="10">Q3*0.25</f>
        <v>0</v>
      </c>
      <c r="T3" s="56">
        <f t="shared" ref="T3:T16" si="11">0.5*R3</f>
        <v>0</v>
      </c>
      <c r="U3" s="34">
        <f>M3*1.75+C3*1.25</f>
        <v>0</v>
      </c>
      <c r="V3" s="60">
        <f>MAX(U3-6800,0)*20</f>
        <v>0</v>
      </c>
      <c r="W3" s="84">
        <v>-1</v>
      </c>
      <c r="X3" s="35">
        <v>0</v>
      </c>
      <c r="Y3" s="36">
        <f>(C3*2+M3*4)/1000</f>
        <v>0</v>
      </c>
      <c r="Z3" s="86">
        <v>85000</v>
      </c>
      <c r="AA3" s="36">
        <v>0</v>
      </c>
      <c r="AB3" s="36">
        <v>0</v>
      </c>
      <c r="AC3" s="40">
        <f t="shared" ref="AC3:AC17" si="12">X3+AA3+AB3-Y3</f>
        <v>0</v>
      </c>
      <c r="AD3" s="43">
        <v>0</v>
      </c>
      <c r="AE3" s="48">
        <f t="shared" ref="AE3:AE17" si="13">V3+T3+S3+J3+I3+AD3</f>
        <v>0</v>
      </c>
      <c r="AF3" s="49">
        <f>SUM($AE$3:AE3)</f>
        <v>0</v>
      </c>
      <c r="AG3" s="31"/>
    </row>
    <row r="4" spans="1:34" x14ac:dyDescent="0.3">
      <c r="A4" s="84">
        <v>0</v>
      </c>
      <c r="B4" s="55">
        <v>0</v>
      </c>
      <c r="C4" s="87">
        <v>0</v>
      </c>
      <c r="D4" s="37">
        <f t="shared" si="0"/>
        <v>0</v>
      </c>
      <c r="E4" s="37">
        <v>0</v>
      </c>
      <c r="F4" s="38">
        <f t="shared" si="1"/>
        <v>0</v>
      </c>
      <c r="G4" s="38">
        <f t="shared" si="2"/>
        <v>0</v>
      </c>
      <c r="H4" s="38">
        <f t="shared" si="3"/>
        <v>0</v>
      </c>
      <c r="I4" s="39">
        <f t="shared" si="4"/>
        <v>0</v>
      </c>
      <c r="J4" s="56">
        <f t="shared" si="5"/>
        <v>0</v>
      </c>
      <c r="K4" s="84">
        <v>0</v>
      </c>
      <c r="L4" s="55">
        <v>0</v>
      </c>
      <c r="M4" s="87">
        <v>0</v>
      </c>
      <c r="N4" s="37">
        <f t="shared" si="6"/>
        <v>0</v>
      </c>
      <c r="O4" s="37">
        <v>0</v>
      </c>
      <c r="P4" s="38">
        <f t="shared" si="7"/>
        <v>0</v>
      </c>
      <c r="Q4" s="38">
        <f t="shared" si="8"/>
        <v>0</v>
      </c>
      <c r="R4" s="38">
        <f t="shared" si="9"/>
        <v>0</v>
      </c>
      <c r="S4" s="39">
        <f t="shared" si="10"/>
        <v>0</v>
      </c>
      <c r="T4" s="56">
        <f t="shared" si="11"/>
        <v>0</v>
      </c>
      <c r="U4" s="34">
        <f>M4*1.75+C4*1.25</f>
        <v>0</v>
      </c>
      <c r="V4" s="60">
        <f>MAX(U4-6800,0)*20</f>
        <v>0</v>
      </c>
      <c r="W4" s="84">
        <v>0</v>
      </c>
      <c r="X4" s="35">
        <f>AC3</f>
        <v>0</v>
      </c>
      <c r="Y4" s="36">
        <f>(C4*2+M4*4)/1000</f>
        <v>0</v>
      </c>
      <c r="Z4" s="86">
        <v>85000</v>
      </c>
      <c r="AA4" s="36">
        <v>0</v>
      </c>
      <c r="AB4" s="36">
        <v>0</v>
      </c>
      <c r="AC4" s="40">
        <f t="shared" si="12"/>
        <v>0</v>
      </c>
      <c r="AD4" s="43">
        <v>0</v>
      </c>
      <c r="AE4" s="48">
        <f t="shared" si="13"/>
        <v>0</v>
      </c>
      <c r="AF4" s="49">
        <f>SUM($AE$3:AE4)</f>
        <v>0</v>
      </c>
      <c r="AG4" s="31"/>
    </row>
    <row r="5" spans="1:34" x14ac:dyDescent="0.3">
      <c r="A5" s="84">
        <v>1</v>
      </c>
      <c r="B5" s="10">
        <v>1500</v>
      </c>
      <c r="C5" s="87">
        <v>20000</v>
      </c>
      <c r="D5" s="6">
        <f t="shared" si="0"/>
        <v>21500</v>
      </c>
      <c r="E5" s="7">
        <v>22310</v>
      </c>
      <c r="F5" s="8">
        <f t="shared" si="1"/>
        <v>-810</v>
      </c>
      <c r="G5" s="8">
        <f t="shared" si="2"/>
        <v>0</v>
      </c>
      <c r="H5" s="8">
        <f t="shared" si="3"/>
        <v>810</v>
      </c>
      <c r="I5" s="33">
        <f t="shared" si="4"/>
        <v>0</v>
      </c>
      <c r="J5" s="32">
        <f t="shared" si="5"/>
        <v>469.79999999999995</v>
      </c>
      <c r="K5" s="84">
        <v>1</v>
      </c>
      <c r="L5" s="10">
        <v>1100</v>
      </c>
      <c r="M5" s="87">
        <v>38000</v>
      </c>
      <c r="N5" s="6">
        <f t="shared" si="6"/>
        <v>39100</v>
      </c>
      <c r="O5" s="7">
        <v>39714</v>
      </c>
      <c r="P5" s="8">
        <f t="shared" si="7"/>
        <v>-614</v>
      </c>
      <c r="Q5" s="8">
        <f t="shared" si="8"/>
        <v>0</v>
      </c>
      <c r="R5" s="8">
        <f t="shared" si="9"/>
        <v>614</v>
      </c>
      <c r="S5" s="30">
        <f t="shared" si="10"/>
        <v>0</v>
      </c>
      <c r="T5" s="32">
        <f t="shared" si="11"/>
        <v>307</v>
      </c>
      <c r="U5" s="11">
        <f t="shared" ref="U5:U17" si="14">C5*2.5+M5*2</f>
        <v>126000</v>
      </c>
      <c r="V5" s="61">
        <f>MAX(U5-175500,0)*11.75/60</f>
        <v>0</v>
      </c>
      <c r="W5" s="84">
        <v>1</v>
      </c>
      <c r="X5" s="24">
        <v>2000</v>
      </c>
      <c r="Y5" s="22">
        <f t="shared" ref="Y5:Y17" si="15">C5+M5</f>
        <v>58000</v>
      </c>
      <c r="Z5" s="86">
        <v>75000</v>
      </c>
      <c r="AA5" s="22">
        <f t="shared" ref="AA5:AA17" si="16">Z3</f>
        <v>85000</v>
      </c>
      <c r="AB5" s="22">
        <f t="shared" ref="AB5:AB17" si="17">IF(X5+AA5&lt;Y5,Y5-(X5+AA5),0)</f>
        <v>0</v>
      </c>
      <c r="AC5" s="25">
        <f t="shared" si="12"/>
        <v>29000</v>
      </c>
      <c r="AD5" s="44">
        <f>Z5*78+AB5*85+0.1*AC5</f>
        <v>5852900</v>
      </c>
      <c r="AE5" s="50">
        <f t="shared" si="13"/>
        <v>5853676.7999999998</v>
      </c>
      <c r="AF5" s="51">
        <f>SUM($AE$3:AE5)</f>
        <v>5853676.7999999998</v>
      </c>
      <c r="AH5" t="s">
        <v>8</v>
      </c>
    </row>
    <row r="6" spans="1:34" x14ac:dyDescent="0.3">
      <c r="A6" s="84">
        <v>2</v>
      </c>
      <c r="B6" s="10">
        <f t="shared" ref="B6:B17" si="18">F5</f>
        <v>-810</v>
      </c>
      <c r="C6" s="87">
        <v>26332</v>
      </c>
      <c r="D6" s="6">
        <f t="shared" si="0"/>
        <v>25522</v>
      </c>
      <c r="E6" s="7">
        <v>25522</v>
      </c>
      <c r="F6" s="8">
        <f t="shared" si="1"/>
        <v>0</v>
      </c>
      <c r="G6" s="8">
        <f t="shared" si="2"/>
        <v>0</v>
      </c>
      <c r="H6" s="8">
        <f t="shared" si="3"/>
        <v>0</v>
      </c>
      <c r="I6" s="33">
        <f t="shared" si="4"/>
        <v>0</v>
      </c>
      <c r="J6" s="32">
        <f t="shared" si="5"/>
        <v>0</v>
      </c>
      <c r="K6" s="84">
        <v>2</v>
      </c>
      <c r="L6" s="10">
        <f t="shared" ref="L6:L17" si="19">P5</f>
        <v>-614</v>
      </c>
      <c r="M6" s="87">
        <v>41552</v>
      </c>
      <c r="N6" s="6">
        <f t="shared" si="6"/>
        <v>40938</v>
      </c>
      <c r="O6" s="7">
        <v>40938</v>
      </c>
      <c r="P6" s="8">
        <f t="shared" si="7"/>
        <v>0</v>
      </c>
      <c r="Q6" s="8">
        <f t="shared" si="8"/>
        <v>0</v>
      </c>
      <c r="R6" s="8">
        <f t="shared" si="9"/>
        <v>0</v>
      </c>
      <c r="S6" s="30">
        <f t="shared" si="10"/>
        <v>0</v>
      </c>
      <c r="T6" s="32">
        <f t="shared" si="11"/>
        <v>0</v>
      </c>
      <c r="U6" s="11">
        <f t="shared" si="14"/>
        <v>148934</v>
      </c>
      <c r="V6" s="61">
        <f>MAX(U6-175500,0)*11.75/60</f>
        <v>0</v>
      </c>
      <c r="W6" s="84">
        <v>2</v>
      </c>
      <c r="X6" s="24">
        <f t="shared" ref="X6:X17" si="20">AC5</f>
        <v>29000</v>
      </c>
      <c r="Y6" s="22">
        <f t="shared" si="15"/>
        <v>67884</v>
      </c>
      <c r="Z6" s="86">
        <v>74996</v>
      </c>
      <c r="AA6" s="22">
        <f t="shared" si="16"/>
        <v>85000</v>
      </c>
      <c r="AB6" s="22">
        <f t="shared" si="17"/>
        <v>0</v>
      </c>
      <c r="AC6" s="25">
        <f t="shared" si="12"/>
        <v>46116</v>
      </c>
      <c r="AD6" s="44">
        <f>Z6*78+AB6*85+0.1*AC6</f>
        <v>5854299.5999999996</v>
      </c>
      <c r="AE6" s="50">
        <f t="shared" si="13"/>
        <v>5854299.5999999996</v>
      </c>
      <c r="AF6" s="51">
        <f>SUM($AE$3:AE6)</f>
        <v>11707976.399999999</v>
      </c>
    </row>
    <row r="7" spans="1:34" x14ac:dyDescent="0.3">
      <c r="A7" s="84">
        <v>3</v>
      </c>
      <c r="B7" s="10">
        <f t="shared" si="18"/>
        <v>0</v>
      </c>
      <c r="C7" s="87">
        <v>25950</v>
      </c>
      <c r="D7" s="6">
        <f t="shared" si="0"/>
        <v>25950</v>
      </c>
      <c r="E7" s="7">
        <v>25950</v>
      </c>
      <c r="F7" s="8">
        <f t="shared" si="1"/>
        <v>0</v>
      </c>
      <c r="G7" s="8">
        <f t="shared" si="2"/>
        <v>0</v>
      </c>
      <c r="H7" s="8">
        <f t="shared" si="3"/>
        <v>0</v>
      </c>
      <c r="I7" s="33">
        <f t="shared" si="4"/>
        <v>0</v>
      </c>
      <c r="J7" s="32">
        <f t="shared" si="5"/>
        <v>0</v>
      </c>
      <c r="K7" s="84">
        <v>3</v>
      </c>
      <c r="L7" s="10">
        <f t="shared" si="19"/>
        <v>0</v>
      </c>
      <c r="M7" s="87">
        <v>43036</v>
      </c>
      <c r="N7" s="6">
        <f t="shared" si="6"/>
        <v>43036</v>
      </c>
      <c r="O7" s="7">
        <v>43036</v>
      </c>
      <c r="P7" s="8">
        <f t="shared" si="7"/>
        <v>0</v>
      </c>
      <c r="Q7" s="8">
        <f t="shared" si="8"/>
        <v>0</v>
      </c>
      <c r="R7" s="8">
        <f t="shared" si="9"/>
        <v>0</v>
      </c>
      <c r="S7" s="30">
        <f t="shared" si="10"/>
        <v>0</v>
      </c>
      <c r="T7" s="32">
        <f t="shared" si="11"/>
        <v>0</v>
      </c>
      <c r="U7" s="11">
        <f t="shared" si="14"/>
        <v>150947</v>
      </c>
      <c r="V7" s="61">
        <f>MAX(U7-175500,0)*11.75/60</f>
        <v>0</v>
      </c>
      <c r="W7" s="84">
        <v>3</v>
      </c>
      <c r="X7" s="24">
        <f t="shared" si="20"/>
        <v>46116</v>
      </c>
      <c r="Y7" s="22">
        <f t="shared" si="15"/>
        <v>68986</v>
      </c>
      <c r="Z7" s="86">
        <v>75000</v>
      </c>
      <c r="AA7" s="22">
        <f t="shared" si="16"/>
        <v>75000</v>
      </c>
      <c r="AB7" s="22">
        <f t="shared" si="17"/>
        <v>0</v>
      </c>
      <c r="AC7" s="25">
        <f t="shared" si="12"/>
        <v>52130</v>
      </c>
      <c r="AD7" s="44">
        <f>Z7*78+AB7*85+0.1*AC7</f>
        <v>5855213</v>
      </c>
      <c r="AE7" s="50">
        <f t="shared" si="13"/>
        <v>5855213</v>
      </c>
      <c r="AF7" s="51">
        <f>SUM($AE$3:AE7)</f>
        <v>17563189.399999999</v>
      </c>
    </row>
    <row r="8" spans="1:34" x14ac:dyDescent="0.3">
      <c r="A8" s="84">
        <v>4</v>
      </c>
      <c r="B8" s="10">
        <f t="shared" si="18"/>
        <v>0</v>
      </c>
      <c r="C8" s="87">
        <v>33634</v>
      </c>
      <c r="D8" s="6">
        <f t="shared" si="0"/>
        <v>33634</v>
      </c>
      <c r="E8" s="7">
        <v>26393</v>
      </c>
      <c r="F8" s="8">
        <f t="shared" si="1"/>
        <v>7241</v>
      </c>
      <c r="G8" s="8">
        <f t="shared" si="2"/>
        <v>7241</v>
      </c>
      <c r="H8" s="8">
        <f t="shared" si="3"/>
        <v>0</v>
      </c>
      <c r="I8" s="33">
        <f t="shared" si="4"/>
        <v>2027.4800000000002</v>
      </c>
      <c r="J8" s="32">
        <f t="shared" si="5"/>
        <v>0</v>
      </c>
      <c r="K8" s="84">
        <v>4</v>
      </c>
      <c r="L8" s="10">
        <f t="shared" si="19"/>
        <v>0</v>
      </c>
      <c r="M8" s="87">
        <v>45708</v>
      </c>
      <c r="N8" s="6">
        <f t="shared" si="6"/>
        <v>45708</v>
      </c>
      <c r="O8" s="7">
        <v>45708</v>
      </c>
      <c r="P8" s="8">
        <f t="shared" si="7"/>
        <v>0</v>
      </c>
      <c r="Q8" s="8">
        <f t="shared" si="8"/>
        <v>0</v>
      </c>
      <c r="R8" s="8">
        <f t="shared" si="9"/>
        <v>0</v>
      </c>
      <c r="S8" s="30">
        <f t="shared" si="10"/>
        <v>0</v>
      </c>
      <c r="T8" s="32">
        <f t="shared" si="11"/>
        <v>0</v>
      </c>
      <c r="U8" s="11">
        <f t="shared" si="14"/>
        <v>175501</v>
      </c>
      <c r="V8" s="61">
        <f>MAX(U8-175500,0)*11.75/60</f>
        <v>0.19583333333333333</v>
      </c>
      <c r="W8" s="84">
        <v>4</v>
      </c>
      <c r="X8" s="24">
        <f t="shared" si="20"/>
        <v>52130</v>
      </c>
      <c r="Y8" s="22">
        <f t="shared" si="15"/>
        <v>79342</v>
      </c>
      <c r="Z8" s="86">
        <v>74996</v>
      </c>
      <c r="AA8" s="22">
        <f t="shared" si="16"/>
        <v>74996</v>
      </c>
      <c r="AB8" s="22">
        <f t="shared" si="17"/>
        <v>0</v>
      </c>
      <c r="AC8" s="25">
        <f t="shared" si="12"/>
        <v>47784</v>
      </c>
      <c r="AD8" s="44">
        <f>Z8*78+AB8*85+0.1*AC8</f>
        <v>5854466.4000000004</v>
      </c>
      <c r="AE8" s="50">
        <f t="shared" si="13"/>
        <v>5856494.0758333337</v>
      </c>
      <c r="AF8" s="51">
        <f>SUM($AE$3:AE8)</f>
        <v>23419683.475833334</v>
      </c>
    </row>
    <row r="9" spans="1:34" x14ac:dyDescent="0.3">
      <c r="A9" s="84">
        <v>5</v>
      </c>
      <c r="B9" s="10">
        <f t="shared" si="18"/>
        <v>7241</v>
      </c>
      <c r="C9" s="87">
        <v>26470</v>
      </c>
      <c r="D9" s="6">
        <f t="shared" si="0"/>
        <v>33711</v>
      </c>
      <c r="E9" s="7">
        <v>30009</v>
      </c>
      <c r="F9" s="8">
        <f t="shared" si="1"/>
        <v>3702</v>
      </c>
      <c r="G9" s="8">
        <f t="shared" si="2"/>
        <v>3702</v>
      </c>
      <c r="H9" s="8">
        <f t="shared" si="3"/>
        <v>0</v>
      </c>
      <c r="I9" s="33">
        <f t="shared" si="4"/>
        <v>1036.5600000000002</v>
      </c>
      <c r="J9" s="32">
        <f t="shared" si="5"/>
        <v>0</v>
      </c>
      <c r="K9" s="84">
        <v>5</v>
      </c>
      <c r="L9" s="10">
        <f t="shared" si="19"/>
        <v>0</v>
      </c>
      <c r="M9" s="87">
        <v>50967</v>
      </c>
      <c r="N9" s="6">
        <f t="shared" si="6"/>
        <v>50967</v>
      </c>
      <c r="O9" s="7">
        <v>50967</v>
      </c>
      <c r="P9" s="8">
        <f t="shared" si="7"/>
        <v>0</v>
      </c>
      <c r="Q9" s="8">
        <f t="shared" si="8"/>
        <v>0</v>
      </c>
      <c r="R9" s="8">
        <f t="shared" si="9"/>
        <v>0</v>
      </c>
      <c r="S9" s="30">
        <f t="shared" si="10"/>
        <v>0</v>
      </c>
      <c r="T9" s="32">
        <f t="shared" si="11"/>
        <v>0</v>
      </c>
      <c r="U9" s="11">
        <f t="shared" si="14"/>
        <v>168109</v>
      </c>
      <c r="V9" s="61">
        <f>MAX(U9-175500,0)*11.75/60</f>
        <v>0</v>
      </c>
      <c r="W9" s="84">
        <v>5</v>
      </c>
      <c r="X9" s="24">
        <f t="shared" si="20"/>
        <v>47784</v>
      </c>
      <c r="Y9" s="22">
        <f t="shared" si="15"/>
        <v>77437</v>
      </c>
      <c r="Z9" s="86">
        <v>75000</v>
      </c>
      <c r="AA9" s="22">
        <f t="shared" si="16"/>
        <v>75000</v>
      </c>
      <c r="AB9" s="22">
        <f t="shared" si="17"/>
        <v>0</v>
      </c>
      <c r="AC9" s="25">
        <f t="shared" si="12"/>
        <v>45347</v>
      </c>
      <c r="AD9" s="44">
        <f t="shared" ref="AD9:AD17" si="21">Z9*67+AB9*85+0.1*AC9</f>
        <v>5029534.7</v>
      </c>
      <c r="AE9" s="50">
        <f t="shared" si="13"/>
        <v>5030571.26</v>
      </c>
      <c r="AF9" s="51">
        <f>SUM($AE$3:AE9)</f>
        <v>28450254.735833332</v>
      </c>
    </row>
    <row r="10" spans="1:34" x14ac:dyDescent="0.3">
      <c r="A10" s="84">
        <v>6</v>
      </c>
      <c r="B10" s="10">
        <f t="shared" si="18"/>
        <v>3702</v>
      </c>
      <c r="C10" s="87">
        <v>30164</v>
      </c>
      <c r="D10" s="6">
        <f t="shared" si="0"/>
        <v>33866</v>
      </c>
      <c r="E10" s="7">
        <v>33866</v>
      </c>
      <c r="F10" s="8">
        <f t="shared" si="1"/>
        <v>0</v>
      </c>
      <c r="G10" s="8">
        <f t="shared" si="2"/>
        <v>0</v>
      </c>
      <c r="H10" s="8">
        <f t="shared" si="3"/>
        <v>0</v>
      </c>
      <c r="I10" s="33">
        <f t="shared" si="4"/>
        <v>0</v>
      </c>
      <c r="J10" s="32">
        <f t="shared" si="5"/>
        <v>0</v>
      </c>
      <c r="K10" s="84">
        <v>6</v>
      </c>
      <c r="L10" s="10">
        <f t="shared" si="19"/>
        <v>0</v>
      </c>
      <c r="M10" s="87">
        <v>59506</v>
      </c>
      <c r="N10" s="6">
        <f t="shared" si="6"/>
        <v>59506</v>
      </c>
      <c r="O10" s="7">
        <v>56795</v>
      </c>
      <c r="P10" s="8">
        <f t="shared" si="7"/>
        <v>2711</v>
      </c>
      <c r="Q10" s="8">
        <f t="shared" si="8"/>
        <v>2711</v>
      </c>
      <c r="R10" s="8">
        <f t="shared" si="9"/>
        <v>0</v>
      </c>
      <c r="S10" s="30">
        <f t="shared" si="10"/>
        <v>677.75</v>
      </c>
      <c r="T10" s="32">
        <f t="shared" si="11"/>
        <v>0</v>
      </c>
      <c r="U10" s="11">
        <f t="shared" si="14"/>
        <v>194422</v>
      </c>
      <c r="V10" s="61">
        <f t="shared" ref="V10:V17" si="22">MAX(U10-189000,0)*11.75/60</f>
        <v>1061.8083333333334</v>
      </c>
      <c r="W10" s="84">
        <v>6</v>
      </c>
      <c r="X10" s="24">
        <f t="shared" si="20"/>
        <v>45347</v>
      </c>
      <c r="Y10" s="22">
        <f t="shared" si="15"/>
        <v>89670</v>
      </c>
      <c r="Z10" s="86">
        <v>75000</v>
      </c>
      <c r="AA10" s="22">
        <f t="shared" si="16"/>
        <v>74996</v>
      </c>
      <c r="AB10" s="22">
        <f t="shared" si="17"/>
        <v>0</v>
      </c>
      <c r="AC10" s="25">
        <f t="shared" si="12"/>
        <v>30673</v>
      </c>
      <c r="AD10" s="44">
        <f t="shared" si="21"/>
        <v>5028067.3</v>
      </c>
      <c r="AE10" s="50">
        <f t="shared" si="13"/>
        <v>5029806.8583333334</v>
      </c>
      <c r="AF10" s="51">
        <f>SUM($AE$3:AE10)</f>
        <v>33480061.594166666</v>
      </c>
    </row>
    <row r="11" spans="1:34" x14ac:dyDescent="0.3">
      <c r="A11" s="84">
        <v>7</v>
      </c>
      <c r="B11" s="10">
        <f t="shared" si="18"/>
        <v>0</v>
      </c>
      <c r="C11" s="87">
        <v>39255</v>
      </c>
      <c r="D11" s="6">
        <f t="shared" si="0"/>
        <v>39255</v>
      </c>
      <c r="E11" s="7">
        <v>39255</v>
      </c>
      <c r="F11" s="8">
        <f t="shared" si="1"/>
        <v>0</v>
      </c>
      <c r="G11" s="8">
        <f t="shared" si="2"/>
        <v>0</v>
      </c>
      <c r="H11" s="8">
        <f t="shared" si="3"/>
        <v>0</v>
      </c>
      <c r="I11" s="33">
        <f t="shared" si="4"/>
        <v>0</v>
      </c>
      <c r="J11" s="32">
        <f t="shared" si="5"/>
        <v>0</v>
      </c>
      <c r="K11" s="84">
        <v>7</v>
      </c>
      <c r="L11" s="10">
        <f t="shared" si="19"/>
        <v>2711</v>
      </c>
      <c r="M11" s="87">
        <v>61618</v>
      </c>
      <c r="N11" s="6">
        <f t="shared" si="6"/>
        <v>64329</v>
      </c>
      <c r="O11" s="7">
        <v>64329</v>
      </c>
      <c r="P11" s="8">
        <f t="shared" si="7"/>
        <v>0</v>
      </c>
      <c r="Q11" s="8">
        <f t="shared" si="8"/>
        <v>0</v>
      </c>
      <c r="R11" s="8">
        <f t="shared" si="9"/>
        <v>0</v>
      </c>
      <c r="S11" s="30">
        <f t="shared" si="10"/>
        <v>0</v>
      </c>
      <c r="T11" s="32">
        <f t="shared" si="11"/>
        <v>0</v>
      </c>
      <c r="U11" s="11">
        <f t="shared" si="14"/>
        <v>221373.5</v>
      </c>
      <c r="V11" s="61">
        <f t="shared" si="22"/>
        <v>6339.8104166666662</v>
      </c>
      <c r="W11" s="84">
        <v>7</v>
      </c>
      <c r="X11" s="24">
        <f t="shared" si="20"/>
        <v>30673</v>
      </c>
      <c r="Y11" s="22">
        <f t="shared" si="15"/>
        <v>100873</v>
      </c>
      <c r="Z11" s="86">
        <v>75000</v>
      </c>
      <c r="AA11" s="22">
        <f t="shared" si="16"/>
        <v>75000</v>
      </c>
      <c r="AB11" s="22">
        <f t="shared" si="17"/>
        <v>0</v>
      </c>
      <c r="AC11" s="25">
        <f t="shared" si="12"/>
        <v>4800</v>
      </c>
      <c r="AD11" s="44">
        <f t="shared" si="21"/>
        <v>5025480</v>
      </c>
      <c r="AE11" s="50">
        <f t="shared" si="13"/>
        <v>5031819.8104166668</v>
      </c>
      <c r="AF11" s="51">
        <f>SUM($AE$3:AE11)</f>
        <v>38511881.404583335</v>
      </c>
    </row>
    <row r="12" spans="1:34" x14ac:dyDescent="0.3">
      <c r="A12" s="84">
        <v>8</v>
      </c>
      <c r="B12" s="10">
        <f t="shared" si="18"/>
        <v>0</v>
      </c>
      <c r="C12" s="87">
        <v>40361</v>
      </c>
      <c r="D12" s="6">
        <f t="shared" si="0"/>
        <v>40361</v>
      </c>
      <c r="E12" s="7">
        <v>40361</v>
      </c>
      <c r="F12" s="8">
        <f t="shared" si="1"/>
        <v>0</v>
      </c>
      <c r="G12" s="8">
        <f t="shared" si="2"/>
        <v>0</v>
      </c>
      <c r="H12" s="8">
        <f t="shared" si="3"/>
        <v>0</v>
      </c>
      <c r="I12" s="33">
        <f t="shared" si="4"/>
        <v>0</v>
      </c>
      <c r="J12" s="32">
        <f t="shared" si="5"/>
        <v>0</v>
      </c>
      <c r="K12" s="84">
        <v>8</v>
      </c>
      <c r="L12" s="10">
        <f t="shared" si="19"/>
        <v>0</v>
      </c>
      <c r="M12" s="87">
        <v>66673</v>
      </c>
      <c r="N12" s="6">
        <f t="shared" si="6"/>
        <v>66673</v>
      </c>
      <c r="O12" s="7">
        <v>66673</v>
      </c>
      <c r="P12" s="8">
        <f t="shared" si="7"/>
        <v>0</v>
      </c>
      <c r="Q12" s="8">
        <f t="shared" si="8"/>
        <v>0</v>
      </c>
      <c r="R12" s="8">
        <f t="shared" si="9"/>
        <v>0</v>
      </c>
      <c r="S12" s="30">
        <f t="shared" si="10"/>
        <v>0</v>
      </c>
      <c r="T12" s="32">
        <f t="shared" si="11"/>
        <v>0</v>
      </c>
      <c r="U12" s="11">
        <f t="shared" si="14"/>
        <v>234248.5</v>
      </c>
      <c r="V12" s="61">
        <f t="shared" si="22"/>
        <v>8861.1645833333332</v>
      </c>
      <c r="W12" s="84">
        <v>8</v>
      </c>
      <c r="X12" s="24">
        <f t="shared" si="20"/>
        <v>4800</v>
      </c>
      <c r="Y12" s="22">
        <f t="shared" si="15"/>
        <v>107034</v>
      </c>
      <c r="Z12" s="86">
        <v>75000</v>
      </c>
      <c r="AA12" s="22">
        <f t="shared" si="16"/>
        <v>75000</v>
      </c>
      <c r="AB12" s="22">
        <f t="shared" si="17"/>
        <v>27234</v>
      </c>
      <c r="AC12" s="25">
        <f t="shared" si="12"/>
        <v>0</v>
      </c>
      <c r="AD12" s="44">
        <f t="shared" si="21"/>
        <v>7339890</v>
      </c>
      <c r="AE12" s="50">
        <f t="shared" si="13"/>
        <v>7348751.1645833338</v>
      </c>
      <c r="AF12" s="51">
        <f>SUM($AE$3:AE12)</f>
        <v>45860632.569166668</v>
      </c>
    </row>
    <row r="13" spans="1:34" x14ac:dyDescent="0.3">
      <c r="A13" s="84">
        <v>9</v>
      </c>
      <c r="B13" s="10">
        <f t="shared" si="18"/>
        <v>0</v>
      </c>
      <c r="C13" s="87">
        <v>33866</v>
      </c>
      <c r="D13" s="6">
        <f t="shared" si="0"/>
        <v>33866</v>
      </c>
      <c r="E13" s="7">
        <v>33866</v>
      </c>
      <c r="F13" s="8">
        <f t="shared" si="1"/>
        <v>0</v>
      </c>
      <c r="G13" s="8">
        <f t="shared" si="2"/>
        <v>0</v>
      </c>
      <c r="H13" s="8">
        <f t="shared" si="3"/>
        <v>0</v>
      </c>
      <c r="I13" s="33">
        <f t="shared" si="4"/>
        <v>0</v>
      </c>
      <c r="J13" s="32">
        <f t="shared" si="5"/>
        <v>0</v>
      </c>
      <c r="K13" s="84">
        <v>9</v>
      </c>
      <c r="L13" s="10">
        <f t="shared" si="19"/>
        <v>0</v>
      </c>
      <c r="M13" s="87">
        <v>57664</v>
      </c>
      <c r="N13" s="6">
        <f t="shared" si="6"/>
        <v>57664</v>
      </c>
      <c r="O13" s="7">
        <v>57664</v>
      </c>
      <c r="P13" s="8">
        <f t="shared" si="7"/>
        <v>0</v>
      </c>
      <c r="Q13" s="8">
        <f t="shared" si="8"/>
        <v>0</v>
      </c>
      <c r="R13" s="8">
        <f t="shared" si="9"/>
        <v>0</v>
      </c>
      <c r="S13" s="30">
        <f t="shared" si="10"/>
        <v>0</v>
      </c>
      <c r="T13" s="32">
        <f t="shared" si="11"/>
        <v>0</v>
      </c>
      <c r="U13" s="11">
        <f t="shared" si="14"/>
        <v>199993</v>
      </c>
      <c r="V13" s="61">
        <f t="shared" si="22"/>
        <v>2152.7958333333331</v>
      </c>
      <c r="W13" s="84">
        <v>9</v>
      </c>
      <c r="X13" s="24">
        <f t="shared" si="20"/>
        <v>0</v>
      </c>
      <c r="Y13" s="22">
        <f t="shared" si="15"/>
        <v>91530</v>
      </c>
      <c r="Z13" s="86">
        <v>75000</v>
      </c>
      <c r="AA13" s="22">
        <f t="shared" si="16"/>
        <v>75000</v>
      </c>
      <c r="AB13" s="22">
        <f t="shared" si="17"/>
        <v>16530</v>
      </c>
      <c r="AC13" s="25">
        <f t="shared" si="12"/>
        <v>0</v>
      </c>
      <c r="AD13" s="44">
        <f t="shared" si="21"/>
        <v>6430050</v>
      </c>
      <c r="AE13" s="50">
        <f t="shared" si="13"/>
        <v>6432202.7958333334</v>
      </c>
      <c r="AF13" s="51">
        <f>SUM($AE$3:AE13)</f>
        <v>52292835.365000002</v>
      </c>
    </row>
    <row r="14" spans="1:34" x14ac:dyDescent="0.3">
      <c r="A14" s="84">
        <v>10</v>
      </c>
      <c r="B14" s="10">
        <f t="shared" si="18"/>
        <v>0</v>
      </c>
      <c r="C14" s="87">
        <v>32082</v>
      </c>
      <c r="D14" s="6">
        <f t="shared" si="0"/>
        <v>32082</v>
      </c>
      <c r="E14" s="7">
        <v>32082</v>
      </c>
      <c r="F14" s="8">
        <f t="shared" si="1"/>
        <v>0</v>
      </c>
      <c r="G14" s="8">
        <f t="shared" si="2"/>
        <v>0</v>
      </c>
      <c r="H14" s="8">
        <f t="shared" si="3"/>
        <v>0</v>
      </c>
      <c r="I14" s="33">
        <f t="shared" si="4"/>
        <v>0</v>
      </c>
      <c r="J14" s="32">
        <f t="shared" si="5"/>
        <v>0</v>
      </c>
      <c r="K14" s="84">
        <v>10</v>
      </c>
      <c r="L14" s="10">
        <f t="shared" si="19"/>
        <v>0</v>
      </c>
      <c r="M14" s="87">
        <v>57107</v>
      </c>
      <c r="N14" s="6">
        <f t="shared" si="6"/>
        <v>57107</v>
      </c>
      <c r="O14" s="7">
        <v>57107</v>
      </c>
      <c r="P14" s="8">
        <f t="shared" si="7"/>
        <v>0</v>
      </c>
      <c r="Q14" s="8">
        <f t="shared" si="8"/>
        <v>0</v>
      </c>
      <c r="R14" s="8">
        <f t="shared" si="9"/>
        <v>0</v>
      </c>
      <c r="S14" s="30">
        <f t="shared" si="10"/>
        <v>0</v>
      </c>
      <c r="T14" s="32">
        <f t="shared" si="11"/>
        <v>0</v>
      </c>
      <c r="U14" s="11">
        <f t="shared" si="14"/>
        <v>194419</v>
      </c>
      <c r="V14" s="61">
        <f t="shared" si="22"/>
        <v>1061.2208333333333</v>
      </c>
      <c r="W14" s="84">
        <v>10</v>
      </c>
      <c r="X14" s="24">
        <f t="shared" si="20"/>
        <v>0</v>
      </c>
      <c r="Y14" s="22">
        <f t="shared" si="15"/>
        <v>89189</v>
      </c>
      <c r="Z14" s="86">
        <v>67215</v>
      </c>
      <c r="AA14" s="22">
        <f t="shared" si="16"/>
        <v>75000</v>
      </c>
      <c r="AB14" s="22">
        <f t="shared" si="17"/>
        <v>14189</v>
      </c>
      <c r="AC14" s="25">
        <f t="shared" si="12"/>
        <v>0</v>
      </c>
      <c r="AD14" s="44">
        <f t="shared" si="21"/>
        <v>5709470</v>
      </c>
      <c r="AE14" s="50">
        <f t="shared" si="13"/>
        <v>5710531.2208333332</v>
      </c>
      <c r="AF14" s="51">
        <f>SUM($AE$3:AE14)</f>
        <v>58003366.585833333</v>
      </c>
    </row>
    <row r="15" spans="1:34" x14ac:dyDescent="0.3">
      <c r="A15" s="84">
        <v>11</v>
      </c>
      <c r="B15" s="10">
        <f t="shared" si="18"/>
        <v>0</v>
      </c>
      <c r="C15" s="87">
        <v>29638</v>
      </c>
      <c r="D15" s="6">
        <f t="shared" si="0"/>
        <v>29638</v>
      </c>
      <c r="E15" s="7">
        <v>29638</v>
      </c>
      <c r="F15" s="8">
        <f t="shared" si="1"/>
        <v>0</v>
      </c>
      <c r="G15" s="8">
        <f t="shared" si="2"/>
        <v>0</v>
      </c>
      <c r="H15" s="8">
        <f t="shared" si="3"/>
        <v>0</v>
      </c>
      <c r="I15" s="33">
        <f t="shared" si="4"/>
        <v>0</v>
      </c>
      <c r="J15" s="32">
        <f t="shared" si="5"/>
        <v>0</v>
      </c>
      <c r="K15" s="84">
        <v>11</v>
      </c>
      <c r="L15" s="10">
        <f t="shared" si="19"/>
        <v>0</v>
      </c>
      <c r="M15" s="87">
        <v>50779</v>
      </c>
      <c r="N15" s="6">
        <f t="shared" si="6"/>
        <v>50779</v>
      </c>
      <c r="O15" s="7">
        <v>50779</v>
      </c>
      <c r="P15" s="8">
        <f t="shared" si="7"/>
        <v>0</v>
      </c>
      <c r="Q15" s="8">
        <f t="shared" si="8"/>
        <v>0</v>
      </c>
      <c r="R15" s="8">
        <f t="shared" si="9"/>
        <v>0</v>
      </c>
      <c r="S15" s="30">
        <f t="shared" si="10"/>
        <v>0</v>
      </c>
      <c r="T15" s="32">
        <f t="shared" si="11"/>
        <v>0</v>
      </c>
      <c r="U15" s="11">
        <f t="shared" si="14"/>
        <v>175653</v>
      </c>
      <c r="V15" s="61">
        <f t="shared" si="22"/>
        <v>0</v>
      </c>
      <c r="W15" s="84">
        <v>11</v>
      </c>
      <c r="X15" s="24">
        <f t="shared" si="20"/>
        <v>0</v>
      </c>
      <c r="Y15" s="22">
        <f t="shared" si="15"/>
        <v>80417</v>
      </c>
      <c r="Z15" s="86">
        <v>64125</v>
      </c>
      <c r="AA15" s="22">
        <f t="shared" si="16"/>
        <v>75000</v>
      </c>
      <c r="AB15" s="22">
        <f t="shared" si="17"/>
        <v>5417</v>
      </c>
      <c r="AC15" s="25">
        <f t="shared" si="12"/>
        <v>0</v>
      </c>
      <c r="AD15" s="44">
        <f t="shared" si="21"/>
        <v>4756820</v>
      </c>
      <c r="AE15" s="50">
        <f t="shared" si="13"/>
        <v>4756820</v>
      </c>
      <c r="AF15" s="51">
        <f>SUM($AE$3:AE15)</f>
        <v>62760186.585833333</v>
      </c>
    </row>
    <row r="16" spans="1:34" x14ac:dyDescent="0.3">
      <c r="A16" s="84">
        <v>12</v>
      </c>
      <c r="B16" s="10">
        <f t="shared" si="18"/>
        <v>0</v>
      </c>
      <c r="C16" s="87">
        <v>21559</v>
      </c>
      <c r="D16" s="6">
        <f t="shared" si="0"/>
        <v>21559</v>
      </c>
      <c r="E16" s="7">
        <v>21559</v>
      </c>
      <c r="F16" s="8">
        <f t="shared" si="1"/>
        <v>0</v>
      </c>
      <c r="G16" s="8">
        <f t="shared" si="2"/>
        <v>0</v>
      </c>
      <c r="H16" s="8">
        <f t="shared" si="3"/>
        <v>0</v>
      </c>
      <c r="I16" s="33">
        <f t="shared" si="4"/>
        <v>0</v>
      </c>
      <c r="J16" s="32">
        <f t="shared" si="5"/>
        <v>0</v>
      </c>
      <c r="K16" s="84">
        <v>12</v>
      </c>
      <c r="L16" s="10">
        <f t="shared" si="19"/>
        <v>0</v>
      </c>
      <c r="M16" s="87">
        <v>45656</v>
      </c>
      <c r="N16" s="6">
        <f t="shared" si="6"/>
        <v>45656</v>
      </c>
      <c r="O16" s="7">
        <v>45656</v>
      </c>
      <c r="P16" s="8">
        <f t="shared" si="7"/>
        <v>0</v>
      </c>
      <c r="Q16" s="8">
        <f t="shared" si="8"/>
        <v>0</v>
      </c>
      <c r="R16" s="8">
        <f t="shared" si="9"/>
        <v>0</v>
      </c>
      <c r="S16" s="30">
        <f t="shared" si="10"/>
        <v>0</v>
      </c>
      <c r="T16" s="32">
        <f t="shared" si="11"/>
        <v>0</v>
      </c>
      <c r="U16" s="11">
        <f t="shared" si="14"/>
        <v>145209.5</v>
      </c>
      <c r="V16" s="61">
        <f t="shared" si="22"/>
        <v>0</v>
      </c>
      <c r="W16" s="84">
        <v>12</v>
      </c>
      <c r="X16" s="24">
        <f t="shared" si="20"/>
        <v>0</v>
      </c>
      <c r="Y16" s="22">
        <f t="shared" si="15"/>
        <v>67215</v>
      </c>
      <c r="Z16" s="86">
        <v>0</v>
      </c>
      <c r="AA16" s="22">
        <f t="shared" si="16"/>
        <v>67215</v>
      </c>
      <c r="AB16" s="22">
        <f t="shared" si="17"/>
        <v>0</v>
      </c>
      <c r="AC16" s="25">
        <f t="shared" si="12"/>
        <v>0</v>
      </c>
      <c r="AD16" s="44">
        <f t="shared" si="21"/>
        <v>0</v>
      </c>
      <c r="AE16" s="50">
        <f t="shared" si="13"/>
        <v>0</v>
      </c>
      <c r="AF16" s="51">
        <f>SUM($AE$3:AE16)</f>
        <v>62760186.585833333</v>
      </c>
    </row>
    <row r="17" spans="1:32" ht="15" thickBot="1" x14ac:dyDescent="0.35">
      <c r="A17" s="84">
        <v>13</v>
      </c>
      <c r="B17" s="12">
        <f t="shared" si="18"/>
        <v>0</v>
      </c>
      <c r="C17" s="85">
        <v>20238</v>
      </c>
      <c r="D17" s="14">
        <f t="shared" si="0"/>
        <v>20238</v>
      </c>
      <c r="E17" s="15">
        <v>20238</v>
      </c>
      <c r="F17" s="13">
        <f t="shared" si="1"/>
        <v>0</v>
      </c>
      <c r="G17" s="13">
        <f t="shared" si="2"/>
        <v>0</v>
      </c>
      <c r="H17" s="13">
        <f t="shared" si="3"/>
        <v>0</v>
      </c>
      <c r="I17" s="57">
        <f>G17*13</f>
        <v>0</v>
      </c>
      <c r="J17" s="58">
        <f>130*H17</f>
        <v>0</v>
      </c>
      <c r="K17" s="84">
        <v>13</v>
      </c>
      <c r="L17" s="12">
        <f t="shared" si="19"/>
        <v>0</v>
      </c>
      <c r="M17" s="85">
        <v>43887</v>
      </c>
      <c r="N17" s="14">
        <f t="shared" si="6"/>
        <v>43887</v>
      </c>
      <c r="O17" s="15">
        <v>43887</v>
      </c>
      <c r="P17" s="13">
        <f t="shared" si="7"/>
        <v>0</v>
      </c>
      <c r="Q17" s="13">
        <f t="shared" si="8"/>
        <v>0</v>
      </c>
      <c r="R17" s="13">
        <f t="shared" si="9"/>
        <v>0</v>
      </c>
      <c r="S17" s="59">
        <f>Q17*10</f>
        <v>0</v>
      </c>
      <c r="T17" s="58">
        <f>100*R17</f>
        <v>0</v>
      </c>
      <c r="U17" s="62">
        <f t="shared" si="14"/>
        <v>138369</v>
      </c>
      <c r="V17" s="61">
        <f t="shared" si="22"/>
        <v>0</v>
      </c>
      <c r="W17" s="84">
        <v>13</v>
      </c>
      <c r="X17" s="26">
        <f t="shared" si="20"/>
        <v>0</v>
      </c>
      <c r="Y17" s="23">
        <f t="shared" si="15"/>
        <v>64125</v>
      </c>
      <c r="Z17" s="83">
        <v>0</v>
      </c>
      <c r="AA17" s="23">
        <f t="shared" si="16"/>
        <v>64125</v>
      </c>
      <c r="AB17" s="23">
        <f t="shared" si="17"/>
        <v>0</v>
      </c>
      <c r="AC17" s="27">
        <f t="shared" si="12"/>
        <v>0</v>
      </c>
      <c r="AD17" s="63">
        <f t="shared" si="21"/>
        <v>0</v>
      </c>
      <c r="AE17" s="64">
        <f t="shared" si="13"/>
        <v>0</v>
      </c>
      <c r="AF17" s="52"/>
    </row>
    <row r="19" spans="1:32" x14ac:dyDescent="0.3">
      <c r="H19" s="31"/>
      <c r="I19" s="31"/>
      <c r="J19" s="31"/>
      <c r="K19" s="31"/>
      <c r="S19"/>
      <c r="AD19"/>
      <c r="AE19"/>
      <c r="AF19"/>
    </row>
    <row r="20" spans="1:32" x14ac:dyDescent="0.3">
      <c r="H20" s="31"/>
      <c r="I20" s="31"/>
      <c r="J20" s="31"/>
      <c r="K20" s="31"/>
      <c r="S20"/>
      <c r="AD20"/>
      <c r="AE20"/>
      <c r="AF20"/>
    </row>
    <row r="21" spans="1:32" x14ac:dyDescent="0.3">
      <c r="S21"/>
      <c r="AD21"/>
      <c r="AE21"/>
      <c r="AF21"/>
    </row>
    <row r="22" spans="1:32" x14ac:dyDescent="0.3">
      <c r="S22"/>
      <c r="AD22"/>
      <c r="AE22"/>
      <c r="AF22"/>
    </row>
    <row r="23" spans="1:32" x14ac:dyDescent="0.3">
      <c r="S23"/>
      <c r="AD23"/>
      <c r="AE23"/>
      <c r="AF23"/>
    </row>
    <row r="24" spans="1:32" x14ac:dyDescent="0.3">
      <c r="S24"/>
      <c r="AD24"/>
      <c r="AE24"/>
      <c r="AF24"/>
    </row>
    <row r="25" spans="1:32" x14ac:dyDescent="0.3">
      <c r="S25"/>
      <c r="AD25"/>
      <c r="AE25"/>
      <c r="AF25"/>
    </row>
    <row r="26" spans="1:32" x14ac:dyDescent="0.3">
      <c r="S26"/>
      <c r="AD26"/>
      <c r="AE26"/>
      <c r="AF26"/>
    </row>
    <row r="27" spans="1:32" x14ac:dyDescent="0.3">
      <c r="S27"/>
      <c r="AD27"/>
      <c r="AE27"/>
      <c r="AF27"/>
    </row>
    <row r="28" spans="1:32" x14ac:dyDescent="0.3">
      <c r="S28"/>
      <c r="AD28"/>
      <c r="AE28"/>
      <c r="AF28"/>
    </row>
    <row r="29" spans="1:32" x14ac:dyDescent="0.3">
      <c r="S29"/>
      <c r="AD29"/>
      <c r="AE29"/>
      <c r="AF29"/>
    </row>
    <row r="30" spans="1:32" x14ac:dyDescent="0.3">
      <c r="S30"/>
      <c r="AD30"/>
      <c r="AE30"/>
      <c r="AF30"/>
    </row>
    <row r="31" spans="1:32" x14ac:dyDescent="0.3">
      <c r="S31"/>
      <c r="AD31"/>
      <c r="AE31"/>
      <c r="AF31"/>
    </row>
    <row r="32" spans="1:32" x14ac:dyDescent="0.3">
      <c r="S32"/>
      <c r="AD32"/>
      <c r="AE32"/>
      <c r="AF32"/>
    </row>
    <row r="33" spans="8:32" x14ac:dyDescent="0.3">
      <c r="S33"/>
      <c r="AD33"/>
      <c r="AE33"/>
      <c r="AF33"/>
    </row>
    <row r="34" spans="8:32" x14ac:dyDescent="0.3">
      <c r="S34"/>
      <c r="AD34"/>
      <c r="AE34"/>
      <c r="AF34"/>
    </row>
    <row r="35" spans="8:32" x14ac:dyDescent="0.3">
      <c r="S35"/>
      <c r="AD35"/>
      <c r="AE35"/>
      <c r="AF35"/>
    </row>
    <row r="36" spans="8:32" x14ac:dyDescent="0.3">
      <c r="S36"/>
      <c r="AD36"/>
      <c r="AE36"/>
      <c r="AF36"/>
    </row>
    <row r="37" spans="8:32" x14ac:dyDescent="0.3">
      <c r="S37"/>
      <c r="AD37"/>
      <c r="AE37"/>
      <c r="AF37"/>
    </row>
    <row r="38" spans="8:32" x14ac:dyDescent="0.3">
      <c r="S38"/>
      <c r="AD38"/>
      <c r="AE38"/>
      <c r="AF38"/>
    </row>
    <row r="39" spans="8:32" x14ac:dyDescent="0.3">
      <c r="S39"/>
      <c r="AD39"/>
      <c r="AE39"/>
      <c r="AF39"/>
    </row>
    <row r="40" spans="8:32" x14ac:dyDescent="0.3">
      <c r="S40"/>
      <c r="AD40"/>
      <c r="AE40"/>
      <c r="AF40"/>
    </row>
    <row r="41" spans="8:32" x14ac:dyDescent="0.3">
      <c r="S41"/>
      <c r="AD41"/>
      <c r="AE41"/>
      <c r="AF41"/>
    </row>
    <row r="42" spans="8:32" x14ac:dyDescent="0.3">
      <c r="S42"/>
      <c r="AD42"/>
      <c r="AE42"/>
      <c r="AF42"/>
    </row>
    <row r="43" spans="8:32" x14ac:dyDescent="0.3">
      <c r="S43"/>
      <c r="AD43"/>
      <c r="AE43"/>
      <c r="AF43"/>
    </row>
    <row r="44" spans="8:32" x14ac:dyDescent="0.3">
      <c r="S44"/>
      <c r="AD44"/>
      <c r="AE44"/>
      <c r="AF44"/>
    </row>
    <row r="45" spans="8:32" x14ac:dyDescent="0.3">
      <c r="S45"/>
      <c r="AD45"/>
      <c r="AE45"/>
      <c r="AF45"/>
    </row>
    <row r="46" spans="8:32" x14ac:dyDescent="0.3">
      <c r="S46"/>
      <c r="AD46"/>
      <c r="AE46"/>
      <c r="AF46"/>
    </row>
    <row r="47" spans="8:32" x14ac:dyDescent="0.3">
      <c r="S47"/>
      <c r="AD47"/>
      <c r="AE47"/>
      <c r="AF47"/>
    </row>
    <row r="48" spans="8:32" x14ac:dyDescent="0.3">
      <c r="H48" s="31"/>
      <c r="I48" s="31"/>
      <c r="J48" s="31"/>
      <c r="K48" s="31"/>
      <c r="S48"/>
      <c r="AD48"/>
      <c r="AE48"/>
      <c r="AF48"/>
    </row>
    <row r="49" spans="8:32" x14ac:dyDescent="0.3">
      <c r="H49" s="31"/>
      <c r="I49" s="31"/>
      <c r="J49" s="31"/>
      <c r="K49" s="31"/>
      <c r="S49"/>
      <c r="AD49"/>
      <c r="AE49"/>
      <c r="AF49"/>
    </row>
    <row r="50" spans="8:32" x14ac:dyDescent="0.3">
      <c r="H50" s="31"/>
      <c r="I50" s="31"/>
      <c r="J50" s="31"/>
      <c r="K50" s="31"/>
      <c r="S50"/>
      <c r="AD50"/>
      <c r="AE50"/>
      <c r="AF50"/>
    </row>
    <row r="51" spans="8:32" x14ac:dyDescent="0.3">
      <c r="H51" s="31"/>
      <c r="I51" s="31"/>
      <c r="J51" s="31"/>
      <c r="K51" s="31"/>
      <c r="S51"/>
      <c r="AD51"/>
      <c r="AE51"/>
      <c r="AF51"/>
    </row>
    <row r="52" spans="8:32" x14ac:dyDescent="0.3">
      <c r="H52" s="31"/>
      <c r="I52" s="31"/>
      <c r="J52" s="31"/>
      <c r="K52" s="31"/>
      <c r="S52"/>
      <c r="AD52"/>
      <c r="AE52"/>
      <c r="AF52"/>
    </row>
    <row r="53" spans="8:32" x14ac:dyDescent="0.3">
      <c r="H53" s="31"/>
      <c r="I53" s="31"/>
      <c r="J53" s="31"/>
      <c r="K53" s="31"/>
      <c r="S53"/>
      <c r="AD53"/>
      <c r="AE53"/>
      <c r="AF53"/>
    </row>
    <row r="54" spans="8:32" x14ac:dyDescent="0.3">
      <c r="H54" s="31"/>
      <c r="I54" s="31"/>
      <c r="J54" s="31"/>
      <c r="K54" s="31"/>
      <c r="S54"/>
      <c r="AD54"/>
      <c r="AE54"/>
      <c r="AF54"/>
    </row>
    <row r="55" spans="8:32" x14ac:dyDescent="0.3">
      <c r="H55" s="31"/>
      <c r="I55" s="31"/>
      <c r="J55" s="31"/>
      <c r="K55" s="31"/>
      <c r="S55"/>
      <c r="AD55"/>
      <c r="AE55"/>
      <c r="AF55"/>
    </row>
    <row r="56" spans="8:32" x14ac:dyDescent="0.3">
      <c r="H56" s="31"/>
      <c r="I56" s="31"/>
      <c r="J56" s="31"/>
      <c r="K56" s="31"/>
      <c r="S56"/>
      <c r="AD56"/>
      <c r="AE56"/>
      <c r="AF56"/>
    </row>
    <row r="57" spans="8:32" x14ac:dyDescent="0.3">
      <c r="H57" s="31"/>
      <c r="I57" s="31"/>
      <c r="J57" s="31"/>
      <c r="K57" s="31"/>
      <c r="S57"/>
      <c r="AD57"/>
      <c r="AE57"/>
      <c r="AF57"/>
    </row>
    <row r="58" spans="8:32" x14ac:dyDescent="0.3">
      <c r="H58" s="31"/>
      <c r="I58" s="31"/>
      <c r="J58" s="31"/>
      <c r="K58" s="31"/>
      <c r="S58"/>
      <c r="AD58"/>
      <c r="AE58"/>
      <c r="AF58"/>
    </row>
    <row r="59" spans="8:32" x14ac:dyDescent="0.3">
      <c r="H59" s="31"/>
      <c r="I59" s="31"/>
      <c r="J59" s="31"/>
      <c r="K59" s="31"/>
      <c r="S59"/>
      <c r="AD59"/>
      <c r="AE59"/>
      <c r="AF59"/>
    </row>
    <row r="60" spans="8:32" x14ac:dyDescent="0.3">
      <c r="H60" s="31"/>
      <c r="I60" s="31"/>
      <c r="J60" s="31"/>
      <c r="K60" s="31"/>
      <c r="S60"/>
      <c r="AD60"/>
      <c r="AE60"/>
      <c r="AF60"/>
    </row>
    <row r="61" spans="8:32" x14ac:dyDescent="0.3">
      <c r="H61" s="31"/>
      <c r="I61" s="31"/>
      <c r="J61" s="31"/>
      <c r="K61" s="31"/>
      <c r="S61"/>
      <c r="AD61"/>
      <c r="AE61"/>
      <c r="AF61"/>
    </row>
    <row r="62" spans="8:32" x14ac:dyDescent="0.3">
      <c r="H62" s="31"/>
      <c r="I62" s="31"/>
      <c r="J62" s="31"/>
      <c r="K62" s="31"/>
      <c r="S62"/>
      <c r="AD62"/>
      <c r="AE62"/>
      <c r="AF62"/>
    </row>
    <row r="63" spans="8:32" x14ac:dyDescent="0.3">
      <c r="H63" s="31"/>
      <c r="I63" s="31"/>
      <c r="J63" s="31"/>
      <c r="K63" s="31"/>
      <c r="S63"/>
      <c r="AD63"/>
      <c r="AE63"/>
      <c r="AF63"/>
    </row>
    <row r="64" spans="8:32" x14ac:dyDescent="0.3">
      <c r="H64" s="31"/>
      <c r="I64" s="31"/>
      <c r="J64" s="31"/>
      <c r="K64" s="31"/>
      <c r="S64"/>
      <c r="AD64"/>
      <c r="AE64"/>
      <c r="AF64"/>
    </row>
    <row r="65" spans="8:32" x14ac:dyDescent="0.3">
      <c r="H65" s="31"/>
      <c r="I65" s="31"/>
      <c r="J65" s="31"/>
      <c r="K65" s="31"/>
      <c r="S65"/>
      <c r="AD65"/>
      <c r="AE65"/>
      <c r="AF65"/>
    </row>
    <row r="66" spans="8:32" x14ac:dyDescent="0.3">
      <c r="H66" s="31"/>
      <c r="I66" s="31"/>
      <c r="J66" s="31"/>
      <c r="K66" s="31"/>
      <c r="S66"/>
      <c r="AD66"/>
      <c r="AE66"/>
      <c r="AF66"/>
    </row>
    <row r="67" spans="8:32" x14ac:dyDescent="0.3">
      <c r="H67" s="31"/>
      <c r="I67" s="31"/>
      <c r="J67" s="31"/>
      <c r="K67" s="31"/>
      <c r="S67"/>
      <c r="AD67"/>
      <c r="AE67"/>
      <c r="AF67"/>
    </row>
    <row r="68" spans="8:32" x14ac:dyDescent="0.3">
      <c r="H68" s="31"/>
      <c r="I68" s="31"/>
      <c r="J68" s="31"/>
      <c r="K68" s="31"/>
      <c r="S68"/>
      <c r="AD68"/>
      <c r="AE68"/>
      <c r="AF68"/>
    </row>
    <row r="69" spans="8:32" x14ac:dyDescent="0.3">
      <c r="H69" s="31"/>
      <c r="I69" s="31"/>
      <c r="J69" s="31"/>
      <c r="K69" s="31"/>
      <c r="S69"/>
      <c r="AD69"/>
      <c r="AE69"/>
      <c r="AF69"/>
    </row>
    <row r="70" spans="8:32" x14ac:dyDescent="0.3">
      <c r="H70" s="31"/>
      <c r="I70" s="31"/>
      <c r="J70" s="31"/>
      <c r="K70" s="31"/>
      <c r="S70"/>
      <c r="AD70"/>
      <c r="AE70"/>
      <c r="AF70"/>
    </row>
    <row r="71" spans="8:32" x14ac:dyDescent="0.3">
      <c r="H71" s="31"/>
      <c r="I71" s="31"/>
      <c r="J71" s="31"/>
      <c r="K71" s="31"/>
      <c r="S71"/>
      <c r="AD71"/>
      <c r="AE71"/>
      <c r="AF71"/>
    </row>
    <row r="72" spans="8:32" x14ac:dyDescent="0.3">
      <c r="H72" s="31"/>
      <c r="I72" s="31"/>
      <c r="J72" s="31"/>
      <c r="K72" s="31"/>
      <c r="S72"/>
      <c r="AD72"/>
      <c r="AE72"/>
      <c r="AF72"/>
    </row>
    <row r="73" spans="8:32" x14ac:dyDescent="0.3">
      <c r="H73" s="31"/>
      <c r="I73" s="31"/>
      <c r="J73" s="31"/>
      <c r="K73" s="31"/>
      <c r="S73"/>
      <c r="AD73"/>
      <c r="AE73"/>
      <c r="AF73"/>
    </row>
    <row r="74" spans="8:32" x14ac:dyDescent="0.3">
      <c r="H74" s="31"/>
      <c r="I74" s="31"/>
      <c r="J74" s="31"/>
      <c r="K74" s="31"/>
      <c r="S74"/>
      <c r="AD74"/>
      <c r="AE74"/>
      <c r="AF74"/>
    </row>
    <row r="75" spans="8:32" x14ac:dyDescent="0.3">
      <c r="H75" s="31"/>
      <c r="I75" s="31"/>
      <c r="J75" s="31"/>
      <c r="K75" s="31"/>
      <c r="S75"/>
      <c r="AD75"/>
      <c r="AE75"/>
      <c r="AF75"/>
    </row>
    <row r="76" spans="8:32" x14ac:dyDescent="0.3">
      <c r="H76" s="31"/>
      <c r="I76" s="31"/>
      <c r="J76" s="31"/>
      <c r="K76" s="31"/>
      <c r="S76"/>
      <c r="AD76"/>
      <c r="AE76"/>
      <c r="AF76"/>
    </row>
    <row r="77" spans="8:32" x14ac:dyDescent="0.3">
      <c r="H77" s="31"/>
      <c r="I77" s="31"/>
      <c r="J77" s="31"/>
      <c r="K77" s="31"/>
      <c r="S77"/>
      <c r="AD77"/>
      <c r="AE77"/>
      <c r="AF77"/>
    </row>
    <row r="78" spans="8:32" x14ac:dyDescent="0.3">
      <c r="H78" s="31"/>
      <c r="I78" s="31"/>
      <c r="J78" s="31"/>
      <c r="K78" s="31"/>
      <c r="S78"/>
      <c r="AD78"/>
      <c r="AE78"/>
      <c r="AF78"/>
    </row>
    <row r="79" spans="8:32" x14ac:dyDescent="0.3">
      <c r="H79" s="31"/>
      <c r="I79" s="31"/>
      <c r="J79" s="31"/>
      <c r="K79" s="31"/>
      <c r="S79"/>
      <c r="AD79"/>
      <c r="AE79"/>
      <c r="AF79"/>
    </row>
    <row r="80" spans="8:32" x14ac:dyDescent="0.3">
      <c r="H80" s="31"/>
      <c r="I80" s="31"/>
      <c r="J80" s="31"/>
      <c r="K80" s="31"/>
      <c r="S80"/>
      <c r="AD80"/>
      <c r="AE80"/>
      <c r="AF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9464-0B1C-4123-9947-07713B456388}">
  <dimension ref="A1:AE119"/>
  <sheetViews>
    <sheetView zoomScale="70" zoomScaleNormal="70" workbookViewId="0">
      <selection activeCell="T81" sqref="T81"/>
    </sheetView>
  </sheetViews>
  <sheetFormatPr defaultRowHeight="14.4" x14ac:dyDescent="0.3"/>
  <cols>
    <col min="11" max="11" width="10.88671875" customWidth="1"/>
    <col min="20" max="20" width="14.77734375" bestFit="1" customWidth="1"/>
    <col min="22" max="22" width="12" customWidth="1"/>
  </cols>
  <sheetData>
    <row r="1" spans="1:31" x14ac:dyDescent="0.3">
      <c r="L1" s="93" t="s">
        <v>60</v>
      </c>
      <c r="M1" s="93"/>
      <c r="N1" s="93"/>
      <c r="O1" s="93"/>
      <c r="P1" s="93"/>
      <c r="Q1" s="93"/>
      <c r="R1" s="93"/>
      <c r="S1" s="93"/>
      <c r="T1" s="93"/>
      <c r="U1" s="93"/>
      <c r="W1" s="93" t="s">
        <v>50</v>
      </c>
      <c r="X1" s="93"/>
      <c r="Y1" s="93"/>
      <c r="Z1" s="93"/>
      <c r="AA1" s="93"/>
      <c r="AB1" s="93"/>
      <c r="AC1" s="93"/>
      <c r="AD1" s="93"/>
      <c r="AE1" s="93"/>
    </row>
    <row r="2" spans="1:31" x14ac:dyDescent="0.3">
      <c r="A2" s="9"/>
      <c r="B2" s="67">
        <v>2014</v>
      </c>
      <c r="C2" s="67">
        <v>2015</v>
      </c>
      <c r="D2" s="67">
        <v>2016</v>
      </c>
      <c r="E2" s="67">
        <v>2017</v>
      </c>
      <c r="F2" s="67">
        <v>2018</v>
      </c>
      <c r="G2" s="67">
        <v>2019</v>
      </c>
      <c r="H2" s="67">
        <v>2020</v>
      </c>
      <c r="I2" s="67">
        <v>2021</v>
      </c>
      <c r="L2" t="s">
        <v>38</v>
      </c>
      <c r="M2" t="s">
        <v>0</v>
      </c>
      <c r="N2" t="s">
        <v>39</v>
      </c>
      <c r="O2" t="s">
        <v>40</v>
      </c>
      <c r="P2" t="s">
        <v>41</v>
      </c>
      <c r="Q2" t="s">
        <v>47</v>
      </c>
      <c r="R2" t="s">
        <v>48</v>
      </c>
      <c r="S2" t="s">
        <v>46</v>
      </c>
      <c r="T2" t="s">
        <v>42</v>
      </c>
      <c r="W2" t="s">
        <v>38</v>
      </c>
      <c r="X2" t="s">
        <v>0</v>
      </c>
      <c r="Y2" t="s">
        <v>39</v>
      </c>
      <c r="Z2" t="s">
        <v>40</v>
      </c>
      <c r="AA2" t="s">
        <v>41</v>
      </c>
      <c r="AB2" t="s">
        <v>47</v>
      </c>
      <c r="AC2" t="s">
        <v>48</v>
      </c>
      <c r="AD2" t="s">
        <v>46</v>
      </c>
      <c r="AE2" t="s">
        <v>51</v>
      </c>
    </row>
    <row r="3" spans="1:31" x14ac:dyDescent="0.3">
      <c r="A3" s="68" t="s">
        <v>25</v>
      </c>
      <c r="B3" s="53">
        <v>18500</v>
      </c>
      <c r="C3" s="53">
        <v>20000</v>
      </c>
      <c r="D3" s="53">
        <v>20500</v>
      </c>
      <c r="E3" s="9">
        <v>22500</v>
      </c>
      <c r="F3" s="9">
        <v>22500</v>
      </c>
      <c r="G3" s="9">
        <v>22500</v>
      </c>
      <c r="H3" s="9">
        <v>24500</v>
      </c>
      <c r="I3" s="9">
        <v>23400</v>
      </c>
      <c r="K3" s="94" t="s">
        <v>61</v>
      </c>
      <c r="L3">
        <v>-25</v>
      </c>
      <c r="M3">
        <v>18500</v>
      </c>
      <c r="P3">
        <f>M3/($B$16-(6*$N$28))</f>
        <v>0.70504002706054791</v>
      </c>
      <c r="S3">
        <v>1</v>
      </c>
      <c r="T3">
        <f>AVERAGE(P3,P16)</f>
        <v>0.73030027507045503</v>
      </c>
      <c r="V3" s="94" t="s">
        <v>61</v>
      </c>
      <c r="W3">
        <v>-38</v>
      </c>
      <c r="X3">
        <v>18500</v>
      </c>
      <c r="AA3">
        <f>X3/($B$16-(6*$N$28))</f>
        <v>0.70504002706054791</v>
      </c>
      <c r="AD3">
        <v>1</v>
      </c>
      <c r="AE3">
        <f>AVERAGE(AA3,AA16,AA29)</f>
        <v>0.73184634375365931</v>
      </c>
    </row>
    <row r="4" spans="1:31" x14ac:dyDescent="0.3">
      <c r="A4" s="68" t="s">
        <v>26</v>
      </c>
      <c r="B4" s="53">
        <v>22500</v>
      </c>
      <c r="C4" s="53">
        <v>23000</v>
      </c>
      <c r="D4" s="53">
        <v>24500</v>
      </c>
      <c r="E4" s="9">
        <v>25500</v>
      </c>
      <c r="F4" s="9">
        <v>25500</v>
      </c>
      <c r="G4" s="9">
        <v>25500</v>
      </c>
      <c r="H4" s="9">
        <v>27500</v>
      </c>
      <c r="I4" s="9">
        <v>25700</v>
      </c>
      <c r="K4" s="94"/>
      <c r="L4">
        <v>-24</v>
      </c>
      <c r="M4">
        <v>22500</v>
      </c>
      <c r="P4">
        <f>M4/($B$16-5*$N$28)</f>
        <v>0.85690140845070417</v>
      </c>
      <c r="S4">
        <v>2</v>
      </c>
      <c r="T4">
        <f t="shared" ref="T4:T15" si="0">AVERAGE(P4,P17)</f>
        <v>0.86260685300229833</v>
      </c>
      <c r="V4" s="94"/>
      <c r="W4">
        <v>-37</v>
      </c>
      <c r="X4">
        <v>22500</v>
      </c>
      <c r="AA4">
        <f>X4/($B$16-5*$N$28)</f>
        <v>0.85690140845070417</v>
      </c>
      <c r="AD4">
        <v>2</v>
      </c>
      <c r="AE4">
        <f t="shared" ref="AE4:AE15" si="1">AVERAGE(AA4,AA17,AA30)</f>
        <v>0.86766539829154699</v>
      </c>
    </row>
    <row r="5" spans="1:31" x14ac:dyDescent="0.3">
      <c r="A5" s="68" t="s">
        <v>27</v>
      </c>
      <c r="B5" s="53">
        <v>23500</v>
      </c>
      <c r="C5" s="53">
        <v>23500</v>
      </c>
      <c r="D5" s="53">
        <v>25000</v>
      </c>
      <c r="E5" s="9">
        <v>26000</v>
      </c>
      <c r="F5" s="9">
        <v>26500</v>
      </c>
      <c r="G5" s="9">
        <v>26000</v>
      </c>
      <c r="H5" s="9">
        <v>28000</v>
      </c>
      <c r="I5" s="9">
        <v>25400</v>
      </c>
      <c r="K5" s="94"/>
      <c r="L5">
        <v>-23</v>
      </c>
      <c r="M5">
        <v>23500</v>
      </c>
      <c r="P5">
        <f>M5/($B$16-4*$N$28)</f>
        <v>0.89438126337124191</v>
      </c>
      <c r="S5">
        <v>3</v>
      </c>
      <c r="T5">
        <f t="shared" si="0"/>
        <v>0.89048787468149104</v>
      </c>
      <c r="V5" s="94"/>
      <c r="W5">
        <v>-36</v>
      </c>
      <c r="X5">
        <v>23500</v>
      </c>
      <c r="AA5">
        <f>X5/($B$16-4*$N$28)</f>
        <v>0.89438126337124191</v>
      </c>
      <c r="AD5">
        <v>3</v>
      </c>
      <c r="AE5">
        <f t="shared" si="1"/>
        <v>0.89203428933568329</v>
      </c>
    </row>
    <row r="6" spans="1:31" x14ac:dyDescent="0.3">
      <c r="A6" s="68" t="s">
        <v>28</v>
      </c>
      <c r="B6" s="53">
        <v>24000</v>
      </c>
      <c r="C6" s="53">
        <v>24000</v>
      </c>
      <c r="D6" s="53">
        <v>25500</v>
      </c>
      <c r="E6" s="9">
        <v>26500</v>
      </c>
      <c r="F6" s="9">
        <v>26500</v>
      </c>
      <c r="G6" s="9">
        <v>26500</v>
      </c>
      <c r="H6" s="9">
        <v>28000</v>
      </c>
      <c r="I6" s="9">
        <v>26000</v>
      </c>
      <c r="K6" s="94"/>
      <c r="L6">
        <v>-22</v>
      </c>
      <c r="M6">
        <v>24000</v>
      </c>
      <c r="P6">
        <f>M6/($B$16-3*$N$28)</f>
        <v>0.91279396871835261</v>
      </c>
      <c r="S6">
        <v>4</v>
      </c>
      <c r="T6">
        <f t="shared" si="0"/>
        <v>0.90882308586503235</v>
      </c>
      <c r="V6" s="94"/>
      <c r="W6">
        <v>-35</v>
      </c>
      <c r="X6">
        <v>24000</v>
      </c>
      <c r="AA6">
        <f>X6/($B$16-3*$N$28)</f>
        <v>0.91279396871835261</v>
      </c>
      <c r="AD6">
        <v>4</v>
      </c>
      <c r="AE6">
        <f t="shared" si="1"/>
        <v>0.91003196196493008</v>
      </c>
    </row>
    <row r="7" spans="1:31" x14ac:dyDescent="0.3">
      <c r="A7" s="68" t="s">
        <v>29</v>
      </c>
      <c r="B7" s="53">
        <v>27500</v>
      </c>
      <c r="C7" s="53">
        <v>27500</v>
      </c>
      <c r="D7" s="53">
        <v>28500</v>
      </c>
      <c r="E7" s="9">
        <v>30000</v>
      </c>
      <c r="F7" s="9">
        <v>30500</v>
      </c>
      <c r="G7" s="9">
        <v>30500</v>
      </c>
      <c r="H7" s="9">
        <v>31500</v>
      </c>
      <c r="I7" s="9">
        <v>30400</v>
      </c>
      <c r="K7" s="94"/>
      <c r="L7">
        <v>-21</v>
      </c>
      <c r="M7">
        <v>27500</v>
      </c>
      <c r="P7">
        <f>M7/($B$16-2*$N$28)</f>
        <v>1.045204093106938</v>
      </c>
      <c r="S7">
        <v>5</v>
      </c>
      <c r="T7">
        <f t="shared" si="0"/>
        <v>1.0406602340465021</v>
      </c>
      <c r="V7" s="94"/>
      <c r="W7">
        <v>-34</v>
      </c>
      <c r="X7">
        <v>27500</v>
      </c>
      <c r="AA7">
        <f>X7/($B$16-2*$N$28)</f>
        <v>1.045204093106938</v>
      </c>
      <c r="AD7">
        <v>5</v>
      </c>
      <c r="AE7">
        <f t="shared" si="1"/>
        <v>1.0334899514887528</v>
      </c>
    </row>
    <row r="8" spans="1:31" x14ac:dyDescent="0.3">
      <c r="A8" s="68" t="s">
        <v>30</v>
      </c>
      <c r="B8" s="53">
        <v>31000</v>
      </c>
      <c r="C8" s="53">
        <v>32000</v>
      </c>
      <c r="D8" s="53">
        <v>32500</v>
      </c>
      <c r="E8" s="9">
        <v>34500</v>
      </c>
      <c r="F8" s="9">
        <v>34500</v>
      </c>
      <c r="G8" s="9">
        <v>34000</v>
      </c>
      <c r="H8" s="9">
        <v>35000</v>
      </c>
      <c r="I8" s="9">
        <v>33900</v>
      </c>
      <c r="K8" s="94"/>
      <c r="L8">
        <v>-20</v>
      </c>
      <c r="M8">
        <v>31000</v>
      </c>
      <c r="P8">
        <f>M8/($B$16-1*$N$28)</f>
        <v>1.1774356669288684</v>
      </c>
      <c r="S8">
        <v>6</v>
      </c>
      <c r="T8">
        <f t="shared" si="0"/>
        <v>1.191146261669848</v>
      </c>
      <c r="V8" s="94"/>
      <c r="W8">
        <v>-33</v>
      </c>
      <c r="X8">
        <v>31000</v>
      </c>
      <c r="AA8">
        <f>X8/($B$16-1*$N$28)</f>
        <v>1.1774356669288684</v>
      </c>
      <c r="AD8">
        <v>6</v>
      </c>
      <c r="AE8">
        <f t="shared" si="1"/>
        <v>1.1812477157167425</v>
      </c>
    </row>
    <row r="9" spans="1:31" x14ac:dyDescent="0.3">
      <c r="A9" s="68" t="s">
        <v>31</v>
      </c>
      <c r="B9" s="53">
        <v>36000</v>
      </c>
      <c r="C9" s="53">
        <v>37000</v>
      </c>
      <c r="D9" s="53">
        <v>38500</v>
      </c>
      <c r="E9" s="9">
        <v>39000</v>
      </c>
      <c r="F9" s="9">
        <v>39000</v>
      </c>
      <c r="G9" s="9">
        <v>39000</v>
      </c>
      <c r="H9" s="9">
        <v>40500</v>
      </c>
      <c r="I9" s="9">
        <v>38200</v>
      </c>
      <c r="K9" s="94"/>
      <c r="L9">
        <v>-19</v>
      </c>
      <c r="M9">
        <v>36000</v>
      </c>
      <c r="P9">
        <f>M9/($B$16-0*$N$28)</f>
        <v>1.3664233576642335</v>
      </c>
      <c r="S9">
        <v>7</v>
      </c>
      <c r="T9">
        <f t="shared" si="0"/>
        <v>1.379304298224302</v>
      </c>
      <c r="V9" s="94"/>
      <c r="W9">
        <v>-32</v>
      </c>
      <c r="X9">
        <v>36000</v>
      </c>
      <c r="AA9">
        <f>X9/($B$16-0*$N$28)</f>
        <v>1.3664233576642335</v>
      </c>
      <c r="AD9">
        <v>7</v>
      </c>
      <c r="AE9">
        <f t="shared" si="1"/>
        <v>1.3778695321495347</v>
      </c>
    </row>
    <row r="10" spans="1:31" x14ac:dyDescent="0.3">
      <c r="A10" s="68" t="s">
        <v>32</v>
      </c>
      <c r="B10" s="53">
        <v>37500</v>
      </c>
      <c r="C10" s="53">
        <v>38000</v>
      </c>
      <c r="D10" s="53">
        <v>38500</v>
      </c>
      <c r="E10" s="9">
        <v>40000</v>
      </c>
      <c r="F10" s="9">
        <v>40000</v>
      </c>
      <c r="G10" s="9">
        <v>40500</v>
      </c>
      <c r="H10" s="9">
        <v>42500</v>
      </c>
      <c r="I10" s="9">
        <v>40200</v>
      </c>
      <c r="K10" s="94"/>
      <c r="L10">
        <v>-18</v>
      </c>
      <c r="M10">
        <v>37500</v>
      </c>
      <c r="P10">
        <f>M10/($B$16-(-1)*$N$28)</f>
        <v>1.4223992817865558</v>
      </c>
      <c r="S10">
        <v>8</v>
      </c>
      <c r="T10">
        <f t="shared" si="0"/>
        <v>1.4256283871386888</v>
      </c>
      <c r="V10" s="94"/>
      <c r="W10">
        <v>-31</v>
      </c>
      <c r="X10">
        <v>37500</v>
      </c>
      <c r="AA10">
        <f>X10/($B$16-(-1)*$N$28)</f>
        <v>1.4223992817865558</v>
      </c>
      <c r="AD10">
        <v>8</v>
      </c>
      <c r="AE10">
        <f t="shared" si="1"/>
        <v>1.4084618673849618</v>
      </c>
    </row>
    <row r="11" spans="1:31" x14ac:dyDescent="0.3">
      <c r="A11" s="68" t="s">
        <v>33</v>
      </c>
      <c r="B11" s="53">
        <v>30500</v>
      </c>
      <c r="C11" s="53">
        <v>30000</v>
      </c>
      <c r="D11" s="53">
        <v>32500</v>
      </c>
      <c r="E11" s="9">
        <v>33000</v>
      </c>
      <c r="F11" s="9">
        <v>33000</v>
      </c>
      <c r="G11" s="9">
        <v>33500</v>
      </c>
      <c r="H11" s="9">
        <v>35500</v>
      </c>
      <c r="I11" s="9">
        <v>34200</v>
      </c>
      <c r="K11" s="94"/>
      <c r="L11">
        <v>-17</v>
      </c>
      <c r="M11">
        <v>30500</v>
      </c>
      <c r="P11">
        <f>M11/($B$16-(-2)*$N$28)</f>
        <v>1.1561063137826624</v>
      </c>
      <c r="S11">
        <v>9</v>
      </c>
      <c r="T11">
        <f t="shared" si="0"/>
        <v>1.1416996271525874</v>
      </c>
      <c r="V11" s="94"/>
      <c r="W11">
        <v>-30</v>
      </c>
      <c r="X11">
        <v>30500</v>
      </c>
      <c r="AA11">
        <f>X11/($B$16-(-2)*$N$28)</f>
        <v>1.1561063137826624</v>
      </c>
      <c r="AD11">
        <v>9</v>
      </c>
      <c r="AE11">
        <f t="shared" si="1"/>
        <v>1.1475478870759757</v>
      </c>
    </row>
    <row r="12" spans="1:31" x14ac:dyDescent="0.3">
      <c r="A12" s="68" t="s">
        <v>34</v>
      </c>
      <c r="B12" s="53">
        <v>29500</v>
      </c>
      <c r="C12" s="53">
        <v>29000</v>
      </c>
      <c r="D12" s="53">
        <v>30500</v>
      </c>
      <c r="E12" s="9">
        <v>32500</v>
      </c>
      <c r="F12" s="9">
        <v>32000</v>
      </c>
      <c r="G12" s="9">
        <v>32000</v>
      </c>
      <c r="H12" s="9">
        <v>34000</v>
      </c>
      <c r="I12" s="9">
        <v>31500</v>
      </c>
      <c r="K12" s="94"/>
      <c r="L12">
        <v>-16</v>
      </c>
      <c r="M12">
        <v>29500</v>
      </c>
      <c r="P12">
        <f>M12/($B$16-(-3)*$N$28)</f>
        <v>1.1174492883559342</v>
      </c>
      <c r="S12">
        <v>10</v>
      </c>
      <c r="T12">
        <f t="shared" si="0"/>
        <v>1.1032197002828443</v>
      </c>
      <c r="V12" s="94"/>
      <c r="W12">
        <v>-29</v>
      </c>
      <c r="X12">
        <v>29500</v>
      </c>
      <c r="AA12">
        <f>X12/($B$16-(-3)*$N$28)</f>
        <v>1.1174492883559342</v>
      </c>
      <c r="AD12">
        <v>10</v>
      </c>
      <c r="AE12">
        <f t="shared" si="1"/>
        <v>1.0978857623625065</v>
      </c>
    </row>
    <row r="13" spans="1:31" x14ac:dyDescent="0.3">
      <c r="A13" s="68" t="s">
        <v>35</v>
      </c>
      <c r="B13" s="53">
        <v>26500</v>
      </c>
      <c r="C13" s="53">
        <v>26000</v>
      </c>
      <c r="D13" s="53">
        <v>28500</v>
      </c>
      <c r="E13" s="9">
        <v>29500</v>
      </c>
      <c r="F13" s="9">
        <v>29500</v>
      </c>
      <c r="G13" s="9">
        <v>29000</v>
      </c>
      <c r="H13" s="9">
        <v>30000</v>
      </c>
      <c r="I13" s="9">
        <v>30000</v>
      </c>
      <c r="K13" s="94"/>
      <c r="L13">
        <v>-15</v>
      </c>
      <c r="M13">
        <v>26500</v>
      </c>
      <c r="P13">
        <f>M13/($B$16-(-4)*$N$28)</f>
        <v>1.0031358494792249</v>
      </c>
      <c r="S13">
        <v>11</v>
      </c>
      <c r="T13">
        <f t="shared" si="0"/>
        <v>0.98941071368154643</v>
      </c>
      <c r="V13" s="94"/>
      <c r="W13">
        <v>-28</v>
      </c>
      <c r="X13">
        <v>26500</v>
      </c>
      <c r="AA13">
        <f>X13/($B$16-(-4)*$N$28)</f>
        <v>1.0031358494792249</v>
      </c>
      <c r="AD13">
        <v>11</v>
      </c>
      <c r="AE13">
        <f t="shared" si="1"/>
        <v>1.0008756898387257</v>
      </c>
    </row>
    <row r="14" spans="1:31" x14ac:dyDescent="0.3">
      <c r="A14" s="68" t="s">
        <v>36</v>
      </c>
      <c r="B14" s="53">
        <v>18000</v>
      </c>
      <c r="C14" s="53">
        <v>18000</v>
      </c>
      <c r="D14" s="53">
        <v>20500</v>
      </c>
      <c r="E14" s="9">
        <v>21500</v>
      </c>
      <c r="F14" s="9">
        <v>21000</v>
      </c>
      <c r="G14" s="9">
        <v>21500</v>
      </c>
      <c r="H14" s="9">
        <v>22500</v>
      </c>
      <c r="I14" s="9">
        <v>21700</v>
      </c>
      <c r="K14" s="94"/>
      <c r="L14">
        <v>-14</v>
      </c>
      <c r="M14">
        <v>18000</v>
      </c>
      <c r="P14">
        <f>M14/($B$16-(-5)*$N$28)</f>
        <v>0.680917739227756</v>
      </c>
      <c r="S14">
        <v>12</v>
      </c>
      <c r="T14">
        <f t="shared" si="0"/>
        <v>0.67797135158436506</v>
      </c>
      <c r="V14" s="94"/>
      <c r="W14">
        <v>-27</v>
      </c>
      <c r="X14">
        <v>18000</v>
      </c>
      <c r="AA14">
        <f>X14/($B$16-(-5)*$N$28)</f>
        <v>0.680917739227756</v>
      </c>
      <c r="AD14">
        <v>12</v>
      </c>
      <c r="AE14">
        <f t="shared" si="1"/>
        <v>0.69525735636134833</v>
      </c>
    </row>
    <row r="15" spans="1:31" x14ac:dyDescent="0.3">
      <c r="A15" s="68" t="s">
        <v>37</v>
      </c>
      <c r="B15" s="53">
        <v>17500</v>
      </c>
      <c r="C15" s="53">
        <v>17500</v>
      </c>
      <c r="D15" s="53">
        <v>18500</v>
      </c>
      <c r="E15" s="9">
        <v>20000</v>
      </c>
      <c r="F15" s="9">
        <v>20500</v>
      </c>
      <c r="G15" s="9">
        <v>20500</v>
      </c>
      <c r="H15" s="9">
        <v>22000</v>
      </c>
      <c r="I15" s="9">
        <v>21200</v>
      </c>
      <c r="K15" s="94"/>
      <c r="L15" s="65">
        <v>-13</v>
      </c>
      <c r="M15" s="65">
        <v>17500</v>
      </c>
      <c r="N15" s="66"/>
      <c r="O15" s="66"/>
      <c r="P15" s="66">
        <f>M15/($B$16-(-6)*$N$28)</f>
        <v>0.66155910971927079</v>
      </c>
      <c r="S15">
        <v>13</v>
      </c>
      <c r="T15">
        <f t="shared" si="0"/>
        <v>0.6586983928682838</v>
      </c>
      <c r="V15" s="94"/>
      <c r="W15" s="65">
        <v>-26</v>
      </c>
      <c r="X15" s="65">
        <v>17500</v>
      </c>
      <c r="Y15" s="66"/>
      <c r="Z15" s="66"/>
      <c r="AA15" s="66">
        <f>X15/($B$16-(-6)*$N$28)</f>
        <v>0.66155910971927079</v>
      </c>
      <c r="AD15">
        <v>13</v>
      </c>
      <c r="AE15">
        <f t="shared" si="1"/>
        <v>0.65853577068411895</v>
      </c>
    </row>
    <row r="16" spans="1:31" x14ac:dyDescent="0.3">
      <c r="A16" s="76" t="s">
        <v>62</v>
      </c>
      <c r="B16" s="77">
        <f>AVERAGE(B3:B15)</f>
        <v>26346.153846153848</v>
      </c>
      <c r="C16" s="77">
        <f>AVERAGE(C3:C15)</f>
        <v>26576.923076923078</v>
      </c>
      <c r="D16" s="77">
        <f>AVERAGE(D3:D15)</f>
        <v>28000</v>
      </c>
      <c r="K16" s="94"/>
      <c r="L16" s="66">
        <v>-12</v>
      </c>
      <c r="M16" s="66">
        <v>20000</v>
      </c>
      <c r="N16" s="66"/>
      <c r="O16" s="66"/>
      <c r="P16" s="66">
        <f>M16/($C$16-(6)*$N$28)</f>
        <v>0.75556052308036203</v>
      </c>
      <c r="T16">
        <f>SUM(T3:T15)</f>
        <v>12.999957055268244</v>
      </c>
      <c r="V16" s="94"/>
      <c r="W16">
        <v>-25</v>
      </c>
      <c r="X16" s="66">
        <v>20000</v>
      </c>
      <c r="Y16" s="66"/>
      <c r="Z16" s="66"/>
      <c r="AA16" s="66">
        <f>X16/($C$16-(6)*$N$28)</f>
        <v>0.75556052308036203</v>
      </c>
      <c r="AE16">
        <f>SUM(AE3:AE15)</f>
        <v>13.00274952640849</v>
      </c>
    </row>
    <row r="17" spans="11:27" x14ac:dyDescent="0.3">
      <c r="K17" s="94"/>
      <c r="L17">
        <v>-11</v>
      </c>
      <c r="M17">
        <v>23000</v>
      </c>
      <c r="P17">
        <f>M17/($C$16-(5)*$N$28)</f>
        <v>0.8683122975538925</v>
      </c>
      <c r="V17" s="94"/>
      <c r="W17">
        <v>-24</v>
      </c>
      <c r="X17">
        <v>23000</v>
      </c>
      <c r="AA17">
        <f>X17/($C$16-(5)*$N$28)</f>
        <v>0.8683122975538925</v>
      </c>
    </row>
    <row r="18" spans="11:27" x14ac:dyDescent="0.3">
      <c r="K18" s="94"/>
      <c r="L18">
        <v>-10</v>
      </c>
      <c r="M18">
        <v>23500</v>
      </c>
      <c r="P18">
        <f>M18/($C$16-(4)*$N$28)</f>
        <v>0.88659448599174018</v>
      </c>
      <c r="S18" t="s">
        <v>43</v>
      </c>
      <c r="T18" t="s">
        <v>44</v>
      </c>
      <c r="U18" t="s">
        <v>45</v>
      </c>
      <c r="V18" s="94"/>
      <c r="W18">
        <v>-23</v>
      </c>
      <c r="X18">
        <v>23500</v>
      </c>
      <c r="AA18">
        <f>X18/($C$16-(4)*$N$28)</f>
        <v>0.88659448599174018</v>
      </c>
    </row>
    <row r="19" spans="11:27" x14ac:dyDescent="0.3">
      <c r="K19" s="94"/>
      <c r="L19">
        <v>-9</v>
      </c>
      <c r="M19">
        <v>24000</v>
      </c>
      <c r="P19">
        <f>M19/($C$16-(3)*$N$28)</f>
        <v>0.90485220301171221</v>
      </c>
      <c r="S19">
        <v>0.2</v>
      </c>
      <c r="T19">
        <v>0.19192638202002987</v>
      </c>
      <c r="U19">
        <v>0.2</v>
      </c>
      <c r="V19" s="94"/>
      <c r="W19">
        <v>-22</v>
      </c>
      <c r="X19">
        <v>24000</v>
      </c>
      <c r="AA19">
        <f>X19/($C$16-(3)*$N$28)</f>
        <v>0.90485220301171221</v>
      </c>
    </row>
    <row r="20" spans="11:27" x14ac:dyDescent="0.3">
      <c r="K20" s="94"/>
      <c r="L20">
        <v>-8</v>
      </c>
      <c r="M20">
        <v>27500</v>
      </c>
      <c r="P20">
        <f>M20/($C$16-(2)*$N$28)</f>
        <v>1.036116374986066</v>
      </c>
      <c r="S20" s="95" t="s">
        <v>65</v>
      </c>
      <c r="T20" s="95"/>
      <c r="U20" s="95"/>
      <c r="V20" s="94"/>
      <c r="W20">
        <v>-21</v>
      </c>
      <c r="X20">
        <v>27500</v>
      </c>
      <c r="AA20">
        <f>X20/($C$16-(2)*$N$28)</f>
        <v>1.036116374986066</v>
      </c>
    </row>
    <row r="21" spans="11:27" x14ac:dyDescent="0.3">
      <c r="K21" s="94"/>
      <c r="L21">
        <v>-7</v>
      </c>
      <c r="M21">
        <v>32000</v>
      </c>
      <c r="P21">
        <f>M21/($C$16-(1)*$N$28)</f>
        <v>1.2048568564108277</v>
      </c>
      <c r="V21" s="94"/>
      <c r="W21">
        <v>-20</v>
      </c>
      <c r="X21">
        <v>32000</v>
      </c>
      <c r="AA21">
        <f>X21/($C$16-(1)*$N$28)</f>
        <v>1.2048568564108277</v>
      </c>
    </row>
    <row r="22" spans="11:27" x14ac:dyDescent="0.3">
      <c r="K22" s="94"/>
      <c r="L22">
        <v>-6</v>
      </c>
      <c r="M22">
        <v>37000</v>
      </c>
      <c r="P22">
        <f>M22/($C$16-(0)*$N$28)</f>
        <v>1.3921852387843705</v>
      </c>
      <c r="V22" s="94"/>
      <c r="W22">
        <v>-19</v>
      </c>
      <c r="X22">
        <v>37000</v>
      </c>
      <c r="AA22">
        <f>X22/($C$16-(0)*$N$28)</f>
        <v>1.3921852387843705</v>
      </c>
    </row>
    <row r="23" spans="11:27" x14ac:dyDescent="0.3">
      <c r="K23" s="94"/>
      <c r="L23">
        <v>-5</v>
      </c>
      <c r="M23">
        <v>38000</v>
      </c>
      <c r="P23">
        <f>M23/($C$16-(-1)*$N$28)</f>
        <v>1.4288574924908219</v>
      </c>
      <c r="V23" s="94"/>
      <c r="W23">
        <v>-18</v>
      </c>
      <c r="X23">
        <v>38000</v>
      </c>
      <c r="AA23">
        <f>X23/($C$16-(-1)*$N$28)</f>
        <v>1.4288574924908219</v>
      </c>
    </row>
    <row r="24" spans="11:27" x14ac:dyDescent="0.3">
      <c r="K24" s="94"/>
      <c r="L24">
        <v>-4</v>
      </c>
      <c r="M24">
        <v>30000</v>
      </c>
      <c r="P24">
        <f>M24/($C$16-(-2)*$N$28)</f>
        <v>1.1272929405225125</v>
      </c>
      <c r="V24" s="94"/>
      <c r="W24">
        <v>-17</v>
      </c>
      <c r="X24">
        <v>30000</v>
      </c>
      <c r="AA24">
        <f>X24/($C$16-(-2)*$N$28)</f>
        <v>1.1272929405225125</v>
      </c>
    </row>
    <row r="25" spans="11:27" x14ac:dyDescent="0.3">
      <c r="K25" s="94"/>
      <c r="L25">
        <v>-3</v>
      </c>
      <c r="M25">
        <v>29000</v>
      </c>
      <c r="P25">
        <f>M25/($C$16-(-3)*$N$28)</f>
        <v>1.0889901122097545</v>
      </c>
      <c r="V25" s="94"/>
      <c r="W25">
        <v>-16</v>
      </c>
      <c r="X25">
        <v>29000</v>
      </c>
      <c r="AA25">
        <f>X25/($C$16-(-3)*$N$28)</f>
        <v>1.0889901122097545</v>
      </c>
    </row>
    <row r="26" spans="11:27" x14ac:dyDescent="0.3">
      <c r="K26" s="94"/>
      <c r="L26">
        <v>-2</v>
      </c>
      <c r="M26">
        <v>26000</v>
      </c>
      <c r="P26">
        <f>M26/($C$16-(-4)*$N$28)</f>
        <v>0.975685577883868</v>
      </c>
      <c r="V26" s="94"/>
      <c r="W26">
        <v>-15</v>
      </c>
      <c r="X26">
        <v>26000</v>
      </c>
      <c r="AA26">
        <f>X26/($B$16-(-4)*$N$28)</f>
        <v>0.98420875797961693</v>
      </c>
    </row>
    <row r="27" spans="11:27" x14ac:dyDescent="0.3">
      <c r="K27" s="94"/>
      <c r="L27">
        <v>-1</v>
      </c>
      <c r="M27">
        <v>18000</v>
      </c>
      <c r="P27">
        <f>M27/($C$16-(-5)*$N$28)</f>
        <v>0.67502496394097422</v>
      </c>
      <c r="V27" s="94"/>
      <c r="W27">
        <v>-14</v>
      </c>
      <c r="X27">
        <v>18000</v>
      </c>
      <c r="AA27">
        <f>X27/($C$16-(-5)*$N$28)</f>
        <v>0.67502496394097422</v>
      </c>
    </row>
    <row r="28" spans="11:27" x14ac:dyDescent="0.3">
      <c r="K28" s="94"/>
      <c r="L28" s="65">
        <v>0</v>
      </c>
      <c r="M28" s="65">
        <v>17500</v>
      </c>
      <c r="N28" s="66">
        <f>(C16-B16)/13</f>
        <v>17.751479289940807</v>
      </c>
      <c r="O28" s="66">
        <f>$C$16+N28*((13-1)/2)</f>
        <v>26683.431952662722</v>
      </c>
      <c r="P28" s="66">
        <f>M28/($C$16-(-6)*$N$28)</f>
        <v>0.65583767601729681</v>
      </c>
      <c r="V28" s="94"/>
      <c r="W28" s="65">
        <v>-13</v>
      </c>
      <c r="X28" s="65">
        <v>17500</v>
      </c>
      <c r="Y28" s="66"/>
      <c r="Z28" s="66"/>
      <c r="AA28" s="66">
        <f>X28/($C$16-(-6)*$N$28)</f>
        <v>0.65583767601729681</v>
      </c>
    </row>
    <row r="29" spans="11:27" x14ac:dyDescent="0.3">
      <c r="L29">
        <v>1</v>
      </c>
      <c r="M29">
        <v>20500</v>
      </c>
      <c r="N29">
        <f>$T$19*(O29-O28)+(1-$T$19)*N28</f>
        <v>34.295192722349043</v>
      </c>
      <c r="O29">
        <f>$S$19*(M29/P16)+(1-$S$19)*(N28+O28)</f>
        <v>26787.38165680474</v>
      </c>
      <c r="P29">
        <f>$U$19*(M29/O29)+(1-$U$19)*P16</f>
        <v>0.75750555755046411</v>
      </c>
      <c r="Q29">
        <f>(N28+O28)*P16</f>
        <v>20174.360120710851</v>
      </c>
      <c r="V29" s="94"/>
      <c r="W29">
        <v>-12</v>
      </c>
      <c r="X29">
        <v>20500</v>
      </c>
      <c r="AA29" s="66">
        <f>X29/($D$16-(6)*$N$28)</f>
        <v>0.73493848112006788</v>
      </c>
    </row>
    <row r="30" spans="11:27" x14ac:dyDescent="0.3">
      <c r="L30">
        <v>2</v>
      </c>
      <c r="M30">
        <v>24500</v>
      </c>
      <c r="N30">
        <f t="shared" ref="N30:N93" si="2">$T$19*(O30-O29)+(1-$T$19)*N29</f>
        <v>87.803419602230136</v>
      </c>
      <c r="O30">
        <f t="shared" ref="O30:O93" si="3">$S$19*(M30/P17)+(1-$S$19)*(N29+O29)</f>
        <v>27100.472428939913</v>
      </c>
      <c r="P30">
        <f t="shared" ref="P30:P93" si="4">$U$19*(M30/O30)+(1-$U$19)*P17</f>
        <v>0.87545849415965515</v>
      </c>
      <c r="Q30">
        <f t="shared" ref="Q30:Q93" si="5">(N29+O29)*P17</f>
        <v>23289.591849460914</v>
      </c>
      <c r="V30" s="94"/>
      <c r="W30">
        <v>-11</v>
      </c>
      <c r="X30">
        <v>24500</v>
      </c>
      <c r="AA30">
        <f>X30/($D$16-(5)*$N$28)</f>
        <v>0.87778248887004451</v>
      </c>
    </row>
    <row r="31" spans="11:27" x14ac:dyDescent="0.3">
      <c r="L31">
        <v>3</v>
      </c>
      <c r="M31">
        <v>25000</v>
      </c>
      <c r="N31">
        <f t="shared" si="2"/>
        <v>126.55367718545205</v>
      </c>
      <c r="O31">
        <f t="shared" si="3"/>
        <v>27390.177521336547</v>
      </c>
      <c r="P31">
        <f t="shared" si="4"/>
        <v>0.89182278097953527</v>
      </c>
      <c r="Q31">
        <f t="shared" si="5"/>
        <v>24104.975450939866</v>
      </c>
      <c r="V31" s="94"/>
      <c r="W31">
        <v>-10</v>
      </c>
      <c r="X31">
        <v>25000</v>
      </c>
      <c r="AA31">
        <f>X31/($D$16-(4)*$N$28)</f>
        <v>0.8951271186440678</v>
      </c>
    </row>
    <row r="32" spans="11:27" x14ac:dyDescent="0.3">
      <c r="L32">
        <v>4</v>
      </c>
      <c r="M32">
        <v>25500</v>
      </c>
      <c r="N32">
        <f t="shared" si="2"/>
        <v>152.0670933511704</v>
      </c>
      <c r="O32">
        <f t="shared" si="3"/>
        <v>27649.664544616418</v>
      </c>
      <c r="P32">
        <f t="shared" si="4"/>
        <v>0.90833246313199423</v>
      </c>
      <c r="Q32">
        <f t="shared" si="5"/>
        <v>24898.574844663744</v>
      </c>
      <c r="V32" s="94"/>
      <c r="W32">
        <v>-9</v>
      </c>
      <c r="X32">
        <v>25500</v>
      </c>
      <c r="AA32">
        <f>X32/($D$16-(3)*$N$28)</f>
        <v>0.91244971416472576</v>
      </c>
    </row>
    <row r="33" spans="12:28" x14ac:dyDescent="0.3">
      <c r="L33">
        <v>5</v>
      </c>
      <c r="M33">
        <v>28500</v>
      </c>
      <c r="N33">
        <f t="shared" si="2"/>
        <v>140.7369508569615</v>
      </c>
      <c r="O33">
        <f t="shared" si="3"/>
        <v>27742.697843994301</v>
      </c>
      <c r="P33">
        <f t="shared" si="4"/>
        <v>1.0343525701547627</v>
      </c>
      <c r="Q33">
        <f t="shared" si="5"/>
        <v>28805.829403066404</v>
      </c>
      <c r="V33" s="94"/>
      <c r="W33">
        <v>-8</v>
      </c>
      <c r="X33">
        <v>28500</v>
      </c>
      <c r="AA33">
        <f>X33/($D$16-(2)*$N$28)</f>
        <v>1.0191493863732544</v>
      </c>
    </row>
    <row r="34" spans="12:28" x14ac:dyDescent="0.3">
      <c r="L34">
        <v>6</v>
      </c>
      <c r="M34">
        <v>32500</v>
      </c>
      <c r="N34">
        <f t="shared" si="2"/>
        <v>105.83413485691261</v>
      </c>
      <c r="O34">
        <f t="shared" si="3"/>
        <v>27701.579566650242</v>
      </c>
      <c r="P34">
        <f t="shared" si="4"/>
        <v>1.1985291445041482</v>
      </c>
      <c r="Q34">
        <f t="shared" si="5"/>
        <v>33595.547592860785</v>
      </c>
      <c r="V34" s="94"/>
      <c r="W34">
        <v>-7</v>
      </c>
      <c r="X34">
        <v>32500</v>
      </c>
      <c r="AA34">
        <f>X34/($D$16-(1)*$N$28)</f>
        <v>1.1614506238105309</v>
      </c>
    </row>
    <row r="35" spans="12:28" x14ac:dyDescent="0.3">
      <c r="L35">
        <v>7</v>
      </c>
      <c r="M35">
        <v>38500</v>
      </c>
      <c r="N35">
        <f t="shared" si="2"/>
        <v>99.959352860622317</v>
      </c>
      <c r="O35">
        <f t="shared" si="3"/>
        <v>27776.804142078909</v>
      </c>
      <c r="P35">
        <f t="shared" si="4"/>
        <v>1.3909579074734326</v>
      </c>
      <c r="Q35">
        <f t="shared" si="5"/>
        <v>38713.070884008514</v>
      </c>
      <c r="V35" s="94"/>
      <c r="W35">
        <v>-6</v>
      </c>
      <c r="X35">
        <v>38500</v>
      </c>
      <c r="AA35">
        <f>X35/($D$16-(0)*$N$28)</f>
        <v>1.375</v>
      </c>
    </row>
    <row r="36" spans="12:28" x14ac:dyDescent="0.3">
      <c r="L36">
        <v>8</v>
      </c>
      <c r="M36">
        <v>38500</v>
      </c>
      <c r="N36">
        <f t="shared" si="2"/>
        <v>64.178171595650483</v>
      </c>
      <c r="O36">
        <f t="shared" si="3"/>
        <v>27690.331692868476</v>
      </c>
      <c r="P36">
        <f t="shared" si="4"/>
        <v>1.4211613917670767</v>
      </c>
      <c r="Q36">
        <f t="shared" si="5"/>
        <v>39831.922386138984</v>
      </c>
      <c r="V36" s="94"/>
      <c r="W36">
        <v>-5</v>
      </c>
      <c r="X36">
        <v>38500</v>
      </c>
      <c r="AA36">
        <f>X36/($D$16-(-1)*$N$28)</f>
        <v>1.3741288278775079</v>
      </c>
    </row>
    <row r="37" spans="12:28" x14ac:dyDescent="0.3">
      <c r="L37">
        <v>9</v>
      </c>
      <c r="M37">
        <v>32500</v>
      </c>
      <c r="N37">
        <f t="shared" si="2"/>
        <v>105.46607890725916</v>
      </c>
      <c r="O37">
        <f t="shared" si="3"/>
        <v>27969.633532596941</v>
      </c>
      <c r="P37">
        <f t="shared" si="4"/>
        <v>1.1342292457019938</v>
      </c>
      <c r="Q37">
        <f t="shared" si="5"/>
        <v>31287.463037872843</v>
      </c>
      <c r="V37" s="94"/>
      <c r="W37">
        <v>-4</v>
      </c>
      <c r="X37">
        <v>32500</v>
      </c>
      <c r="AA37">
        <f>X37/($D$16-(-2)*$N$28)</f>
        <v>1.1592444069227523</v>
      </c>
    </row>
    <row r="38" spans="12:28" x14ac:dyDescent="0.3">
      <c r="L38">
        <v>10</v>
      </c>
      <c r="M38">
        <v>30500</v>
      </c>
      <c r="N38">
        <f t="shared" si="2"/>
        <v>102.87510645962308</v>
      </c>
      <c r="O38">
        <f t="shared" si="3"/>
        <v>28061.599787142557</v>
      </c>
      <c r="P38">
        <f t="shared" si="4"/>
        <v>1.0885710006734797</v>
      </c>
      <c r="Q38">
        <f t="shared" si="5"/>
        <v>30573.505876231993</v>
      </c>
      <c r="V38" s="94"/>
      <c r="W38">
        <v>-3</v>
      </c>
      <c r="X38">
        <v>30500</v>
      </c>
      <c r="AA38">
        <f>X38/($D$16-(-3)*$N$28)</f>
        <v>1.0872178865218309</v>
      </c>
    </row>
    <row r="39" spans="12:28" x14ac:dyDescent="0.3">
      <c r="L39">
        <v>11</v>
      </c>
      <c r="M39">
        <v>28500</v>
      </c>
      <c r="N39">
        <f t="shared" si="2"/>
        <v>143.01669985338407</v>
      </c>
      <c r="O39">
        <f t="shared" si="3"/>
        <v>28373.625886661444</v>
      </c>
      <c r="P39">
        <f t="shared" si="4"/>
        <v>0.9814392480941726</v>
      </c>
      <c r="Q39">
        <f t="shared" si="5"/>
        <v>27479.671962359935</v>
      </c>
      <c r="V39" s="94"/>
      <c r="W39">
        <v>-2</v>
      </c>
      <c r="X39">
        <v>28500</v>
      </c>
      <c r="AA39">
        <f>X39/($D$16-(-4)*$N$28)</f>
        <v>1.0152824620573355</v>
      </c>
    </row>
    <row r="40" spans="12:28" x14ac:dyDescent="0.3">
      <c r="L40">
        <v>12</v>
      </c>
      <c r="M40">
        <v>20500</v>
      </c>
      <c r="N40">
        <f t="shared" si="2"/>
        <v>214.12944023143325</v>
      </c>
      <c r="O40">
        <f t="shared" si="3"/>
        <v>28887.163510368995</v>
      </c>
      <c r="P40">
        <f t="shared" si="4"/>
        <v>0.68195152488696009</v>
      </c>
      <c r="Q40">
        <f t="shared" si="5"/>
        <v>19249.445633679821</v>
      </c>
      <c r="V40" s="94"/>
      <c r="W40">
        <v>-1</v>
      </c>
      <c r="X40">
        <v>20500</v>
      </c>
      <c r="AA40">
        <f>X40/($D$16-(-5)*$N$28)</f>
        <v>0.729829365915315</v>
      </c>
    </row>
    <row r="41" spans="12:28" x14ac:dyDescent="0.3">
      <c r="L41" s="65">
        <v>13</v>
      </c>
      <c r="M41" s="65">
        <v>18500</v>
      </c>
      <c r="N41">
        <f t="shared" si="2"/>
        <v>179.84780099972591</v>
      </c>
      <c r="O41">
        <f t="shared" si="3"/>
        <v>28922.67425904332</v>
      </c>
      <c r="P41">
        <f t="shared" si="4"/>
        <v>0.65259745371932065</v>
      </c>
      <c r="Q41">
        <f t="shared" si="5"/>
        <v>19085.724337820327</v>
      </c>
      <c r="V41" s="94"/>
      <c r="W41" s="65">
        <v>0</v>
      </c>
      <c r="X41" s="65">
        <v>18500</v>
      </c>
      <c r="Y41">
        <f>(D16-B16)/26</f>
        <v>63.60946745562125</v>
      </c>
      <c r="Z41">
        <f>D16+Y41*6</f>
        <v>28381.656804733728</v>
      </c>
      <c r="AA41" s="66">
        <f>X41/($D$16-(-6)*$N$28)</f>
        <v>0.65821052631578947</v>
      </c>
    </row>
    <row r="42" spans="12:28" x14ac:dyDescent="0.3">
      <c r="L42">
        <v>14</v>
      </c>
      <c r="M42">
        <v>22500</v>
      </c>
      <c r="N42">
        <f t="shared" si="2"/>
        <v>202.88780761596229</v>
      </c>
      <c r="O42">
        <f t="shared" si="3"/>
        <v>29222.568123402027</v>
      </c>
      <c r="P42">
        <f t="shared" si="4"/>
        <v>0.75999501870315889</v>
      </c>
      <c r="Q42">
        <f t="shared" si="5"/>
        <v>22045.32219921759</v>
      </c>
      <c r="W42">
        <v>1</v>
      </c>
      <c r="X42">
        <v>22500</v>
      </c>
      <c r="Y42">
        <f>$T$19*(Z42-Z41)+(1-$T$19)*Y41</f>
        <v>146.88790068730319</v>
      </c>
      <c r="Z42">
        <f>$S$19*(X42/AA29)+(1-$S$19)*(Y41+Z41)</f>
        <v>28879.174484052535</v>
      </c>
      <c r="AA42">
        <f>$U$19*(X42/Z42)+(1-$U$19)*AA29</f>
        <v>0.74377241347082401</v>
      </c>
      <c r="AB42">
        <f>(Y41+Z41)*AA29</f>
        <v>20905.520789138736</v>
      </c>
    </row>
    <row r="43" spans="12:28" x14ac:dyDescent="0.3">
      <c r="L43">
        <v>15</v>
      </c>
      <c r="M43">
        <v>25500</v>
      </c>
      <c r="N43">
        <f t="shared" si="2"/>
        <v>191.45431340286908</v>
      </c>
      <c r="O43">
        <f t="shared" si="3"/>
        <v>29365.883640368025</v>
      </c>
      <c r="P43">
        <f t="shared" si="4"/>
        <v>0.87403771435940103</v>
      </c>
      <c r="Q43">
        <f t="shared" si="5"/>
        <v>25760.765339330304</v>
      </c>
      <c r="W43">
        <v>2</v>
      </c>
      <c r="X43">
        <v>25500</v>
      </c>
      <c r="Y43">
        <f t="shared" ref="Y43:Y106" si="6">$T$19*(Z43-Z42)+(1-$T$19)*Y42</f>
        <v>147.82506227085486</v>
      </c>
      <c r="Z43">
        <f t="shared" ref="Z43:Z106" si="7">$S$19*(X43/AA30)+(1-$S$19)*(Y42+Z42)</f>
        <v>29030.945306898262</v>
      </c>
      <c r="AA43">
        <f t="shared" ref="AA43:AA106" si="8">$U$19*(X43/Z43)+(1-$U$19)*AA30</f>
        <v>0.87790060127788705</v>
      </c>
      <c r="AB43">
        <f t="shared" ref="AB43:AB106" si="9">(Y42+Z42)*AA30</f>
        <v>25478.569282174114</v>
      </c>
    </row>
    <row r="44" spans="12:28" x14ac:dyDescent="0.3">
      <c r="L44">
        <v>16</v>
      </c>
      <c r="M44">
        <v>26000</v>
      </c>
      <c r="N44">
        <f t="shared" si="2"/>
        <v>175.96340789541739</v>
      </c>
      <c r="O44">
        <f t="shared" si="3"/>
        <v>29476.625206808181</v>
      </c>
      <c r="P44">
        <f t="shared" si="4"/>
        <v>0.88986919325497704</v>
      </c>
      <c r="Q44">
        <f t="shared" si="5"/>
        <v>26359.907332283925</v>
      </c>
      <c r="W44">
        <v>3</v>
      </c>
      <c r="X44">
        <v>26000</v>
      </c>
      <c r="Y44">
        <f t="shared" si="6"/>
        <v>142.73454037917591</v>
      </c>
      <c r="Z44">
        <f t="shared" si="7"/>
        <v>29152.247064566065</v>
      </c>
      <c r="AA44">
        <f t="shared" si="8"/>
        <v>0.89447559482365935</v>
      </c>
      <c r="AB44">
        <f t="shared" si="9"/>
        <v>26118.708646131254</v>
      </c>
    </row>
    <row r="45" spans="12:28" x14ac:dyDescent="0.3">
      <c r="L45">
        <v>17</v>
      </c>
      <c r="M45">
        <v>26500</v>
      </c>
      <c r="N45">
        <f t="shared" si="2"/>
        <v>157.60569787814464</v>
      </c>
      <c r="O45">
        <f t="shared" si="3"/>
        <v>29556.938867003166</v>
      </c>
      <c r="P45">
        <f t="shared" si="4"/>
        <v>0.90598088616206163</v>
      </c>
      <c r="Q45">
        <f t="shared" si="5"/>
        <v>26934.40885463345</v>
      </c>
      <c r="W45">
        <v>4</v>
      </c>
      <c r="X45">
        <v>26500</v>
      </c>
      <c r="Y45">
        <f t="shared" si="6"/>
        <v>133.05050184512379</v>
      </c>
      <c r="Z45">
        <f t="shared" si="7"/>
        <v>29244.52455765384</v>
      </c>
      <c r="AA45">
        <f t="shared" si="8"/>
        <v>0.91119027790238216</v>
      </c>
      <c r="AB45">
        <f t="shared" si="9"/>
        <v>26730.197591893186</v>
      </c>
    </row>
    <row r="46" spans="12:28" x14ac:dyDescent="0.3">
      <c r="L46">
        <v>18</v>
      </c>
      <c r="M46">
        <v>30000</v>
      </c>
      <c r="N46">
        <f t="shared" si="2"/>
        <v>130.31781642909391</v>
      </c>
      <c r="O46">
        <f t="shared" si="3"/>
        <v>29572.365667108919</v>
      </c>
      <c r="P46">
        <f t="shared" si="4"/>
        <v>1.0303741773541839</v>
      </c>
      <c r="Q46">
        <f t="shared" si="5"/>
        <v>30735.315541663218</v>
      </c>
      <c r="W46">
        <v>5</v>
      </c>
      <c r="X46">
        <v>30000</v>
      </c>
      <c r="Y46">
        <f t="shared" si="6"/>
        <v>135.30516145831683</v>
      </c>
      <c r="Z46">
        <f t="shared" si="7"/>
        <v>29389.322582634984</v>
      </c>
      <c r="AA46">
        <f t="shared" si="8"/>
        <v>1.0194752865286409</v>
      </c>
      <c r="AB46">
        <f t="shared" si="9"/>
        <v>29940.137595022588</v>
      </c>
    </row>
    <row r="47" spans="12:28" x14ac:dyDescent="0.3">
      <c r="L47">
        <v>19</v>
      </c>
      <c r="M47">
        <v>34500</v>
      </c>
      <c r="N47">
        <f t="shared" si="2"/>
        <v>95.103125813310058</v>
      </c>
      <c r="O47">
        <f t="shared" si="3"/>
        <v>29519.203285322696</v>
      </c>
      <c r="P47">
        <f t="shared" si="4"/>
        <v>1.1925694615716538</v>
      </c>
      <c r="Q47">
        <f t="shared" si="5"/>
        <v>35599.531825002305</v>
      </c>
      <c r="W47">
        <v>6</v>
      </c>
      <c r="X47">
        <v>34500</v>
      </c>
      <c r="Y47">
        <f t="shared" si="6"/>
        <v>142.19936057960427</v>
      </c>
      <c r="Z47">
        <f t="shared" si="7"/>
        <v>29560.548804286933</v>
      </c>
      <c r="AA47">
        <f t="shared" si="8"/>
        <v>1.1625797107715625</v>
      </c>
      <c r="AB47">
        <f t="shared" si="9"/>
        <v>34291.397311150875</v>
      </c>
    </row>
    <row r="48" spans="12:28" x14ac:dyDescent="0.3">
      <c r="L48">
        <v>20</v>
      </c>
      <c r="M48">
        <v>39000</v>
      </c>
      <c r="N48">
        <f t="shared" si="2"/>
        <v>34.605059779973708</v>
      </c>
      <c r="O48">
        <f t="shared" si="3"/>
        <v>29299.091455294121</v>
      </c>
      <c r="P48">
        <f t="shared" si="4"/>
        <v>1.3789861851133405</v>
      </c>
      <c r="Q48">
        <f t="shared" si="5"/>
        <v>41192.253676910797</v>
      </c>
      <c r="W48">
        <v>7</v>
      </c>
      <c r="X48">
        <v>39000</v>
      </c>
      <c r="Y48">
        <f t="shared" si="6"/>
        <v>90.797183953517902</v>
      </c>
      <c r="Z48">
        <f t="shared" si="7"/>
        <v>29434.925804620503</v>
      </c>
      <c r="AA48">
        <f t="shared" si="8"/>
        <v>1.3649913253314745</v>
      </c>
      <c r="AB48">
        <f t="shared" si="9"/>
        <v>40841.278726691489</v>
      </c>
    </row>
    <row r="49" spans="12:28" x14ac:dyDescent="0.3">
      <c r="L49">
        <v>21</v>
      </c>
      <c r="M49">
        <v>40000</v>
      </c>
      <c r="N49">
        <f t="shared" si="2"/>
        <v>-10.985229701044155</v>
      </c>
      <c r="O49">
        <f t="shared" si="3"/>
        <v>29096.156011256022</v>
      </c>
      <c r="P49">
        <f t="shared" si="4"/>
        <v>1.4118795225641056</v>
      </c>
      <c r="Q49">
        <f t="shared" si="5"/>
        <v>41687.916965035743</v>
      </c>
      <c r="W49">
        <v>8</v>
      </c>
      <c r="X49">
        <v>40000</v>
      </c>
      <c r="Y49">
        <f t="shared" si="6"/>
        <v>74.814675620722326</v>
      </c>
      <c r="Z49">
        <f t="shared" si="7"/>
        <v>29442.448828114269</v>
      </c>
      <c r="AA49">
        <f t="shared" si="8"/>
        <v>1.3710195912736349</v>
      </c>
      <c r="AB49">
        <f t="shared" si="9"/>
        <v>40572.14712252521</v>
      </c>
    </row>
    <row r="50" spans="12:28" x14ac:dyDescent="0.3">
      <c r="L50">
        <v>22</v>
      </c>
      <c r="M50">
        <v>33000</v>
      </c>
      <c r="N50">
        <f t="shared" si="2"/>
        <v>-10.621466218569319</v>
      </c>
      <c r="O50">
        <f t="shared" si="3"/>
        <v>29087.066109746163</v>
      </c>
      <c r="P50">
        <f t="shared" si="4"/>
        <v>1.1342883712709058</v>
      </c>
      <c r="Q50">
        <f t="shared" si="5"/>
        <v>32989.251316676775</v>
      </c>
      <c r="W50">
        <v>9</v>
      </c>
      <c r="X50">
        <v>33000</v>
      </c>
      <c r="Y50">
        <f t="shared" si="6"/>
        <v>34.493049533322335</v>
      </c>
      <c r="Z50">
        <f t="shared" si="7"/>
        <v>29307.174480730369</v>
      </c>
      <c r="AA50">
        <f t="shared" si="8"/>
        <v>1.1525963549234959</v>
      </c>
      <c r="AB50">
        <f t="shared" si="9"/>
        <v>34217.722624369868</v>
      </c>
    </row>
    <row r="51" spans="12:28" x14ac:dyDescent="0.3">
      <c r="L51">
        <v>23</v>
      </c>
      <c r="M51">
        <v>32500</v>
      </c>
      <c r="N51">
        <f t="shared" si="2"/>
        <v>19.288730259895729</v>
      </c>
      <c r="O51">
        <f t="shared" si="3"/>
        <v>29232.286670890688</v>
      </c>
      <c r="P51">
        <f t="shared" si="4"/>
        <v>1.0932136785066184</v>
      </c>
      <c r="Q51">
        <f t="shared" si="5"/>
        <v>31651.774441631871</v>
      </c>
      <c r="W51">
        <v>10</v>
      </c>
      <c r="X51">
        <v>32500</v>
      </c>
      <c r="Y51">
        <f t="shared" si="6"/>
        <v>55.648886408721978</v>
      </c>
      <c r="Z51">
        <f t="shared" si="7"/>
        <v>29451.896445396327</v>
      </c>
      <c r="AA51">
        <f t="shared" si="8"/>
        <v>1.0904731702246317</v>
      </c>
      <c r="AB51">
        <f t="shared" si="9"/>
        <v>31900.785759279519</v>
      </c>
    </row>
    <row r="52" spans="12:28" x14ac:dyDescent="0.3">
      <c r="L52">
        <v>24</v>
      </c>
      <c r="M52">
        <v>29500</v>
      </c>
      <c r="N52">
        <f t="shared" si="2"/>
        <v>50.239614313137047</v>
      </c>
      <c r="O52">
        <f t="shared" si="3"/>
        <v>29412.839755365374</v>
      </c>
      <c r="P52">
        <f t="shared" si="4"/>
        <v>0.98574406647584101</v>
      </c>
      <c r="Q52">
        <f t="shared" si="5"/>
        <v>28708.644167275226</v>
      </c>
      <c r="W52">
        <v>11</v>
      </c>
      <c r="X52">
        <v>29500</v>
      </c>
      <c r="Y52">
        <f t="shared" si="6"/>
        <v>38.314408862091931</v>
      </c>
      <c r="Z52">
        <f t="shared" si="7"/>
        <v>29417.226964084133</v>
      </c>
      <c r="AA52">
        <f t="shared" si="8"/>
        <v>1.0127887217775831</v>
      </c>
      <c r="AB52">
        <f t="shared" si="9"/>
        <v>29958.493273743468</v>
      </c>
    </row>
    <row r="53" spans="12:28" x14ac:dyDescent="0.3">
      <c r="L53">
        <v>25</v>
      </c>
      <c r="M53">
        <v>21500</v>
      </c>
      <c r="N53">
        <f t="shared" si="2"/>
        <v>129.47021042002297</v>
      </c>
      <c r="O53">
        <f t="shared" si="3"/>
        <v>29875.897009822518</v>
      </c>
      <c r="P53">
        <f t="shared" si="4"/>
        <v>0.68948995278029179</v>
      </c>
      <c r="Q53">
        <f t="shared" si="5"/>
        <v>20092.391904017797</v>
      </c>
      <c r="W53">
        <v>12</v>
      </c>
      <c r="X53">
        <v>21500</v>
      </c>
      <c r="Y53">
        <f t="shared" si="6"/>
        <v>38.44489235959874</v>
      </c>
      <c r="Z53">
        <f t="shared" si="7"/>
        <v>29456.22123517326</v>
      </c>
      <c r="AA53">
        <f t="shared" si="8"/>
        <v>0.72984284173528813</v>
      </c>
      <c r="AB53">
        <f t="shared" si="9"/>
        <v>21497.519082909668</v>
      </c>
    </row>
    <row r="54" spans="12:28" x14ac:dyDescent="0.3">
      <c r="L54" s="65">
        <v>26</v>
      </c>
      <c r="M54" s="65">
        <v>20000</v>
      </c>
      <c r="N54">
        <f t="shared" si="2"/>
        <v>154.09039420589471</v>
      </c>
      <c r="O54">
        <f t="shared" si="3"/>
        <v>30133.646529875452</v>
      </c>
      <c r="P54">
        <f t="shared" si="4"/>
        <v>0.65481994612821814</v>
      </c>
      <c r="Q54">
        <f t="shared" si="5"/>
        <v>19581.426245843453</v>
      </c>
      <c r="W54" s="65">
        <v>13</v>
      </c>
      <c r="X54" s="65">
        <v>20000</v>
      </c>
      <c r="Y54">
        <f t="shared" si="6"/>
        <v>72.636534066500531</v>
      </c>
      <c r="Z54">
        <f t="shared" si="7"/>
        <v>29672.815902186212</v>
      </c>
      <c r="AA54">
        <f t="shared" si="8"/>
        <v>0.66137193997667443</v>
      </c>
      <c r="AB54">
        <f t="shared" si="9"/>
        <v>19413.69971531189</v>
      </c>
    </row>
    <row r="55" spans="12:28" x14ac:dyDescent="0.3">
      <c r="L55">
        <v>27</v>
      </c>
      <c r="M55">
        <v>22500</v>
      </c>
      <c r="N55">
        <f t="shared" si="2"/>
        <v>127.90089849150147</v>
      </c>
      <c r="O55">
        <f t="shared" si="3"/>
        <v>30151.280979678351</v>
      </c>
      <c r="P55">
        <f t="shared" si="4"/>
        <v>0.75724340524862988</v>
      </c>
      <c r="Q55">
        <f t="shared" si="5"/>
        <v>23018.529190093559</v>
      </c>
      <c r="W55">
        <v>14</v>
      </c>
      <c r="X55">
        <v>22500</v>
      </c>
      <c r="Y55">
        <f t="shared" si="6"/>
        <v>92.049379445631985</v>
      </c>
      <c r="Z55">
        <f t="shared" si="7"/>
        <v>29846.599788559419</v>
      </c>
      <c r="AA55">
        <f t="shared" si="8"/>
        <v>0.74578887392861271</v>
      </c>
      <c r="AB55">
        <f t="shared" si="9"/>
        <v>22123.846948293281</v>
      </c>
    </row>
    <row r="56" spans="12:28" x14ac:dyDescent="0.3">
      <c r="L56">
        <v>28</v>
      </c>
      <c r="M56">
        <v>25500</v>
      </c>
      <c r="N56">
        <f t="shared" si="2"/>
        <v>85.514362141427426</v>
      </c>
      <c r="O56">
        <f t="shared" si="3"/>
        <v>30058.333988974242</v>
      </c>
      <c r="P56">
        <f t="shared" si="4"/>
        <v>0.86890025373062663</v>
      </c>
      <c r="Q56">
        <f t="shared" si="5"/>
        <v>26465.146921468175</v>
      </c>
      <c r="W56">
        <v>15</v>
      </c>
      <c r="X56">
        <v>25500</v>
      </c>
      <c r="Y56">
        <f t="shared" si="6"/>
        <v>57.806618562907815</v>
      </c>
      <c r="Z56">
        <f t="shared" si="7"/>
        <v>29760.233045519344</v>
      </c>
      <c r="AA56">
        <f t="shared" si="8"/>
        <v>0.87369010679773185</v>
      </c>
      <c r="AB56">
        <f t="shared" si="9"/>
        <v>26283.158106039347</v>
      </c>
    </row>
    <row r="57" spans="12:28" x14ac:dyDescent="0.3">
      <c r="L57">
        <v>29</v>
      </c>
      <c r="M57">
        <v>26500</v>
      </c>
      <c r="N57">
        <f t="shared" si="2"/>
        <v>71.534804503218552</v>
      </c>
      <c r="O57">
        <f t="shared" si="3"/>
        <v>30071.010226981438</v>
      </c>
      <c r="P57">
        <f t="shared" si="4"/>
        <v>0.88814483741133132</v>
      </c>
      <c r="Q57">
        <f t="shared" si="5"/>
        <v>26824.082013807671</v>
      </c>
      <c r="W57">
        <v>16</v>
      </c>
      <c r="X57">
        <v>26500</v>
      </c>
      <c r="Y57">
        <f t="shared" si="6"/>
        <v>50.446539217488173</v>
      </c>
      <c r="Z57">
        <f t="shared" si="7"/>
        <v>29779.69121366103</v>
      </c>
      <c r="AA57">
        <f t="shared" si="8"/>
        <v>0.89355411440252319</v>
      </c>
      <c r="AB57">
        <f t="shared" si="9"/>
        <v>26671.508765005437</v>
      </c>
    </row>
    <row r="58" spans="12:28" x14ac:dyDescent="0.3">
      <c r="L58">
        <v>30</v>
      </c>
      <c r="M58">
        <v>26500</v>
      </c>
      <c r="N58">
        <f t="shared" si="2"/>
        <v>37.276719902144535</v>
      </c>
      <c r="O58">
        <f t="shared" si="3"/>
        <v>29964.049067352436</v>
      </c>
      <c r="P58">
        <f t="shared" si="4"/>
        <v>0.90166334065551501</v>
      </c>
      <c r="Q58">
        <f t="shared" si="5"/>
        <v>27308.569658804317</v>
      </c>
      <c r="W58">
        <v>17</v>
      </c>
      <c r="X58">
        <v>26500</v>
      </c>
      <c r="Y58">
        <f t="shared" si="6"/>
        <v>21.761263687614143</v>
      </c>
      <c r="Z58">
        <f t="shared" si="7"/>
        <v>29680.677969247103</v>
      </c>
      <c r="AA58">
        <f t="shared" si="8"/>
        <v>0.90751957194550481</v>
      </c>
      <c r="AB58">
        <f t="shared" si="9"/>
        <v>27180.931508911719</v>
      </c>
    </row>
    <row r="59" spans="12:28" x14ac:dyDescent="0.3">
      <c r="L59">
        <v>31</v>
      </c>
      <c r="M59">
        <v>30500</v>
      </c>
      <c r="N59">
        <f t="shared" si="2"/>
        <v>21.906154122941849</v>
      </c>
      <c r="O59">
        <f t="shared" si="3"/>
        <v>29921.240050122316</v>
      </c>
      <c r="P59">
        <f t="shared" si="4"/>
        <v>1.0281678977915125</v>
      </c>
      <c r="Q59">
        <f t="shared" si="5"/>
        <v>30912.591377577301</v>
      </c>
      <c r="W59">
        <v>18</v>
      </c>
      <c r="X59">
        <v>30500</v>
      </c>
      <c r="Y59">
        <f t="shared" si="6"/>
        <v>30.010711912627869</v>
      </c>
      <c r="Z59">
        <f t="shared" si="7"/>
        <v>29745.421589701869</v>
      </c>
      <c r="AA59">
        <f t="shared" si="8"/>
        <v>1.0206538060624448</v>
      </c>
      <c r="AB59">
        <f t="shared" si="9"/>
        <v>30280.902747595668</v>
      </c>
    </row>
    <row r="60" spans="12:28" x14ac:dyDescent="0.3">
      <c r="L60">
        <v>32</v>
      </c>
      <c r="M60">
        <v>34500</v>
      </c>
      <c r="N60">
        <f t="shared" si="2"/>
        <v>-17.01704120253352</v>
      </c>
      <c r="O60">
        <f t="shared" si="3"/>
        <v>29740.343468551458</v>
      </c>
      <c r="P60">
        <f t="shared" si="4"/>
        <v>1.1860636497052277</v>
      </c>
      <c r="Q60">
        <f t="shared" si="5"/>
        <v>35709.281746558074</v>
      </c>
      <c r="W60">
        <v>19</v>
      </c>
      <c r="X60">
        <v>34500</v>
      </c>
      <c r="Y60">
        <f t="shared" si="6"/>
        <v>26.170351736790661</v>
      </c>
      <c r="Z60">
        <f t="shared" si="7"/>
        <v>29755.422753498093</v>
      </c>
      <c r="AA60">
        <f t="shared" si="8"/>
        <v>1.1619542733216011</v>
      </c>
      <c r="AB60">
        <f t="shared" si="9"/>
        <v>34616.313473309223</v>
      </c>
    </row>
    <row r="61" spans="12:28" x14ac:dyDescent="0.3">
      <c r="L61">
        <v>33</v>
      </c>
      <c r="M61">
        <v>39000</v>
      </c>
      <c r="N61">
        <f t="shared" si="2"/>
        <v>-72.35631857142198</v>
      </c>
      <c r="O61">
        <f t="shared" si="3"/>
        <v>29434.990468600361</v>
      </c>
      <c r="P61">
        <f t="shared" si="4"/>
        <v>1.3681796912784652</v>
      </c>
      <c r="Q61">
        <f t="shared" si="5"/>
        <v>40988.056518928432</v>
      </c>
      <c r="W61">
        <v>20</v>
      </c>
      <c r="X61">
        <v>39000</v>
      </c>
      <c r="Y61">
        <f t="shared" si="6"/>
        <v>-20.275178598779693</v>
      </c>
      <c r="Z61">
        <f t="shared" si="7"/>
        <v>29539.596513381643</v>
      </c>
      <c r="AA61">
        <f t="shared" si="8"/>
        <v>1.3560454144151948</v>
      </c>
      <c r="AB61">
        <f t="shared" si="9"/>
        <v>40651.616243197263</v>
      </c>
    </row>
    <row r="62" spans="12:28" x14ac:dyDescent="0.3">
      <c r="L62">
        <v>34</v>
      </c>
      <c r="M62">
        <v>40000</v>
      </c>
      <c r="N62">
        <f t="shared" si="2"/>
        <v>-111.95475919183235</v>
      </c>
      <c r="O62">
        <f t="shared" si="3"/>
        <v>29156.313162764782</v>
      </c>
      <c r="P62">
        <f t="shared" si="4"/>
        <v>1.4038867321075814</v>
      </c>
      <c r="Q62">
        <f t="shared" si="5"/>
        <v>41456.501884967358</v>
      </c>
      <c r="W62">
        <v>21</v>
      </c>
      <c r="X62">
        <v>40000</v>
      </c>
      <c r="Y62">
        <f t="shared" si="6"/>
        <v>-33.47795351914862</v>
      </c>
      <c r="Z62">
        <f t="shared" si="7"/>
        <v>29450.530505812872</v>
      </c>
      <c r="AA62">
        <f t="shared" si="8"/>
        <v>1.3684576388035645</v>
      </c>
      <c r="AB62">
        <f t="shared" si="9"/>
        <v>40471.567871089093</v>
      </c>
    </row>
    <row r="63" spans="12:28" x14ac:dyDescent="0.3">
      <c r="L63">
        <v>35</v>
      </c>
      <c r="M63">
        <v>33000</v>
      </c>
      <c r="N63">
        <f t="shared" si="2"/>
        <v>-110.08261559232005</v>
      </c>
      <c r="O63">
        <f t="shared" si="3"/>
        <v>29054.11289162096</v>
      </c>
      <c r="P63">
        <f t="shared" si="4"/>
        <v>1.1345930276863836</v>
      </c>
      <c r="Q63">
        <f t="shared" si="5"/>
        <v>32944.677988197211</v>
      </c>
      <c r="W63">
        <v>22</v>
      </c>
      <c r="X63">
        <v>33000</v>
      </c>
      <c r="Y63">
        <f t="shared" si="6"/>
        <v>-63.650339680659044</v>
      </c>
      <c r="Z63">
        <f t="shared" si="7"/>
        <v>29259.844429867066</v>
      </c>
      <c r="AA63">
        <f t="shared" si="8"/>
        <v>1.1476421930021599</v>
      </c>
      <c r="AB63">
        <f t="shared" si="9"/>
        <v>33905.987544366668</v>
      </c>
    </row>
    <row r="64" spans="12:28" x14ac:dyDescent="0.3">
      <c r="L64">
        <v>36</v>
      </c>
      <c r="M64">
        <v>32000</v>
      </c>
      <c r="N64">
        <f t="shared" si="2"/>
        <v>-97.512746858658957</v>
      </c>
      <c r="O64">
        <f t="shared" si="3"/>
        <v>29009.523454201244</v>
      </c>
      <c r="P64">
        <f t="shared" si="4"/>
        <v>1.0951881483965549</v>
      </c>
      <c r="Q64">
        <f t="shared" si="5"/>
        <v>31642.009808864204</v>
      </c>
      <c r="W64">
        <v>23</v>
      </c>
      <c r="X64">
        <v>32000</v>
      </c>
      <c r="Y64">
        <f t="shared" si="6"/>
        <v>-57.936102009523673</v>
      </c>
      <c r="Z64">
        <f t="shared" si="7"/>
        <v>29225.967160521985</v>
      </c>
      <c r="AA64">
        <f t="shared" si="8"/>
        <v>1.0913618794801465</v>
      </c>
      <c r="AB64">
        <f t="shared" si="9"/>
        <v>31837.66632801923</v>
      </c>
    </row>
    <row r="65" spans="12:28" x14ac:dyDescent="0.3">
      <c r="L65">
        <v>37</v>
      </c>
      <c r="M65">
        <v>29500</v>
      </c>
      <c r="N65">
        <f t="shared" si="2"/>
        <v>-58.566225119801032</v>
      </c>
      <c r="O65">
        <f t="shared" si="3"/>
        <v>29114.93498137383</v>
      </c>
      <c r="P65">
        <f t="shared" si="4"/>
        <v>0.99124039059123215</v>
      </c>
      <c r="Q65">
        <f t="shared" si="5"/>
        <v>28499.843004648937</v>
      </c>
      <c r="W65">
        <v>24</v>
      </c>
      <c r="X65">
        <v>29500</v>
      </c>
      <c r="Y65">
        <f t="shared" si="6"/>
        <v>-59.492030302036397</v>
      </c>
      <c r="Z65">
        <f t="shared" si="7"/>
        <v>29159.924156917503</v>
      </c>
      <c r="AA65">
        <f t="shared" si="8"/>
        <v>1.0125634652656732</v>
      </c>
      <c r="AB65">
        <f t="shared" si="9"/>
        <v>29541.052892519678</v>
      </c>
    </row>
    <row r="66" spans="12:28" x14ac:dyDescent="0.3">
      <c r="L66">
        <v>38</v>
      </c>
      <c r="M66">
        <v>21000</v>
      </c>
      <c r="N66">
        <f t="shared" si="2"/>
        <v>-4.7912223120940354</v>
      </c>
      <c r="O66">
        <f t="shared" si="3"/>
        <v>29336.554326584297</v>
      </c>
      <c r="P66">
        <f t="shared" si="4"/>
        <v>0.69475805982534233</v>
      </c>
      <c r="Q66">
        <f t="shared" si="5"/>
        <v>20034.074321716336</v>
      </c>
      <c r="W66">
        <v>25</v>
      </c>
      <c r="X66">
        <v>21000</v>
      </c>
      <c r="Y66">
        <f t="shared" si="6"/>
        <v>-72.0484056861211</v>
      </c>
      <c r="Z66">
        <f t="shared" si="7"/>
        <v>29035.009253262004</v>
      </c>
      <c r="AA66">
        <f t="shared" si="8"/>
        <v>0.72852723228226435</v>
      </c>
      <c r="AB66">
        <f t="shared" si="9"/>
        <v>21238.742079013904</v>
      </c>
    </row>
    <row r="67" spans="12:28" x14ac:dyDescent="0.3">
      <c r="L67" s="65">
        <v>39</v>
      </c>
      <c r="M67" s="65">
        <v>20500</v>
      </c>
      <c r="N67">
        <f t="shared" si="2"/>
        <v>71.002527185332013</v>
      </c>
      <c r="O67">
        <f t="shared" si="3"/>
        <v>29726.673635589967</v>
      </c>
      <c r="P67">
        <f t="shared" si="4"/>
        <v>0.66177922575736214</v>
      </c>
      <c r="Q67">
        <f t="shared" si="5"/>
        <v>19207.023535785182</v>
      </c>
      <c r="W67" s="65">
        <v>26</v>
      </c>
      <c r="X67" s="65">
        <v>20500</v>
      </c>
      <c r="Y67">
        <f t="shared" si="6"/>
        <v>5.9970588148197095</v>
      </c>
      <c r="Z67">
        <f t="shared" si="7"/>
        <v>29369.603559638239</v>
      </c>
      <c r="AA67">
        <f t="shared" si="8"/>
        <v>0.66869766580904222</v>
      </c>
      <c r="AB67">
        <f t="shared" si="9"/>
        <v>19155.289603229729</v>
      </c>
    </row>
    <row r="68" spans="12:28" x14ac:dyDescent="0.3">
      <c r="L68">
        <v>40</v>
      </c>
      <c r="M68">
        <v>22500</v>
      </c>
      <c r="N68">
        <f t="shared" si="2"/>
        <v>67.753562709084321</v>
      </c>
      <c r="O68">
        <f t="shared" si="3"/>
        <v>29780.747982073655</v>
      </c>
      <c r="P68">
        <f t="shared" si="4"/>
        <v>0.7568990551817506</v>
      </c>
      <c r="Q68">
        <f t="shared" si="5"/>
        <v>22564.093765995895</v>
      </c>
      <c r="W68">
        <v>27</v>
      </c>
      <c r="X68">
        <v>22500</v>
      </c>
      <c r="Y68">
        <f t="shared" si="6"/>
        <v>36.467120637499143</v>
      </c>
      <c r="Z68">
        <f t="shared" si="7"/>
        <v>29534.35972963924</v>
      </c>
      <c r="AA68">
        <f t="shared" si="8"/>
        <v>0.74899600703977676</v>
      </c>
      <c r="AB68">
        <f t="shared" si="9"/>
        <v>21907.996106212766</v>
      </c>
    </row>
    <row r="69" spans="12:28" x14ac:dyDescent="0.3">
      <c r="L69">
        <v>41</v>
      </c>
      <c r="M69">
        <v>25500</v>
      </c>
      <c r="N69">
        <f t="shared" si="2"/>
        <v>48.520262416704313</v>
      </c>
      <c r="O69">
        <f t="shared" si="3"/>
        <v>29748.289681828053</v>
      </c>
      <c r="P69">
        <f t="shared" si="4"/>
        <v>0.8665586303545082</v>
      </c>
      <c r="Q69">
        <f t="shared" si="5"/>
        <v>25935.370565740723</v>
      </c>
      <c r="W69">
        <v>28</v>
      </c>
      <c r="X69">
        <v>25500</v>
      </c>
      <c r="Y69">
        <f t="shared" si="6"/>
        <v>21.716548114564471</v>
      </c>
      <c r="Z69">
        <f t="shared" si="7"/>
        <v>29493.971483298606</v>
      </c>
      <c r="AA69">
        <f t="shared" si="8"/>
        <v>0.87186877802019169</v>
      </c>
      <c r="AB69">
        <f t="shared" si="9"/>
        <v>25835.73886891552</v>
      </c>
    </row>
    <row r="70" spans="12:28" x14ac:dyDescent="0.3">
      <c r="L70">
        <v>42</v>
      </c>
      <c r="M70">
        <v>26000</v>
      </c>
      <c r="N70">
        <f t="shared" si="2"/>
        <v>28.471421867048022</v>
      </c>
      <c r="O70">
        <f t="shared" si="3"/>
        <v>29692.34884651217</v>
      </c>
      <c r="P70">
        <f t="shared" si="4"/>
        <v>0.88564516087469614</v>
      </c>
      <c r="Q70">
        <f t="shared" si="5"/>
        <v>26463.882923307599</v>
      </c>
      <c r="W70">
        <v>29</v>
      </c>
      <c r="X70">
        <v>26000</v>
      </c>
      <c r="Y70">
        <f t="shared" si="6"/>
        <v>5.6560866753222339</v>
      </c>
      <c r="Z70">
        <f t="shared" si="7"/>
        <v>29432.007709457401</v>
      </c>
      <c r="AA70">
        <f t="shared" si="8"/>
        <v>0.89152169047232477</v>
      </c>
      <c r="AB70">
        <f t="shared" si="9"/>
        <v>26373.864479890548</v>
      </c>
    </row>
    <row r="71" spans="12:28" x14ac:dyDescent="0.3">
      <c r="L71">
        <v>43</v>
      </c>
      <c r="M71">
        <v>26500</v>
      </c>
      <c r="N71">
        <f t="shared" si="2"/>
        <v>15.777665391529919</v>
      </c>
      <c r="O71">
        <f t="shared" si="3"/>
        <v>29654.681594050468</v>
      </c>
      <c r="P71">
        <f t="shared" si="4"/>
        <v>0.9000545607978685</v>
      </c>
      <c r="Q71">
        <f t="shared" si="5"/>
        <v>26798.174090208948</v>
      </c>
      <c r="W71">
        <v>30</v>
      </c>
      <c r="X71">
        <v>26500</v>
      </c>
      <c r="Y71">
        <f t="shared" si="6"/>
        <v>-3.448579637432764</v>
      </c>
      <c r="Z71">
        <f t="shared" si="7"/>
        <v>29390.225469953028</v>
      </c>
      <c r="AA71">
        <f t="shared" si="8"/>
        <v>0.90634772086154702</v>
      </c>
      <c r="AB71">
        <f t="shared" si="9"/>
        <v>26715.256047342053</v>
      </c>
    </row>
    <row r="72" spans="12:28" x14ac:dyDescent="0.3">
      <c r="L72">
        <v>44</v>
      </c>
      <c r="M72">
        <v>30500</v>
      </c>
      <c r="N72">
        <f t="shared" si="2"/>
        <v>15.545684324560495</v>
      </c>
      <c r="O72">
        <f t="shared" si="3"/>
        <v>29669.25056127071</v>
      </c>
      <c r="P72">
        <f t="shared" si="4"/>
        <v>1.0281343884945988</v>
      </c>
      <c r="Q72">
        <f t="shared" si="5"/>
        <v>30506.213723289198</v>
      </c>
      <c r="W72">
        <v>31</v>
      </c>
      <c r="X72">
        <v>30500</v>
      </c>
      <c r="Y72">
        <f t="shared" si="6"/>
        <v>15.591646887279445</v>
      </c>
      <c r="Z72">
        <f t="shared" si="7"/>
        <v>29485.98277501114</v>
      </c>
      <c r="AA72">
        <f t="shared" si="8"/>
        <v>1.0234010060339271</v>
      </c>
      <c r="AB72">
        <f t="shared" si="9"/>
        <v>29993.725681008509</v>
      </c>
    </row>
    <row r="73" spans="12:28" x14ac:dyDescent="0.3">
      <c r="L73">
        <v>45</v>
      </c>
      <c r="M73">
        <v>34000</v>
      </c>
      <c r="N73">
        <f t="shared" si="2"/>
        <v>-23.551400935472586</v>
      </c>
      <c r="O73">
        <f t="shared" si="3"/>
        <v>29481.087485764885</v>
      </c>
      <c r="P73">
        <f t="shared" si="4"/>
        <v>1.1795072686279553</v>
      </c>
      <c r="Q73">
        <f t="shared" si="5"/>
        <v>35208.057775806767</v>
      </c>
      <c r="W73">
        <v>32</v>
      </c>
      <c r="X73">
        <v>34000</v>
      </c>
      <c r="Y73">
        <f t="shared" si="6"/>
        <v>6.3589814480147488</v>
      </c>
      <c r="Z73">
        <f t="shared" si="7"/>
        <v>29453.469177887197</v>
      </c>
      <c r="AA73">
        <f t="shared" si="8"/>
        <v>1.1604360523334944</v>
      </c>
      <c r="AB73">
        <f t="shared" si="9"/>
        <v>34279.480469240109</v>
      </c>
    </row>
    <row r="74" spans="12:28" x14ac:dyDescent="0.3">
      <c r="L74">
        <v>46</v>
      </c>
      <c r="M74">
        <v>39000</v>
      </c>
      <c r="N74">
        <f t="shared" si="2"/>
        <v>-60.113698521360618</v>
      </c>
      <c r="O74">
        <f t="shared" si="3"/>
        <v>29267.034408087169</v>
      </c>
      <c r="P74">
        <f t="shared" si="4"/>
        <v>1.3610552106320433</v>
      </c>
      <c r="Q74">
        <f t="shared" si="5"/>
        <v>40303.202626366154</v>
      </c>
      <c r="W74">
        <v>33</v>
      </c>
      <c r="X74">
        <v>39000</v>
      </c>
      <c r="Y74">
        <f t="shared" si="6"/>
        <v>-20.500326131777758</v>
      </c>
      <c r="Z74">
        <f t="shared" si="7"/>
        <v>29319.882273328829</v>
      </c>
      <c r="AA74">
        <f t="shared" si="8"/>
        <v>1.3508674133518588</v>
      </c>
      <c r="AB74">
        <f t="shared" si="9"/>
        <v>39948.864884926144</v>
      </c>
    </row>
    <row r="75" spans="12:28" x14ac:dyDescent="0.3">
      <c r="L75">
        <v>47</v>
      </c>
      <c r="M75">
        <v>40500</v>
      </c>
      <c r="N75">
        <f t="shared" si="2"/>
        <v>-73.872498119166494</v>
      </c>
      <c r="O75">
        <f t="shared" si="3"/>
        <v>29135.232807918343</v>
      </c>
      <c r="P75">
        <f t="shared" si="4"/>
        <v>1.4011232959712987</v>
      </c>
      <c r="Q75">
        <f t="shared" si="5"/>
        <v>41003.208469877587</v>
      </c>
      <c r="W75">
        <v>34</v>
      </c>
      <c r="X75">
        <v>40500</v>
      </c>
      <c r="Y75">
        <f t="shared" si="6"/>
        <v>-9.1390276125324181</v>
      </c>
      <c r="Z75">
        <f t="shared" si="7"/>
        <v>29358.578074377001</v>
      </c>
      <c r="AA75">
        <f t="shared" si="8"/>
        <v>1.3706650316063567</v>
      </c>
      <c r="AB75">
        <f t="shared" si="9"/>
        <v>40094.963037865062</v>
      </c>
    </row>
    <row r="76" spans="12:28" x14ac:dyDescent="0.3">
      <c r="L76">
        <v>48</v>
      </c>
      <c r="M76">
        <v>33500</v>
      </c>
      <c r="N76">
        <f t="shared" si="2"/>
        <v>-56.036963242412618</v>
      </c>
      <c r="O76">
        <f t="shared" si="3"/>
        <v>29154.289352117561</v>
      </c>
      <c r="P76">
        <f t="shared" si="4"/>
        <v>1.137486231968212</v>
      </c>
      <c r="Q76">
        <f t="shared" si="5"/>
        <v>32972.816782579946</v>
      </c>
      <c r="W76">
        <v>35</v>
      </c>
      <c r="X76">
        <v>33500</v>
      </c>
      <c r="Y76">
        <f t="shared" si="6"/>
        <v>-15.248289719839985</v>
      </c>
      <c r="Z76">
        <f t="shared" si="7"/>
        <v>29317.607768317976</v>
      </c>
      <c r="AA76">
        <f t="shared" si="8"/>
        <v>1.1466453608324663</v>
      </c>
      <c r="AB76">
        <f t="shared" si="9"/>
        <v>33682.654591011997</v>
      </c>
    </row>
    <row r="77" spans="12:28" x14ac:dyDescent="0.3">
      <c r="L77">
        <v>49</v>
      </c>
      <c r="M77">
        <v>32000</v>
      </c>
      <c r="N77">
        <f t="shared" si="2"/>
        <v>-51.412635424571235</v>
      </c>
      <c r="O77">
        <f t="shared" si="3"/>
        <v>29122.346667989725</v>
      </c>
      <c r="P77">
        <f t="shared" si="4"/>
        <v>1.0959130286881407</v>
      </c>
      <c r="Q77">
        <f t="shared" si="5"/>
        <v>31868.061155347805</v>
      </c>
      <c r="W77">
        <v>36</v>
      </c>
      <c r="X77">
        <v>32000</v>
      </c>
      <c r="Y77">
        <f t="shared" si="6"/>
        <v>-14.526495885691526</v>
      </c>
      <c r="Z77">
        <f t="shared" si="7"/>
        <v>29306.120263470708</v>
      </c>
      <c r="AA77">
        <f t="shared" si="8"/>
        <v>1.0914739209843771</v>
      </c>
      <c r="AB77">
        <f t="shared" si="9"/>
        <v>31979.478113765748</v>
      </c>
    </row>
    <row r="78" spans="12:28" x14ac:dyDescent="0.3">
      <c r="L78">
        <v>50</v>
      </c>
      <c r="M78">
        <v>29000</v>
      </c>
      <c r="N78">
        <f t="shared" si="2"/>
        <v>-44.298327630369698</v>
      </c>
      <c r="O78">
        <f t="shared" si="3"/>
        <v>29108.001931825918</v>
      </c>
      <c r="P78">
        <f t="shared" si="4"/>
        <v>0.99225023521135247</v>
      </c>
      <c r="Q78">
        <f t="shared" si="5"/>
        <v>28816.284005291825</v>
      </c>
      <c r="W78">
        <v>37</v>
      </c>
      <c r="X78">
        <v>29000</v>
      </c>
      <c r="Y78">
        <f t="shared" si="6"/>
        <v>-39.531189868352797</v>
      </c>
      <c r="Z78">
        <f t="shared" si="7"/>
        <v>29161.311032509795</v>
      </c>
      <c r="AA78">
        <f t="shared" si="8"/>
        <v>1.0089444362708524</v>
      </c>
      <c r="AB78">
        <f t="shared" si="9"/>
        <v>29659.597688460279</v>
      </c>
    </row>
    <row r="79" spans="12:28" x14ac:dyDescent="0.3">
      <c r="L79">
        <v>51</v>
      </c>
      <c r="M79">
        <v>21500</v>
      </c>
      <c r="N79">
        <f t="shared" si="2"/>
        <v>27.955083499866298</v>
      </c>
      <c r="O79">
        <f t="shared" si="3"/>
        <v>29440.167800361636</v>
      </c>
      <c r="P79">
        <f t="shared" si="4"/>
        <v>0.70186539797084968</v>
      </c>
      <c r="Q79">
        <f t="shared" si="5"/>
        <v>20192.242327389707</v>
      </c>
      <c r="W79">
        <v>38</v>
      </c>
      <c r="X79">
        <v>21500</v>
      </c>
      <c r="Y79">
        <f t="shared" si="6"/>
        <v>-24.568060268045286</v>
      </c>
      <c r="Z79">
        <f t="shared" si="7"/>
        <v>29199.742702373493</v>
      </c>
      <c r="AA79">
        <f t="shared" si="8"/>
        <v>0.7300833574029636</v>
      </c>
      <c r="AB79">
        <f t="shared" si="9"/>
        <v>21216.009667893006</v>
      </c>
    </row>
    <row r="80" spans="12:28" x14ac:dyDescent="0.3">
      <c r="L80" s="65">
        <v>52</v>
      </c>
      <c r="M80" s="65">
        <v>20500</v>
      </c>
      <c r="N80">
        <f t="shared" si="2"/>
        <v>85.87751444213248</v>
      </c>
      <c r="O80">
        <f t="shared" si="3"/>
        <v>29769.917928047878</v>
      </c>
      <c r="P80">
        <f t="shared" si="4"/>
        <v>0.66714629975902473</v>
      </c>
      <c r="Q80">
        <f t="shared" si="5"/>
        <v>19501.391546604671</v>
      </c>
      <c r="W80" s="65">
        <v>39</v>
      </c>
      <c r="X80" s="65">
        <v>20500</v>
      </c>
      <c r="Y80">
        <f t="shared" si="6"/>
        <v>32.297041717948652</v>
      </c>
      <c r="Z80">
        <f t="shared" si="7"/>
        <v>29471.460652332324</v>
      </c>
      <c r="AA80">
        <f t="shared" si="8"/>
        <v>0.67407577083852355</v>
      </c>
      <c r="AB80">
        <f t="shared" si="9"/>
        <v>19509.371182747072</v>
      </c>
    </row>
    <row r="81" spans="12:29" x14ac:dyDescent="0.3">
      <c r="L81">
        <v>53</v>
      </c>
      <c r="M81">
        <v>24500</v>
      </c>
      <c r="N81">
        <f t="shared" si="2"/>
        <v>182.3442434126456</v>
      </c>
      <c r="O81">
        <f t="shared" si="3"/>
        <v>30358.419041993104</v>
      </c>
      <c r="P81">
        <f t="shared" si="4"/>
        <v>0.7669242235424536</v>
      </c>
      <c r="Q81">
        <f t="shared" si="5"/>
        <v>22597.823362120307</v>
      </c>
      <c r="R81">
        <f t="shared" ref="R81:R93" si="10">ABS(Q81-M81)</f>
        <v>1902.1766378796929</v>
      </c>
      <c r="W81">
        <v>40</v>
      </c>
      <c r="X81">
        <v>24500</v>
      </c>
      <c r="Y81">
        <f t="shared" si="6"/>
        <v>155.38699474896586</v>
      </c>
      <c r="Z81">
        <f t="shared" si="7"/>
        <v>30145.097106253495</v>
      </c>
      <c r="AA81">
        <f t="shared" si="8"/>
        <v>0.7617439682012036</v>
      </c>
      <c r="AB81">
        <f t="shared" si="9"/>
        <v>22098.196705512746</v>
      </c>
    </row>
    <row r="82" spans="12:29" x14ac:dyDescent="0.3">
      <c r="L82">
        <v>54</v>
      </c>
      <c r="M82">
        <v>27500</v>
      </c>
      <c r="N82">
        <f t="shared" si="2"/>
        <v>228.1748013435186</v>
      </c>
      <c r="O82">
        <f t="shared" si="3"/>
        <v>30779.55566740402</v>
      </c>
      <c r="P82">
        <f t="shared" si="4"/>
        <v>0.87193694319877446</v>
      </c>
      <c r="Q82">
        <f t="shared" si="5"/>
        <v>26465.362002582457</v>
      </c>
      <c r="R82">
        <f t="shared" si="10"/>
        <v>1034.6379974175434</v>
      </c>
      <c r="W82">
        <v>41</v>
      </c>
      <c r="X82">
        <v>27500</v>
      </c>
      <c r="Y82">
        <f t="shared" si="6"/>
        <v>203.02157303201972</v>
      </c>
      <c r="Z82">
        <f t="shared" si="7"/>
        <v>30548.676026373527</v>
      </c>
      <c r="AA82">
        <f t="shared" si="8"/>
        <v>0.8775355582237182</v>
      </c>
      <c r="AB82">
        <f t="shared" si="9"/>
        <v>26418.046046561263</v>
      </c>
    </row>
    <row r="83" spans="12:29" x14ac:dyDescent="0.3">
      <c r="L83">
        <v>55</v>
      </c>
      <c r="M83">
        <v>28000</v>
      </c>
      <c r="N83">
        <f t="shared" si="2"/>
        <v>251.49923655279429</v>
      </c>
      <c r="O83">
        <f t="shared" si="3"/>
        <v>31129.258499254785</v>
      </c>
      <c r="P83">
        <f t="shared" si="4"/>
        <v>0.88841119430609194</v>
      </c>
      <c r="Q83">
        <f t="shared" si="5"/>
        <v>27461.846439353129</v>
      </c>
      <c r="R83">
        <f t="shared" si="10"/>
        <v>538.15356064687148</v>
      </c>
      <c r="W83">
        <v>42</v>
      </c>
      <c r="X83">
        <v>28000</v>
      </c>
      <c r="Y83">
        <f t="shared" si="6"/>
        <v>228.17460108743902</v>
      </c>
      <c r="Z83">
        <f t="shared" si="7"/>
        <v>30882.753204115452</v>
      </c>
      <c r="AA83">
        <f t="shared" si="8"/>
        <v>0.89454833549933044</v>
      </c>
      <c r="AB83">
        <f t="shared" si="9"/>
        <v>27415.805428715765</v>
      </c>
    </row>
    <row r="84" spans="12:29" x14ac:dyDescent="0.3">
      <c r="L84">
        <v>56</v>
      </c>
      <c r="M84">
        <v>28000</v>
      </c>
      <c r="N84">
        <f t="shared" si="2"/>
        <v>241.07638408328341</v>
      </c>
      <c r="O84">
        <f t="shared" si="3"/>
        <v>31326.451223280172</v>
      </c>
      <c r="P84">
        <f t="shared" si="4"/>
        <v>0.89880631664961352</v>
      </c>
      <c r="Q84">
        <f t="shared" si="5"/>
        <v>28244.394121406604</v>
      </c>
      <c r="R84">
        <f t="shared" si="10"/>
        <v>244.39412140660352</v>
      </c>
      <c r="W84">
        <v>43</v>
      </c>
      <c r="X84">
        <v>28000</v>
      </c>
      <c r="Y84">
        <f t="shared" si="6"/>
        <v>219.81784641505814</v>
      </c>
      <c r="Z84">
        <f t="shared" si="7"/>
        <v>31067.386346314197</v>
      </c>
      <c r="AA84">
        <f t="shared" si="8"/>
        <v>0.90533151173247917</v>
      </c>
      <c r="AB84">
        <f t="shared" si="9"/>
        <v>28197.318510133769</v>
      </c>
    </row>
    <row r="85" spans="12:29" x14ac:dyDescent="0.3">
      <c r="L85">
        <v>57</v>
      </c>
      <c r="M85">
        <v>31500</v>
      </c>
      <c r="N85">
        <f t="shared" si="2"/>
        <v>205.3969045762625</v>
      </c>
      <c r="O85">
        <f t="shared" si="3"/>
        <v>31381.625705126287</v>
      </c>
      <c r="P85">
        <f t="shared" si="4"/>
        <v>1.0232619286578128</v>
      </c>
      <c r="Q85">
        <f t="shared" si="5"/>
        <v>32455.660692882993</v>
      </c>
      <c r="R85">
        <f t="shared" si="10"/>
        <v>955.66069288299332</v>
      </c>
      <c r="W85">
        <v>44</v>
      </c>
      <c r="X85">
        <v>31500</v>
      </c>
      <c r="Y85">
        <f t="shared" si="6"/>
        <v>200.33805992950593</v>
      </c>
      <c r="Z85">
        <f t="shared" si="7"/>
        <v>31185.708055092902</v>
      </c>
      <c r="AA85">
        <f t="shared" si="8"/>
        <v>1.0207364200849507</v>
      </c>
      <c r="AB85">
        <f t="shared" si="9"/>
        <v>32019.356246828025</v>
      </c>
    </row>
    <row r="86" spans="12:29" x14ac:dyDescent="0.3">
      <c r="L86">
        <v>58</v>
      </c>
      <c r="M86">
        <v>35000</v>
      </c>
      <c r="N86">
        <f t="shared" si="2"/>
        <v>131.94226515248621</v>
      </c>
      <c r="O86">
        <f t="shared" si="3"/>
        <v>31204.299616382588</v>
      </c>
      <c r="P86">
        <f t="shared" si="4"/>
        <v>1.1679338750112644</v>
      </c>
      <c r="Q86">
        <f t="shared" si="5"/>
        <v>37257.122762459723</v>
      </c>
      <c r="R86">
        <f t="shared" si="10"/>
        <v>2257.1227624597232</v>
      </c>
      <c r="W86">
        <v>45</v>
      </c>
      <c r="X86">
        <v>35000</v>
      </c>
      <c r="Y86">
        <f t="shared" si="6"/>
        <v>153.31724455043755</v>
      </c>
      <c r="Z86">
        <f t="shared" si="7"/>
        <v>31141.05209760712</v>
      </c>
      <c r="AA86">
        <f t="shared" si="8"/>
        <v>1.153132512568078</v>
      </c>
      <c r="AB86">
        <f t="shared" si="9"/>
        <v>36421.499452073615</v>
      </c>
    </row>
    <row r="87" spans="12:29" x14ac:dyDescent="0.3">
      <c r="L87">
        <v>59</v>
      </c>
      <c r="M87">
        <v>40500</v>
      </c>
      <c r="N87">
        <f t="shared" si="2"/>
        <v>71.296685383932285</v>
      </c>
      <c r="O87">
        <f t="shared" si="3"/>
        <v>31020.258330288718</v>
      </c>
      <c r="P87">
        <f t="shared" si="4"/>
        <v>1.3499638508034131</v>
      </c>
      <c r="Q87">
        <f t="shared" si="5"/>
        <v>42650.355294489382</v>
      </c>
      <c r="R87">
        <f t="shared" si="10"/>
        <v>2150.3552944893818</v>
      </c>
      <c r="W87">
        <v>46</v>
      </c>
      <c r="X87">
        <v>40500</v>
      </c>
      <c r="Y87">
        <f t="shared" si="6"/>
        <v>102.89308577301968</v>
      </c>
      <c r="Z87">
        <f t="shared" si="7"/>
        <v>31031.642778739322</v>
      </c>
      <c r="AA87">
        <f t="shared" si="8"/>
        <v>1.3417178170981465</v>
      </c>
      <c r="AB87">
        <f t="shared" si="9"/>
        <v>42274.543765718096</v>
      </c>
    </row>
    <row r="88" spans="12:29" x14ac:dyDescent="0.3">
      <c r="L88">
        <v>60</v>
      </c>
      <c r="M88">
        <v>42500</v>
      </c>
      <c r="N88">
        <f t="shared" si="2"/>
        <v>42.17186404594657</v>
      </c>
      <c r="O88">
        <f t="shared" si="3"/>
        <v>30939.805052840828</v>
      </c>
      <c r="P88">
        <f t="shared" si="4"/>
        <v>1.3956256425058469</v>
      </c>
      <c r="Q88">
        <f t="shared" si="5"/>
        <v>43563.102040432226</v>
      </c>
      <c r="R88">
        <f t="shared" si="10"/>
        <v>1063.1020404322262</v>
      </c>
      <c r="W88">
        <v>47</v>
      </c>
      <c r="X88">
        <v>42500</v>
      </c>
      <c r="Y88">
        <f t="shared" si="6"/>
        <v>97.991687559000312</v>
      </c>
      <c r="Z88">
        <f t="shared" si="7"/>
        <v>31108.997956891555</v>
      </c>
      <c r="AA88">
        <f t="shared" si="8"/>
        <v>1.3697648697430986</v>
      </c>
      <c r="AB88">
        <f t="shared" si="9"/>
        <v>42675.019584781054</v>
      </c>
    </row>
    <row r="89" spans="12:29" x14ac:dyDescent="0.3">
      <c r="L89">
        <v>61</v>
      </c>
      <c r="M89">
        <v>35500</v>
      </c>
      <c r="N89">
        <f t="shared" si="2"/>
        <v>50.892693310676499</v>
      </c>
      <c r="O89">
        <f t="shared" si="3"/>
        <v>31027.415324952111</v>
      </c>
      <c r="P89">
        <f t="shared" si="4"/>
        <v>1.1388188744209735</v>
      </c>
      <c r="Q89">
        <f t="shared" si="5"/>
        <v>35241.572182115662</v>
      </c>
      <c r="R89">
        <f t="shared" si="10"/>
        <v>258.42781788433786</v>
      </c>
      <c r="W89">
        <v>48</v>
      </c>
      <c r="X89">
        <v>35500</v>
      </c>
      <c r="Y89">
        <f t="shared" si="6"/>
        <v>88.506222694167803</v>
      </c>
      <c r="Z89">
        <f t="shared" si="7"/>
        <v>31157.56723172648</v>
      </c>
      <c r="AA89">
        <f t="shared" si="8"/>
        <v>1.1451903055041799</v>
      </c>
      <c r="AB89">
        <f t="shared" si="9"/>
        <v>35783.349901356043</v>
      </c>
    </row>
    <row r="90" spans="12:29" x14ac:dyDescent="0.3">
      <c r="L90">
        <v>62</v>
      </c>
      <c r="M90">
        <v>34000</v>
      </c>
      <c r="N90">
        <f t="shared" si="2"/>
        <v>48.821872134773372</v>
      </c>
      <c r="O90">
        <f t="shared" si="3"/>
        <v>31067.518354256685</v>
      </c>
      <c r="P90">
        <f t="shared" si="4"/>
        <v>1.0956085426143032</v>
      </c>
      <c r="Q90">
        <f t="shared" si="5"/>
        <v>34059.122666797302</v>
      </c>
      <c r="R90">
        <f t="shared" si="10"/>
        <v>59.122666797302372</v>
      </c>
      <c r="W90">
        <v>49</v>
      </c>
      <c r="X90">
        <v>34000</v>
      </c>
      <c r="Y90">
        <f t="shared" si="6"/>
        <v>84.839073087669263</v>
      </c>
      <c r="Z90">
        <f t="shared" si="7"/>
        <v>31226.96639072309</v>
      </c>
      <c r="AA90">
        <f t="shared" si="8"/>
        <v>1.0909396427206091</v>
      </c>
      <c r="AB90">
        <f t="shared" si="9"/>
        <v>34104.274308662367</v>
      </c>
    </row>
    <row r="91" spans="12:29" x14ac:dyDescent="0.3">
      <c r="L91">
        <v>63</v>
      </c>
      <c r="M91">
        <v>30000</v>
      </c>
      <c r="N91">
        <f t="shared" si="2"/>
        <v>14.964851329611843</v>
      </c>
      <c r="O91">
        <f t="shared" si="3"/>
        <v>30939.933937434122</v>
      </c>
      <c r="P91">
        <f t="shared" si="4"/>
        <v>0.98772432556811574</v>
      </c>
      <c r="Q91">
        <f t="shared" si="5"/>
        <v>30875.195908553393</v>
      </c>
      <c r="R91">
        <f t="shared" si="10"/>
        <v>875.19590855339266</v>
      </c>
      <c r="W91">
        <v>50</v>
      </c>
      <c r="X91">
        <v>30000</v>
      </c>
      <c r="Y91">
        <f t="shared" si="6"/>
        <v>24.27632933586203</v>
      </c>
      <c r="Z91">
        <f t="shared" si="7"/>
        <v>30996.253515639888</v>
      </c>
      <c r="AA91">
        <f t="shared" si="8"/>
        <v>1.0007273301021786</v>
      </c>
      <c r="AB91">
        <f t="shared" si="9"/>
        <v>31591.871912307142</v>
      </c>
    </row>
    <row r="92" spans="12:29" x14ac:dyDescent="0.3">
      <c r="L92">
        <v>64</v>
      </c>
      <c r="M92">
        <v>22500</v>
      </c>
      <c r="N92">
        <f t="shared" si="2"/>
        <v>57.285769316756145</v>
      </c>
      <c r="O92">
        <f t="shared" si="3"/>
        <v>31175.404784561266</v>
      </c>
      <c r="P92">
        <f t="shared" si="4"/>
        <v>0.70583687560368003</v>
      </c>
      <c r="Q92">
        <f t="shared" si="5"/>
        <v>21726.172357523032</v>
      </c>
      <c r="R92">
        <f t="shared" si="10"/>
        <v>773.82764247696832</v>
      </c>
      <c r="W92">
        <v>51</v>
      </c>
      <c r="X92">
        <v>22500</v>
      </c>
      <c r="Y92">
        <f t="shared" si="6"/>
        <v>16.517469851016664</v>
      </c>
      <c r="Z92">
        <f t="shared" si="7"/>
        <v>30980.103617986093</v>
      </c>
      <c r="AA92">
        <f t="shared" si="8"/>
        <v>0.72932120332131978</v>
      </c>
      <c r="AB92">
        <f t="shared" si="9"/>
        <v>22647.57257763873</v>
      </c>
    </row>
    <row r="93" spans="12:29" x14ac:dyDescent="0.3">
      <c r="L93" s="65">
        <v>65</v>
      </c>
      <c r="M93" s="65">
        <v>22000</v>
      </c>
      <c r="N93">
        <f t="shared" si="2"/>
        <v>124.21374907054856</v>
      </c>
      <c r="O93">
        <f t="shared" si="3"/>
        <v>31581.407489243415</v>
      </c>
      <c r="P93">
        <f t="shared" si="4"/>
        <v>0.67303951938634043</v>
      </c>
      <c r="Q93">
        <f t="shared" si="5"/>
        <v>20836.773934538367</v>
      </c>
      <c r="R93">
        <f t="shared" si="10"/>
        <v>1163.226065461633</v>
      </c>
      <c r="S93">
        <f>AVERAGE(R81:R93)</f>
        <v>1021.184862214513</v>
      </c>
      <c r="W93" s="65">
        <v>52</v>
      </c>
      <c r="X93" s="65">
        <v>22000</v>
      </c>
      <c r="Y93">
        <f t="shared" si="6"/>
        <v>79.494634239028912</v>
      </c>
      <c r="Z93">
        <f t="shared" si="7"/>
        <v>31324.752966973141</v>
      </c>
      <c r="AA93">
        <f t="shared" si="8"/>
        <v>0.67972461345441948</v>
      </c>
      <c r="AB93">
        <f t="shared" si="9"/>
        <v>20894.071253173435</v>
      </c>
    </row>
    <row r="94" spans="12:29" x14ac:dyDescent="0.3">
      <c r="L94">
        <v>66</v>
      </c>
      <c r="M94">
        <v>23400</v>
      </c>
      <c r="N94">
        <f t="shared" ref="N94:N106" si="11">$T$19*(O94-O93)+(1-$T$19)*N93</f>
        <v>78.376652516945143</v>
      </c>
      <c r="O94">
        <f t="shared" ref="O94:O106" si="12">$S$19*(M94/P81)+(1-$S$19)*(N93+O93)</f>
        <v>31466.794787926232</v>
      </c>
      <c r="P94">
        <f t="shared" ref="P94:P106" si="13">$U$19*(M94/O94)+(1-$U$19)*P81</f>
        <v>0.76226758682404749</v>
      </c>
      <c r="Q94">
        <f t="shared" ref="Q94:Q106" si="14">(N93+O93)*P81</f>
        <v>24315.808950125065</v>
      </c>
      <c r="R94">
        <f>ABS(Q94-M94)</f>
        <v>915.80895012506517</v>
      </c>
      <c r="W94">
        <v>53</v>
      </c>
      <c r="X94">
        <v>23400</v>
      </c>
      <c r="Y94">
        <f t="shared" si="6"/>
        <v>53.190562631626165</v>
      </c>
      <c r="Z94">
        <f t="shared" si="7"/>
        <v>31267.194678468815</v>
      </c>
      <c r="AA94">
        <f t="shared" si="8"/>
        <v>0.75907281747475897</v>
      </c>
      <c r="AB94">
        <f t="shared" si="9"/>
        <v>23921.996186120487</v>
      </c>
      <c r="AC94">
        <f>ABS(AB94-X94)</f>
        <v>521.99618612048653</v>
      </c>
    </row>
    <row r="95" spans="12:29" x14ac:dyDescent="0.3">
      <c r="L95">
        <v>67</v>
      </c>
      <c r="M95">
        <v>25700</v>
      </c>
      <c r="N95">
        <f t="shared" si="11"/>
        <v>-1.1024799134260874</v>
      </c>
      <c r="O95">
        <f t="shared" si="12"/>
        <v>31131.058843759743</v>
      </c>
      <c r="P95">
        <f t="shared" si="13"/>
        <v>0.86265797653067766</v>
      </c>
      <c r="Q95">
        <f t="shared" si="14"/>
        <v>27505.400358461306</v>
      </c>
      <c r="R95">
        <f t="shared" ref="R95:R106" si="15">ABS(Q95-M95)</f>
        <v>1805.4003584613056</v>
      </c>
      <c r="W95">
        <v>54</v>
      </c>
      <c r="X95">
        <v>25700</v>
      </c>
      <c r="Y95">
        <f t="shared" si="6"/>
        <v>-24.878284212732758</v>
      </c>
      <c r="Z95">
        <f t="shared" si="7"/>
        <v>30913.620699286635</v>
      </c>
      <c r="AA95">
        <f t="shared" si="8"/>
        <v>0.86829819705561839</v>
      </c>
      <c r="AB95">
        <f t="shared" si="9"/>
        <v>27484.751746330981</v>
      </c>
      <c r="AC95">
        <f t="shared" ref="AC95:AC106" si="16">ABS(AB95-X95)</f>
        <v>1784.7517463309814</v>
      </c>
    </row>
    <row r="96" spans="12:29" x14ac:dyDescent="0.3">
      <c r="L96">
        <v>68</v>
      </c>
      <c r="M96">
        <v>25400</v>
      </c>
      <c r="N96">
        <f t="shared" si="11"/>
        <v>-98.585409990825283</v>
      </c>
      <c r="O96">
        <f t="shared" si="12"/>
        <v>30622.038020097069</v>
      </c>
      <c r="P96">
        <f t="shared" si="13"/>
        <v>0.876622551314163</v>
      </c>
      <c r="Q96">
        <f t="shared" si="14"/>
        <v>27656.201711901234</v>
      </c>
      <c r="R96">
        <f t="shared" si="15"/>
        <v>2256.2017119012344</v>
      </c>
      <c r="W96">
        <v>55</v>
      </c>
      <c r="X96">
        <v>25400</v>
      </c>
      <c r="Y96">
        <f t="shared" si="6"/>
        <v>-120.63131267883685</v>
      </c>
      <c r="Z96">
        <f t="shared" si="7"/>
        <v>30389.837431515618</v>
      </c>
      <c r="AA96">
        <f t="shared" si="8"/>
        <v>0.88279981269475483</v>
      </c>
      <c r="AB96">
        <f t="shared" si="9"/>
        <v>27631.473113071926</v>
      </c>
      <c r="AC96">
        <f t="shared" si="16"/>
        <v>2231.4731130719265</v>
      </c>
    </row>
    <row r="97" spans="12:30" x14ac:dyDescent="0.3">
      <c r="L97">
        <v>69</v>
      </c>
      <c r="M97">
        <v>26000</v>
      </c>
      <c r="N97">
        <f t="shared" si="11"/>
        <v>-159.85587583697856</v>
      </c>
      <c r="O97">
        <f t="shared" si="12"/>
        <v>30204.213195486533</v>
      </c>
      <c r="P97">
        <f t="shared" si="13"/>
        <v>0.89120646558177374</v>
      </c>
      <c r="Q97">
        <f t="shared" si="14"/>
        <v>27434.672011918625</v>
      </c>
      <c r="R97">
        <f t="shared" si="15"/>
        <v>1434.6720119186248</v>
      </c>
      <c r="W97">
        <v>56</v>
      </c>
      <c r="X97">
        <v>26000</v>
      </c>
      <c r="Y97">
        <f t="shared" si="6"/>
        <v>-180.14554791068525</v>
      </c>
      <c r="Z97">
        <f t="shared" si="7"/>
        <v>29959.117247231639</v>
      </c>
      <c r="AA97">
        <f t="shared" si="8"/>
        <v>0.89783507651818351</v>
      </c>
      <c r="AB97">
        <f t="shared" si="9"/>
        <v>27403.666134508512</v>
      </c>
      <c r="AC97">
        <f t="shared" si="16"/>
        <v>1403.6661345085122</v>
      </c>
    </row>
    <row r="98" spans="12:30" x14ac:dyDescent="0.3">
      <c r="L98">
        <v>70</v>
      </c>
      <c r="M98">
        <v>30400</v>
      </c>
      <c r="N98">
        <f t="shared" si="11"/>
        <v>-172.73198431152173</v>
      </c>
      <c r="O98">
        <f t="shared" si="12"/>
        <v>29977.268531026428</v>
      </c>
      <c r="P98">
        <f t="shared" si="13"/>
        <v>1.0214298897402774</v>
      </c>
      <c r="Q98">
        <f t="shared" si="14"/>
        <v>30743.247016189078</v>
      </c>
      <c r="R98">
        <f t="shared" si="15"/>
        <v>343.24701618907784</v>
      </c>
      <c r="W98">
        <v>57</v>
      </c>
      <c r="X98">
        <v>30400</v>
      </c>
      <c r="Y98">
        <f t="shared" si="6"/>
        <v>-180.01321297744062</v>
      </c>
      <c r="Z98">
        <f t="shared" si="7"/>
        <v>29779.66120814122</v>
      </c>
      <c r="AA98">
        <f t="shared" si="8"/>
        <v>1.0207553271305319</v>
      </c>
      <c r="AB98">
        <f t="shared" si="9"/>
        <v>30396.480966175932</v>
      </c>
      <c r="AC98">
        <f t="shared" si="16"/>
        <v>3.519033824068174</v>
      </c>
    </row>
    <row r="99" spans="12:30" x14ac:dyDescent="0.3">
      <c r="L99">
        <v>71</v>
      </c>
      <c r="M99">
        <v>33900</v>
      </c>
      <c r="N99">
        <f t="shared" si="11"/>
        <v>-202.63107036369391</v>
      </c>
      <c r="O99">
        <f t="shared" si="12"/>
        <v>29648.752408351625</v>
      </c>
      <c r="P99">
        <f t="shared" si="13"/>
        <v>1.1630245130285952</v>
      </c>
      <c r="Q99">
        <f t="shared" si="14"/>
        <v>34809.727861919593</v>
      </c>
      <c r="R99">
        <f t="shared" si="15"/>
        <v>909.72786191959312</v>
      </c>
      <c r="W99">
        <v>58</v>
      </c>
      <c r="X99">
        <v>33900</v>
      </c>
      <c r="Y99">
        <f t="shared" si="6"/>
        <v>-187.74652339817391</v>
      </c>
      <c r="Z99">
        <f t="shared" si="7"/>
        <v>29559.354887257821</v>
      </c>
      <c r="AA99">
        <f t="shared" si="8"/>
        <v>1.1518750211800286</v>
      </c>
      <c r="AB99">
        <f t="shared" si="9"/>
        <v>34132.316463793883</v>
      </c>
      <c r="AC99">
        <f t="shared" si="16"/>
        <v>232.31646379388258</v>
      </c>
    </row>
    <row r="100" spans="12:30" x14ac:dyDescent="0.3">
      <c r="L100">
        <v>72</v>
      </c>
      <c r="M100">
        <v>38200</v>
      </c>
      <c r="N100">
        <f t="shared" si="11"/>
        <v>-246.73833729082685</v>
      </c>
      <c r="O100">
        <f t="shared" si="12"/>
        <v>29216.307872726393</v>
      </c>
      <c r="P100">
        <f t="shared" si="13"/>
        <v>1.3414688726731872</v>
      </c>
      <c r="Q100">
        <f t="shared" si="14"/>
        <v>39751.199352654738</v>
      </c>
      <c r="R100">
        <f t="shared" si="15"/>
        <v>1551.1993526547376</v>
      </c>
      <c r="W100">
        <v>59</v>
      </c>
      <c r="X100">
        <v>38200</v>
      </c>
      <c r="Y100">
        <f t="shared" si="6"/>
        <v>-222.31799677017085</v>
      </c>
      <c r="Z100">
        <f t="shared" si="7"/>
        <v>29191.479540463242</v>
      </c>
      <c r="AA100">
        <f t="shared" si="8"/>
        <v>1.3350944583502249</v>
      </c>
      <c r="AB100">
        <f t="shared" si="9"/>
        <v>39408.410258619428</v>
      </c>
      <c r="AC100">
        <f t="shared" si="16"/>
        <v>1208.4102586194276</v>
      </c>
    </row>
    <row r="101" spans="12:30" x14ac:dyDescent="0.3">
      <c r="L101">
        <v>73</v>
      </c>
      <c r="M101">
        <v>40200</v>
      </c>
      <c r="N101">
        <f t="shared" si="11"/>
        <v>-253.08279576515844</v>
      </c>
      <c r="O101">
        <f t="shared" si="12"/>
        <v>28936.512806039867</v>
      </c>
      <c r="P101">
        <f t="shared" si="13"/>
        <v>1.3943501655467192</v>
      </c>
      <c r="Q101">
        <f t="shared" si="14"/>
        <v>40430.674096010072</v>
      </c>
      <c r="R101">
        <f t="shared" si="15"/>
        <v>230.67409601007239</v>
      </c>
      <c r="W101">
        <v>60</v>
      </c>
      <c r="X101">
        <v>40200</v>
      </c>
      <c r="Y101">
        <f t="shared" si="6"/>
        <v>-207.77223776418467</v>
      </c>
      <c r="Z101">
        <f t="shared" si="7"/>
        <v>29044.949764431105</v>
      </c>
      <c r="AA101">
        <f t="shared" si="8"/>
        <v>1.3726242182535766</v>
      </c>
      <c r="AB101">
        <f t="shared" si="9"/>
        <v>39680.939788463518</v>
      </c>
      <c r="AC101">
        <f t="shared" si="16"/>
        <v>519.0602115364818</v>
      </c>
    </row>
    <row r="102" spans="12:30" x14ac:dyDescent="0.3">
      <c r="L102">
        <v>74</v>
      </c>
      <c r="M102">
        <v>34200</v>
      </c>
      <c r="N102">
        <f t="shared" si="11"/>
        <v>-201.3515545429004</v>
      </c>
      <c r="O102">
        <f t="shared" si="12"/>
        <v>28952.966906024973</v>
      </c>
      <c r="P102">
        <f t="shared" si="13"/>
        <v>1.1473003182807215</v>
      </c>
      <c r="Q102">
        <f t="shared" si="14"/>
        <v>32665.231478833815</v>
      </c>
      <c r="R102">
        <f t="shared" si="15"/>
        <v>1534.7685211661847</v>
      </c>
      <c r="W102">
        <v>61</v>
      </c>
      <c r="X102">
        <v>34200</v>
      </c>
      <c r="Y102">
        <f t="shared" si="6"/>
        <v>-168.35614262112045</v>
      </c>
      <c r="Z102">
        <f t="shared" si="7"/>
        <v>29042.548433616808</v>
      </c>
      <c r="AA102">
        <f t="shared" si="8"/>
        <v>1.1516687665031293</v>
      </c>
      <c r="AB102">
        <f t="shared" si="9"/>
        <v>33024.056141641959</v>
      </c>
      <c r="AC102">
        <f t="shared" si="16"/>
        <v>1175.9438583580413</v>
      </c>
    </row>
    <row r="103" spans="12:30" x14ac:dyDescent="0.3">
      <c r="L103">
        <v>75</v>
      </c>
      <c r="M103">
        <v>31500</v>
      </c>
      <c r="N103">
        <f t="shared" si="11"/>
        <v>-201.36961163509383</v>
      </c>
      <c r="O103">
        <f t="shared" si="12"/>
        <v>28751.521268052773</v>
      </c>
      <c r="P103">
        <f t="shared" si="13"/>
        <v>1.0956056744917326</v>
      </c>
      <c r="Q103">
        <f t="shared" si="14"/>
        <v>31500.515393044301</v>
      </c>
      <c r="R103">
        <f t="shared" si="15"/>
        <v>0.51539304430116317</v>
      </c>
      <c r="W103">
        <v>62</v>
      </c>
      <c r="X103">
        <v>31500</v>
      </c>
      <c r="Y103">
        <f t="shared" si="6"/>
        <v>-168.35617857315458</v>
      </c>
      <c r="Z103">
        <f t="shared" si="7"/>
        <v>28874.192103673686</v>
      </c>
      <c r="AA103">
        <f t="shared" si="8"/>
        <v>1.0909396370586117</v>
      </c>
      <c r="AB103">
        <f t="shared" si="9"/>
        <v>31500.001021784999</v>
      </c>
      <c r="AC103">
        <f t="shared" si="16"/>
        <v>1.0217849994660355E-3</v>
      </c>
    </row>
    <row r="104" spans="12:30" x14ac:dyDescent="0.3">
      <c r="L104">
        <v>76</v>
      </c>
      <c r="M104">
        <v>30000</v>
      </c>
      <c r="N104">
        <f t="shared" si="11"/>
        <v>-131.40494002403986</v>
      </c>
      <c r="O104">
        <f t="shared" si="12"/>
        <v>28914.69076185318</v>
      </c>
      <c r="P104">
        <f t="shared" si="13"/>
        <v>0.99768643500307508</v>
      </c>
      <c r="Q104">
        <f t="shared" si="14"/>
        <v>28199.679289702573</v>
      </c>
      <c r="R104">
        <f t="shared" si="15"/>
        <v>1800.3207102974266</v>
      </c>
      <c r="W104">
        <v>63</v>
      </c>
      <c r="X104">
        <v>30000</v>
      </c>
      <c r="Y104">
        <f t="shared" si="6"/>
        <v>-119.51628711424237</v>
      </c>
      <c r="Z104">
        <f t="shared" si="7"/>
        <v>28960.307931214913</v>
      </c>
      <c r="AA104">
        <f t="shared" si="8"/>
        <v>1.0077619815808698</v>
      </c>
      <c r="AB104">
        <f t="shared" si="9"/>
        <v>28726.714543677059</v>
      </c>
      <c r="AC104">
        <f t="shared" si="16"/>
        <v>1273.2854563229412</v>
      </c>
    </row>
    <row r="105" spans="12:30" x14ac:dyDescent="0.3">
      <c r="L105">
        <v>77</v>
      </c>
      <c r="M105">
        <v>21700</v>
      </c>
      <c r="N105">
        <f t="shared" si="11"/>
        <v>-56.155920379675976</v>
      </c>
      <c r="O105">
        <f t="shared" si="12"/>
        <v>29175.358130244305</v>
      </c>
      <c r="P105">
        <f t="shared" si="13"/>
        <v>0.71342517232852765</v>
      </c>
      <c r="Q105">
        <f t="shared" si="14"/>
        <v>20316.304534087583</v>
      </c>
      <c r="R105">
        <f t="shared" si="15"/>
        <v>1383.6954659124167</v>
      </c>
      <c r="W105">
        <v>64</v>
      </c>
      <c r="X105">
        <v>21700</v>
      </c>
      <c r="Y105">
        <f t="shared" si="6"/>
        <v>-84.47427318657013</v>
      </c>
      <c r="Z105">
        <f t="shared" si="7"/>
        <v>29023.372139595111</v>
      </c>
      <c r="AA105">
        <f t="shared" si="8"/>
        <v>0.73299161973017934</v>
      </c>
      <c r="AB105">
        <f t="shared" si="9"/>
        <v>21034.200866614967</v>
      </c>
      <c r="AC105">
        <f t="shared" si="16"/>
        <v>665.7991333850332</v>
      </c>
    </row>
    <row r="106" spans="12:30" x14ac:dyDescent="0.3">
      <c r="L106" s="65">
        <v>78</v>
      </c>
      <c r="M106" s="65">
        <v>21200</v>
      </c>
      <c r="N106">
        <f t="shared" si="11"/>
        <v>35.189179424548549</v>
      </c>
      <c r="O106">
        <f t="shared" si="12"/>
        <v>29595.140425563874</v>
      </c>
      <c r="P106">
        <f t="shared" si="13"/>
        <v>0.6816983795463718</v>
      </c>
      <c r="Q106">
        <f t="shared" si="14"/>
        <v>19598.373860240954</v>
      </c>
      <c r="R106">
        <f t="shared" si="15"/>
        <v>1601.6261397590461</v>
      </c>
      <c r="W106" s="65">
        <v>65</v>
      </c>
      <c r="X106" s="65">
        <v>21200</v>
      </c>
      <c r="Y106">
        <f t="shared" si="6"/>
        <v>1.9004174521239747</v>
      </c>
      <c r="Z106">
        <f t="shared" si="7"/>
        <v>29388.938604579074</v>
      </c>
      <c r="AA106">
        <f t="shared" si="8"/>
        <v>0.68805165842620475</v>
      </c>
      <c r="AB106">
        <f t="shared" si="9"/>
        <v>19670.481166041471</v>
      </c>
      <c r="AC106">
        <f t="shared" si="16"/>
        <v>1529.5188339585293</v>
      </c>
    </row>
    <row r="107" spans="12:30" x14ac:dyDescent="0.3">
      <c r="Q107" s="69" t="s">
        <v>49</v>
      </c>
      <c r="R107" s="69">
        <f>AVERAGE(R94:R106)</f>
        <v>1212.9121222583913</v>
      </c>
      <c r="V107" s="92">
        <v>2022</v>
      </c>
      <c r="W107">
        <v>66</v>
      </c>
      <c r="AB107">
        <f>(Y106+Z106)*AA94</f>
        <v>22309.786984400311</v>
      </c>
      <c r="AC107" s="69">
        <f>AVERAGE(AC94:AC106)</f>
        <v>965.3647270473316</v>
      </c>
      <c r="AD107" s="69" t="s">
        <v>64</v>
      </c>
    </row>
    <row r="108" spans="12:30" x14ac:dyDescent="0.3">
      <c r="V108" s="92"/>
      <c r="W108">
        <v>67</v>
      </c>
      <c r="AB108">
        <f>($Z$106+2*$Y$106)*$AA$95</f>
        <v>25521.662661828934</v>
      </c>
    </row>
    <row r="109" spans="12:30" x14ac:dyDescent="0.3">
      <c r="V109" s="92"/>
      <c r="W109">
        <v>68</v>
      </c>
      <c r="AB109">
        <f>($Z$106+3*$Y$106)*$AA$96</f>
        <v>25949.582559932387</v>
      </c>
    </row>
    <row r="110" spans="12:30" x14ac:dyDescent="0.3">
      <c r="V110" s="92"/>
      <c r="W110">
        <v>69</v>
      </c>
      <c r="AB110">
        <f>($Z$106+4*$Y$106)*$AA$97</f>
        <v>26393.244986624628</v>
      </c>
    </row>
    <row r="111" spans="12:30" x14ac:dyDescent="0.3">
      <c r="V111" s="92"/>
      <c r="W111">
        <v>70</v>
      </c>
      <c r="AB111">
        <f>($Z$106+5*$Y$106)*$AA$98</f>
        <v>30008.614945526366</v>
      </c>
    </row>
    <row r="112" spans="12:30" x14ac:dyDescent="0.3">
      <c r="V112" s="92"/>
      <c r="W112">
        <v>71</v>
      </c>
      <c r="AB112">
        <f>($Z$106+6*$Y$106)*$AA$99</f>
        <v>33865.518537965581</v>
      </c>
    </row>
    <row r="113" spans="22:28" x14ac:dyDescent="0.3">
      <c r="V113" s="92"/>
      <c r="W113">
        <v>72</v>
      </c>
      <c r="AB113">
        <f>($Z$106+7*$Y$106)*$AA$100</f>
        <v>39254.769725430691</v>
      </c>
    </row>
    <row r="114" spans="22:28" x14ac:dyDescent="0.3">
      <c r="V114" s="92"/>
      <c r="W114">
        <v>73</v>
      </c>
      <c r="AB114">
        <f>($Z$106+8*$Y$106)*$AA$101</f>
        <v>40360.83734956933</v>
      </c>
    </row>
    <row r="115" spans="22:28" x14ac:dyDescent="0.3">
      <c r="V115" s="92"/>
      <c r="W115">
        <v>74</v>
      </c>
      <c r="AB115">
        <f>($Z$106+9*$Y$106)*$AA$102</f>
        <v>33866.020534378142</v>
      </c>
    </row>
    <row r="116" spans="22:28" x14ac:dyDescent="0.3">
      <c r="V116" s="92"/>
      <c r="W116">
        <v>75</v>
      </c>
      <c r="AB116">
        <f>($Z$106+10*$Y$106)*$AA$103</f>
        <v>32082.290422072118</v>
      </c>
    </row>
    <row r="117" spans="22:28" x14ac:dyDescent="0.3">
      <c r="V117" s="92"/>
      <c r="W117">
        <v>76</v>
      </c>
      <c r="AB117">
        <f>($Z$106+11*$Y$106)*$AA$104</f>
        <v>29638.121857740349</v>
      </c>
    </row>
    <row r="118" spans="22:28" x14ac:dyDescent="0.3">
      <c r="V118" s="92"/>
      <c r="W118">
        <v>77</v>
      </c>
      <c r="AB118">
        <f>($Z$106+12*$Y$106)*$AA$105</f>
        <v>21558.561590717964</v>
      </c>
    </row>
    <row r="119" spans="22:28" x14ac:dyDescent="0.3">
      <c r="V119" s="92"/>
      <c r="W119" s="65">
        <v>78</v>
      </c>
      <c r="AB119">
        <f>($Z$106+13*$Y$106)*$AA$106</f>
        <v>20238.106556201812</v>
      </c>
    </row>
  </sheetData>
  <mergeCells count="6">
    <mergeCell ref="V107:V119"/>
    <mergeCell ref="L1:U1"/>
    <mergeCell ref="W1:AE1"/>
    <mergeCell ref="K3:K28"/>
    <mergeCell ref="V3:V41"/>
    <mergeCell ref="S20:U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6561-E422-44E8-ACB0-3FB5E7787A92}">
  <dimension ref="A1:AE121"/>
  <sheetViews>
    <sheetView zoomScale="70" zoomScaleNormal="70" workbookViewId="0">
      <selection activeCell="F39" sqref="F39"/>
    </sheetView>
  </sheetViews>
  <sheetFormatPr defaultRowHeight="14.4" x14ac:dyDescent="0.3"/>
  <cols>
    <col min="11" max="11" width="12.88671875" customWidth="1"/>
    <col min="20" max="20" width="14.77734375" bestFit="1" customWidth="1"/>
    <col min="21" max="21" width="7.109375" customWidth="1"/>
    <col min="22" max="22" width="11.77734375" customWidth="1"/>
  </cols>
  <sheetData>
    <row r="1" spans="1:31" x14ac:dyDescent="0.3">
      <c r="L1" s="93" t="s">
        <v>60</v>
      </c>
      <c r="M1" s="93"/>
      <c r="N1" s="93"/>
      <c r="O1" s="93"/>
      <c r="P1" s="93"/>
      <c r="Q1" s="93"/>
      <c r="R1" s="93"/>
      <c r="S1" s="93"/>
      <c r="T1" s="93"/>
      <c r="W1" s="93" t="s">
        <v>50</v>
      </c>
      <c r="X1" s="93"/>
      <c r="Y1" s="93"/>
      <c r="Z1" s="93"/>
      <c r="AA1" s="93"/>
      <c r="AB1" s="93"/>
      <c r="AC1" s="93"/>
      <c r="AD1" s="93"/>
      <c r="AE1" s="93"/>
    </row>
    <row r="2" spans="1:31" x14ac:dyDescent="0.3">
      <c r="A2" s="9"/>
      <c r="B2" s="67">
        <v>2014</v>
      </c>
      <c r="C2" s="67">
        <v>2015</v>
      </c>
      <c r="D2" s="67">
        <v>2016</v>
      </c>
      <c r="E2" s="67">
        <v>2017</v>
      </c>
      <c r="F2" s="67">
        <v>2018</v>
      </c>
      <c r="G2" s="67">
        <v>2019</v>
      </c>
      <c r="H2" s="67">
        <v>2020</v>
      </c>
      <c r="I2" s="67">
        <v>2021</v>
      </c>
      <c r="L2" t="s">
        <v>38</v>
      </c>
      <c r="M2" t="s">
        <v>0</v>
      </c>
      <c r="N2" t="s">
        <v>39</v>
      </c>
      <c r="O2" t="s">
        <v>40</v>
      </c>
      <c r="P2" t="s">
        <v>41</v>
      </c>
      <c r="Q2" t="s">
        <v>47</v>
      </c>
      <c r="R2" t="s">
        <v>48</v>
      </c>
      <c r="S2" t="s">
        <v>46</v>
      </c>
      <c r="T2" t="s">
        <v>42</v>
      </c>
      <c r="W2" t="s">
        <v>38</v>
      </c>
      <c r="X2" t="s">
        <v>0</v>
      </c>
      <c r="Y2" t="s">
        <v>39</v>
      </c>
      <c r="Z2" t="s">
        <v>40</v>
      </c>
      <c r="AA2" t="s">
        <v>41</v>
      </c>
      <c r="AB2" t="s">
        <v>47</v>
      </c>
      <c r="AC2" t="s">
        <v>48</v>
      </c>
      <c r="AD2" t="s">
        <v>46</v>
      </c>
      <c r="AE2" t="s">
        <v>51</v>
      </c>
    </row>
    <row r="3" spans="1:31" x14ac:dyDescent="0.3">
      <c r="A3" s="78" t="s">
        <v>25</v>
      </c>
      <c r="B3" s="53">
        <v>37500</v>
      </c>
      <c r="C3" s="53">
        <v>37500</v>
      </c>
      <c r="D3" s="53">
        <v>39000</v>
      </c>
      <c r="E3" s="9">
        <v>40500</v>
      </c>
      <c r="F3" s="9">
        <v>40500</v>
      </c>
      <c r="G3" s="9">
        <v>40000</v>
      </c>
      <c r="H3" s="9">
        <v>42500</v>
      </c>
      <c r="I3" s="9">
        <v>41000</v>
      </c>
      <c r="K3" s="94" t="s">
        <v>61</v>
      </c>
      <c r="L3">
        <v>-25</v>
      </c>
      <c r="M3" s="53">
        <v>37500</v>
      </c>
      <c r="P3">
        <f>M3/($B$16-(6*$N$28))</f>
        <v>0.75784753363228685</v>
      </c>
      <c r="S3">
        <v>1</v>
      </c>
      <c r="T3">
        <f>AVERAGE(P3,P16)</f>
        <v>0.75376850568170206</v>
      </c>
      <c r="V3" s="94" t="s">
        <v>61</v>
      </c>
      <c r="W3">
        <v>-38</v>
      </c>
      <c r="X3" s="53">
        <v>37500</v>
      </c>
      <c r="AA3">
        <f>X3/($B$16-(6*$N$28))</f>
        <v>0.75784753363228685</v>
      </c>
      <c r="AD3">
        <v>1</v>
      </c>
      <c r="AE3">
        <f>AVERAGE(AA3,AA16,AA29)</f>
        <v>0.75540442345206993</v>
      </c>
    </row>
    <row r="4" spans="1:31" x14ac:dyDescent="0.3">
      <c r="A4" s="78" t="s">
        <v>26</v>
      </c>
      <c r="B4" s="53">
        <v>38500</v>
      </c>
      <c r="C4" s="53">
        <v>39000</v>
      </c>
      <c r="D4" s="53">
        <v>40500</v>
      </c>
      <c r="E4" s="9">
        <v>42500</v>
      </c>
      <c r="F4" s="9">
        <v>42000</v>
      </c>
      <c r="G4" s="9">
        <v>42500</v>
      </c>
      <c r="H4" s="9">
        <v>43000</v>
      </c>
      <c r="I4" s="9">
        <v>41900</v>
      </c>
      <c r="K4" s="94"/>
      <c r="L4">
        <v>-24</v>
      </c>
      <c r="M4" s="53">
        <v>38500</v>
      </c>
      <c r="P4">
        <f>M4/($B$16-5*$N$28)</f>
        <v>0.77740605770954041</v>
      </c>
      <c r="S4">
        <v>2</v>
      </c>
      <c r="T4">
        <f t="shared" ref="T4:T15" si="0">AVERAGE(P4,P17)</f>
        <v>0.77821901490760392</v>
      </c>
      <c r="V4" s="94"/>
      <c r="W4">
        <v>-37</v>
      </c>
      <c r="X4" s="53">
        <v>38500</v>
      </c>
      <c r="AA4">
        <f>X4/($B$16-5*$N$28)</f>
        <v>0.77740605770954041</v>
      </c>
      <c r="AD4">
        <v>2</v>
      </c>
      <c r="AE4">
        <f t="shared" ref="AE4:AE15" si="1">AVERAGE(AA4,AA17,AA30)</f>
        <v>0.78121994556820684</v>
      </c>
    </row>
    <row r="5" spans="1:31" x14ac:dyDescent="0.3">
      <c r="A5" s="78" t="s">
        <v>27</v>
      </c>
      <c r="B5" s="53">
        <v>41500</v>
      </c>
      <c r="C5" s="53">
        <v>42000</v>
      </c>
      <c r="D5" s="53">
        <v>43000</v>
      </c>
      <c r="E5" s="9">
        <v>44000</v>
      </c>
      <c r="F5" s="9">
        <v>44500</v>
      </c>
      <c r="G5" s="9">
        <v>44000</v>
      </c>
      <c r="H5" s="9">
        <v>45500</v>
      </c>
      <c r="I5" s="9">
        <v>44300</v>
      </c>
      <c r="K5" s="94"/>
      <c r="L5">
        <v>-23</v>
      </c>
      <c r="M5" s="53">
        <v>41500</v>
      </c>
      <c r="P5">
        <f>M5/($B$16-4*$N$28)</f>
        <v>0.8372828747090072</v>
      </c>
      <c r="S5">
        <v>3</v>
      </c>
      <c r="T5">
        <f t="shared" si="0"/>
        <v>0.837773412553795</v>
      </c>
      <c r="V5" s="94"/>
      <c r="W5">
        <v>-36</v>
      </c>
      <c r="X5" s="53">
        <v>41500</v>
      </c>
      <c r="AA5">
        <f>X5/($B$16-4*$N$28)</f>
        <v>0.8372828747090072</v>
      </c>
      <c r="AD5">
        <v>3</v>
      </c>
      <c r="AE5">
        <f t="shared" si="1"/>
        <v>0.83689673039796564</v>
      </c>
    </row>
    <row r="6" spans="1:31" x14ac:dyDescent="0.3">
      <c r="A6" s="78" t="s">
        <v>28</v>
      </c>
      <c r="B6" s="53">
        <v>44000</v>
      </c>
      <c r="C6" s="53">
        <v>45000</v>
      </c>
      <c r="D6" s="53">
        <v>46000</v>
      </c>
      <c r="E6" s="9">
        <v>47500</v>
      </c>
      <c r="F6" s="9">
        <v>47500</v>
      </c>
      <c r="G6" s="9">
        <v>47000</v>
      </c>
      <c r="H6" s="9">
        <v>48000</v>
      </c>
      <c r="I6" s="9">
        <v>46600</v>
      </c>
      <c r="K6" s="94"/>
      <c r="L6">
        <v>-22</v>
      </c>
      <c r="M6" s="53">
        <v>44000</v>
      </c>
      <c r="P6">
        <f>M6/($B$16-3*$N$28)</f>
        <v>0.88698037812369523</v>
      </c>
      <c r="S6">
        <v>4</v>
      </c>
      <c r="T6">
        <f t="shared" si="0"/>
        <v>0.89218922735319217</v>
      </c>
      <c r="V6" s="94"/>
      <c r="W6">
        <v>-35</v>
      </c>
      <c r="X6" s="53">
        <v>44000</v>
      </c>
      <c r="AA6">
        <f>X6/($B$16-3*$N$28)</f>
        <v>0.88698037812369523</v>
      </c>
      <c r="AD6">
        <v>4</v>
      </c>
      <c r="AE6">
        <f t="shared" si="1"/>
        <v>0.89235650122717447</v>
      </c>
    </row>
    <row r="7" spans="1:31" x14ac:dyDescent="0.3">
      <c r="A7" s="78" t="s">
        <v>29</v>
      </c>
      <c r="B7" s="53">
        <v>49000</v>
      </c>
      <c r="C7" s="53">
        <v>49000</v>
      </c>
      <c r="D7" s="53">
        <v>51500</v>
      </c>
      <c r="E7" s="9">
        <v>52000</v>
      </c>
      <c r="F7" s="9">
        <v>52000</v>
      </c>
      <c r="G7" s="9">
        <v>52000</v>
      </c>
      <c r="H7" s="9">
        <v>54500</v>
      </c>
      <c r="I7" s="9">
        <v>52600</v>
      </c>
      <c r="K7" s="94"/>
      <c r="L7">
        <v>-21</v>
      </c>
      <c r="M7" s="53">
        <v>49000</v>
      </c>
      <c r="P7">
        <f>M7/($B$16-2*$N$28)</f>
        <v>0.98694952624992538</v>
      </c>
      <c r="S7">
        <v>5</v>
      </c>
      <c r="T7">
        <f t="shared" si="0"/>
        <v>0.98165491993684739</v>
      </c>
      <c r="V7" s="94"/>
      <c r="W7">
        <v>-34</v>
      </c>
      <c r="X7" s="53">
        <v>49000</v>
      </c>
      <c r="AA7">
        <f>X7/($B$16-2*$N$28)</f>
        <v>0.98694952624992538</v>
      </c>
      <c r="AD7">
        <v>5</v>
      </c>
      <c r="AE7">
        <f t="shared" si="1"/>
        <v>0.98731099418351154</v>
      </c>
    </row>
    <row r="8" spans="1:31" x14ac:dyDescent="0.3">
      <c r="A8" s="78" t="s">
        <v>30</v>
      </c>
      <c r="B8" s="53">
        <v>54500</v>
      </c>
      <c r="C8" s="53">
        <v>56000</v>
      </c>
      <c r="D8" s="53">
        <v>57500</v>
      </c>
      <c r="E8" s="9">
        <v>58000</v>
      </c>
      <c r="F8" s="9">
        <v>58500</v>
      </c>
      <c r="G8" s="9">
        <v>58500</v>
      </c>
      <c r="H8" s="9">
        <v>60000</v>
      </c>
      <c r="I8" s="9">
        <v>59000</v>
      </c>
      <c r="K8" s="94"/>
      <c r="L8">
        <v>-20</v>
      </c>
      <c r="M8" s="53">
        <v>54500</v>
      </c>
      <c r="P8">
        <f>M8/($B$16-1*$N$28)</f>
        <v>1.096814528133373</v>
      </c>
      <c r="S8">
        <v>6</v>
      </c>
      <c r="T8">
        <f t="shared" si="0"/>
        <v>1.1058673571337772</v>
      </c>
      <c r="V8" s="94"/>
      <c r="W8">
        <v>-33</v>
      </c>
      <c r="X8" s="53">
        <v>54500</v>
      </c>
      <c r="AA8">
        <f>X8/($B$16-1*$N$28)</f>
        <v>1.096814528133373</v>
      </c>
      <c r="AD8">
        <v>6</v>
      </c>
      <c r="AE8">
        <f t="shared" si="1"/>
        <v>1.1086025048322821</v>
      </c>
    </row>
    <row r="9" spans="1:31" x14ac:dyDescent="0.3">
      <c r="A9" s="78" t="s">
        <v>31</v>
      </c>
      <c r="B9" s="53">
        <v>63000</v>
      </c>
      <c r="C9" s="53">
        <v>63000</v>
      </c>
      <c r="D9" s="53">
        <v>65000</v>
      </c>
      <c r="E9" s="9">
        <v>66000</v>
      </c>
      <c r="F9" s="9">
        <v>66000</v>
      </c>
      <c r="G9" s="9">
        <v>66500</v>
      </c>
      <c r="H9" s="9">
        <v>68500</v>
      </c>
      <c r="I9" s="9">
        <v>67500</v>
      </c>
      <c r="K9" s="94"/>
      <c r="L9">
        <v>-19</v>
      </c>
      <c r="M9" s="53">
        <v>63000</v>
      </c>
      <c r="P9">
        <f>M9/($B$16-0*$N$28)</f>
        <v>1.2668213457076565</v>
      </c>
      <c r="S9">
        <v>7</v>
      </c>
      <c r="T9">
        <f t="shared" si="0"/>
        <v>1.260036533603637</v>
      </c>
      <c r="V9" s="94"/>
      <c r="W9">
        <v>-32</v>
      </c>
      <c r="X9" s="53">
        <v>63000</v>
      </c>
      <c r="AA9">
        <f>X9/($B$16-0*$N$28)</f>
        <v>1.2668213457076565</v>
      </c>
      <c r="AD9">
        <v>7</v>
      </c>
      <c r="AE9">
        <f t="shared" si="1"/>
        <v>1.2594832785453882</v>
      </c>
    </row>
    <row r="10" spans="1:31" x14ac:dyDescent="0.3">
      <c r="A10" s="78" t="s">
        <v>32</v>
      </c>
      <c r="B10" s="53">
        <v>66500</v>
      </c>
      <c r="C10" s="53">
        <v>67000</v>
      </c>
      <c r="D10" s="53">
        <v>68500</v>
      </c>
      <c r="E10" s="9">
        <v>69000</v>
      </c>
      <c r="F10" s="9">
        <v>69500</v>
      </c>
      <c r="G10" s="9">
        <v>69000</v>
      </c>
      <c r="H10" s="9">
        <v>70000</v>
      </c>
      <c r="I10" s="9">
        <v>68100</v>
      </c>
      <c r="K10" s="94"/>
      <c r="L10">
        <v>-18</v>
      </c>
      <c r="M10" s="53">
        <v>66500</v>
      </c>
      <c r="P10">
        <f>M10/($B$16-(-1)*$N$28)</f>
        <v>1.3360874992569696</v>
      </c>
      <c r="S10">
        <v>8</v>
      </c>
      <c r="T10">
        <f t="shared" si="0"/>
        <v>1.3339067311045212</v>
      </c>
      <c r="V10" s="94"/>
      <c r="W10">
        <v>-31</v>
      </c>
      <c r="X10" s="53">
        <v>66500</v>
      </c>
      <c r="AA10">
        <f>X10/($B$16-(-1)*$N$28)</f>
        <v>1.3360874992569696</v>
      </c>
      <c r="AD10">
        <v>8</v>
      </c>
      <c r="AE10">
        <f t="shared" si="1"/>
        <v>1.33096214397792</v>
      </c>
    </row>
    <row r="11" spans="1:31" x14ac:dyDescent="0.3">
      <c r="A11" s="78" t="s">
        <v>33</v>
      </c>
      <c r="B11" s="53">
        <v>57500</v>
      </c>
      <c r="C11" s="53">
        <v>57500</v>
      </c>
      <c r="D11" s="53">
        <v>59000</v>
      </c>
      <c r="E11" s="9">
        <v>60000</v>
      </c>
      <c r="F11" s="9">
        <v>60000</v>
      </c>
      <c r="G11" s="9">
        <v>60000</v>
      </c>
      <c r="H11" s="9">
        <v>61000</v>
      </c>
      <c r="I11" s="9">
        <v>59000</v>
      </c>
      <c r="K11" s="94"/>
      <c r="L11">
        <v>-17</v>
      </c>
      <c r="M11" s="53">
        <v>57500</v>
      </c>
      <c r="P11">
        <f>M11/($B$16-(-2)*$N$28)</f>
        <v>1.1543030231038784</v>
      </c>
      <c r="S11">
        <v>9</v>
      </c>
      <c r="T11">
        <f t="shared" si="0"/>
        <v>1.148131005059196</v>
      </c>
      <c r="V11" s="94"/>
      <c r="W11">
        <v>-30</v>
      </c>
      <c r="X11" s="53">
        <v>57500</v>
      </c>
      <c r="AA11">
        <f>X11/($B$16-(-2)*$N$28)</f>
        <v>1.1543030231038784</v>
      </c>
      <c r="AD11">
        <v>9</v>
      </c>
      <c r="AE11">
        <f t="shared" si="1"/>
        <v>1.1455506713737886</v>
      </c>
    </row>
    <row r="12" spans="1:31" x14ac:dyDescent="0.3">
      <c r="A12" s="78" t="s">
        <v>34</v>
      </c>
      <c r="B12" s="53">
        <v>56500</v>
      </c>
      <c r="C12" s="53">
        <v>57000</v>
      </c>
      <c r="D12" s="53">
        <v>58500</v>
      </c>
      <c r="E12" s="9">
        <v>59500</v>
      </c>
      <c r="F12" s="9">
        <v>59500</v>
      </c>
      <c r="G12" s="9">
        <v>59500</v>
      </c>
      <c r="H12" s="9">
        <v>60000</v>
      </c>
      <c r="I12" s="9">
        <v>58900</v>
      </c>
      <c r="K12" s="94"/>
      <c r="L12">
        <v>-16</v>
      </c>
      <c r="M12" s="53">
        <v>56500</v>
      </c>
      <c r="P12">
        <f>M12/($B$16-(-3)*$N$28)</f>
        <v>1.1332858584060292</v>
      </c>
      <c r="S12">
        <v>10</v>
      </c>
      <c r="T12">
        <f t="shared" si="0"/>
        <v>1.1321921571722509</v>
      </c>
      <c r="V12" s="94"/>
      <c r="W12">
        <v>-29</v>
      </c>
      <c r="X12" s="53">
        <v>56500</v>
      </c>
      <c r="AA12">
        <f>X12/($B$16-(-3)*$N$28)</f>
        <v>1.1332858584060292</v>
      </c>
      <c r="AD12">
        <v>10</v>
      </c>
      <c r="AE12">
        <f t="shared" si="1"/>
        <v>1.1314018224738229</v>
      </c>
    </row>
    <row r="13" spans="1:31" x14ac:dyDescent="0.3">
      <c r="A13" s="78" t="s">
        <v>35</v>
      </c>
      <c r="B13" s="53">
        <v>49500</v>
      </c>
      <c r="C13" s="53">
        <v>51000</v>
      </c>
      <c r="D13" s="53">
        <v>51500</v>
      </c>
      <c r="E13" s="9">
        <v>53500</v>
      </c>
      <c r="F13" s="9">
        <v>53500</v>
      </c>
      <c r="G13" s="9">
        <v>53000</v>
      </c>
      <c r="H13" s="9">
        <v>55000</v>
      </c>
      <c r="I13" s="9">
        <v>52200</v>
      </c>
      <c r="K13" s="94"/>
      <c r="L13">
        <v>-15</v>
      </c>
      <c r="M13" s="53">
        <v>49500</v>
      </c>
      <c r="P13">
        <f>M13/($B$16-(-4)*$N$28)</f>
        <v>0.9920545508449452</v>
      </c>
      <c r="S13">
        <v>11</v>
      </c>
      <c r="T13">
        <f t="shared" si="0"/>
        <v>1.0016294341600804</v>
      </c>
      <c r="V13" s="94"/>
      <c r="W13">
        <v>-28</v>
      </c>
      <c r="X13" s="53">
        <v>49500</v>
      </c>
      <c r="AA13">
        <f>X13/($B$16-(-4)*$N$28)</f>
        <v>0.9920545508449452</v>
      </c>
      <c r="AD13">
        <v>11</v>
      </c>
      <c r="AE13">
        <f t="shared" si="1"/>
        <v>1.0026684058335553</v>
      </c>
    </row>
    <row r="14" spans="1:31" x14ac:dyDescent="0.3">
      <c r="A14" s="78" t="s">
        <v>36</v>
      </c>
      <c r="B14" s="53">
        <v>45000</v>
      </c>
      <c r="C14" s="53">
        <v>45500</v>
      </c>
      <c r="D14" s="53">
        <v>46500</v>
      </c>
      <c r="E14" s="9">
        <v>48000</v>
      </c>
      <c r="F14" s="9">
        <v>48000</v>
      </c>
      <c r="G14" s="9">
        <v>48000</v>
      </c>
      <c r="H14" s="9">
        <v>49000</v>
      </c>
      <c r="I14" s="9">
        <v>47700</v>
      </c>
      <c r="K14" s="94"/>
      <c r="L14">
        <v>-14</v>
      </c>
      <c r="M14" s="53">
        <v>45000</v>
      </c>
      <c r="P14">
        <f>M14/($B$16-(-5)*$N$28)</f>
        <v>0.90111973458143257</v>
      </c>
      <c r="S14">
        <v>12</v>
      </c>
      <c r="T14">
        <f t="shared" si="0"/>
        <v>0.90126615648830155</v>
      </c>
      <c r="V14" s="94"/>
      <c r="W14">
        <v>-27</v>
      </c>
      <c r="X14" s="53">
        <v>45000</v>
      </c>
      <c r="AA14">
        <f>X14/($B$16-(-5)*$N$28)</f>
        <v>0.90111973458143257</v>
      </c>
      <c r="AD14">
        <v>12</v>
      </c>
      <c r="AE14">
        <f t="shared" si="1"/>
        <v>0.89972025242297293</v>
      </c>
    </row>
    <row r="15" spans="1:31" x14ac:dyDescent="0.3">
      <c r="A15" s="78" t="s">
        <v>37</v>
      </c>
      <c r="B15" s="53">
        <v>43500</v>
      </c>
      <c r="C15" s="53">
        <v>44000</v>
      </c>
      <c r="D15" s="53">
        <v>45000</v>
      </c>
      <c r="E15" s="9">
        <v>46000</v>
      </c>
      <c r="F15" s="9">
        <v>46000</v>
      </c>
      <c r="G15" s="9">
        <v>46000</v>
      </c>
      <c r="H15" s="9">
        <v>48000</v>
      </c>
      <c r="I15" s="9">
        <v>45700</v>
      </c>
      <c r="K15" s="94"/>
      <c r="L15" s="65">
        <v>-13</v>
      </c>
      <c r="M15" s="53">
        <v>43500</v>
      </c>
      <c r="N15" s="66"/>
      <c r="O15" s="66"/>
      <c r="P15" s="66">
        <f>M15/($B$16-(-6)*$N$28)</f>
        <v>0.87036050435091461</v>
      </c>
      <c r="Q15" s="66"/>
      <c r="S15">
        <v>13</v>
      </c>
      <c r="T15">
        <f t="shared" si="0"/>
        <v>0.87067073533797568</v>
      </c>
      <c r="V15" s="94"/>
      <c r="W15" s="65">
        <v>-26</v>
      </c>
      <c r="X15" s="53">
        <v>43500</v>
      </c>
      <c r="Y15" s="65"/>
      <c r="Z15" s="65"/>
      <c r="AA15" s="65">
        <f>X15/($B$16-(-6)*$N$28)</f>
        <v>0.87036050435091461</v>
      </c>
      <c r="AD15">
        <v>13</v>
      </c>
      <c r="AE15">
        <f t="shared" si="1"/>
        <v>0.86945131809588272</v>
      </c>
    </row>
    <row r="16" spans="1:31" x14ac:dyDescent="0.3">
      <c r="A16" s="76" t="s">
        <v>63</v>
      </c>
      <c r="B16" s="77">
        <f>AVERAGE(B3:B15)</f>
        <v>49730.769230769234</v>
      </c>
      <c r="C16" s="77">
        <f>AVERAGE(C3:C15)</f>
        <v>50269.230769230766</v>
      </c>
      <c r="D16" s="77">
        <f>AVERAGE(D3:D15)</f>
        <v>51653.846153846156</v>
      </c>
      <c r="K16" s="94"/>
      <c r="L16" s="66">
        <v>-12</v>
      </c>
      <c r="M16" s="53">
        <v>37500</v>
      </c>
      <c r="N16" s="66"/>
      <c r="O16" s="66"/>
      <c r="P16" s="66">
        <f>M16/($C$16-(6)*$N$28)</f>
        <v>0.74968947773111727</v>
      </c>
      <c r="Q16" s="66"/>
      <c r="T16">
        <f>SUM(T3:T15)</f>
        <v>12.997305190492881</v>
      </c>
      <c r="V16" s="94"/>
      <c r="W16">
        <v>-25</v>
      </c>
      <c r="X16" s="53">
        <v>37500</v>
      </c>
      <c r="Y16" s="66"/>
      <c r="Z16" s="66"/>
      <c r="AA16" s="66">
        <f>X16/($C$16-(6)*$N$28)</f>
        <v>0.74968947773111727</v>
      </c>
      <c r="AE16">
        <f>SUM(AE3:AE15)</f>
        <v>13.001028992384541</v>
      </c>
    </row>
    <row r="17" spans="11:28" x14ac:dyDescent="0.3">
      <c r="K17" s="94"/>
      <c r="L17">
        <v>-11</v>
      </c>
      <c r="M17" s="53">
        <v>39000</v>
      </c>
      <c r="N17" s="66"/>
      <c r="O17" s="66"/>
      <c r="P17" s="66">
        <f>M17/($C$16-(5)*$N$28)</f>
        <v>0.77903197210566744</v>
      </c>
      <c r="Q17" s="66"/>
      <c r="V17" s="94"/>
      <c r="W17">
        <v>-24</v>
      </c>
      <c r="X17" s="53">
        <v>39000</v>
      </c>
      <c r="AA17">
        <f>X17/($C$16-(5)*$N$28)</f>
        <v>0.77903197210566744</v>
      </c>
    </row>
    <row r="18" spans="11:28" x14ac:dyDescent="0.3">
      <c r="K18" s="94"/>
      <c r="L18">
        <v>-10</v>
      </c>
      <c r="M18" s="53">
        <v>42000</v>
      </c>
      <c r="N18" s="66"/>
      <c r="O18" s="66"/>
      <c r="P18" s="66">
        <f>M18/($C$16-(4)*$N$28)</f>
        <v>0.83826395039858281</v>
      </c>
      <c r="Q18" s="66"/>
      <c r="S18" t="s">
        <v>43</v>
      </c>
      <c r="T18" t="s">
        <v>44</v>
      </c>
      <c r="U18" t="s">
        <v>45</v>
      </c>
      <c r="V18" s="94"/>
      <c r="W18">
        <v>-23</v>
      </c>
      <c r="X18" s="53">
        <v>42000</v>
      </c>
      <c r="AA18">
        <f>X18/($C$16-(4)*$N$28)</f>
        <v>0.83826395039858281</v>
      </c>
    </row>
    <row r="19" spans="11:28" x14ac:dyDescent="0.3">
      <c r="K19" s="94"/>
      <c r="L19">
        <v>-9</v>
      </c>
      <c r="M19" s="53">
        <v>45000</v>
      </c>
      <c r="N19" s="66"/>
      <c r="O19" s="66"/>
      <c r="P19" s="66">
        <f>M19/($C$16-(3)*$N$28)</f>
        <v>0.89739807658268922</v>
      </c>
      <c r="Q19" s="66"/>
      <c r="S19">
        <v>0.2</v>
      </c>
      <c r="T19">
        <v>0.2</v>
      </c>
      <c r="U19">
        <v>0.2</v>
      </c>
      <c r="V19" s="94"/>
      <c r="W19">
        <v>-22</v>
      </c>
      <c r="X19" s="53">
        <v>45000</v>
      </c>
      <c r="AA19">
        <f>X19/($C$16-(3)*$N$28)</f>
        <v>0.89739807658268922</v>
      </c>
    </row>
    <row r="20" spans="11:28" x14ac:dyDescent="0.3">
      <c r="K20" s="94"/>
      <c r="L20">
        <v>-8</v>
      </c>
      <c r="M20" s="53">
        <v>49000</v>
      </c>
      <c r="N20" s="66"/>
      <c r="O20" s="66"/>
      <c r="P20" s="66">
        <f>M20/($C$16-(2)*$N$28)</f>
        <v>0.9763603136237694</v>
      </c>
      <c r="Q20" s="66"/>
      <c r="S20" s="95" t="s">
        <v>65</v>
      </c>
      <c r="T20" s="95"/>
      <c r="U20" s="95"/>
      <c r="V20" s="94"/>
      <c r="W20">
        <v>-21</v>
      </c>
      <c r="X20" s="53">
        <v>49000</v>
      </c>
      <c r="AA20">
        <f>X20/($C$16-(2)*$N$28)</f>
        <v>0.9763603136237694</v>
      </c>
    </row>
    <row r="21" spans="11:28" x14ac:dyDescent="0.3">
      <c r="K21" s="94"/>
      <c r="L21">
        <v>-7</v>
      </c>
      <c r="M21" s="53">
        <v>56000</v>
      </c>
      <c r="N21" s="66"/>
      <c r="O21" s="66"/>
      <c r="P21" s="66">
        <f>M21/($C$16-(1)*$N$28)</f>
        <v>1.1149201861341815</v>
      </c>
      <c r="Q21" s="66"/>
      <c r="V21" s="94"/>
      <c r="W21">
        <v>-20</v>
      </c>
      <c r="X21" s="53">
        <v>56000</v>
      </c>
      <c r="AA21">
        <f>X21/($C$16-(1)*$N$28)</f>
        <v>1.1149201861341815</v>
      </c>
    </row>
    <row r="22" spans="11:28" x14ac:dyDescent="0.3">
      <c r="K22" s="94"/>
      <c r="L22">
        <v>-6</v>
      </c>
      <c r="M22" s="53">
        <v>63000</v>
      </c>
      <c r="N22" s="66"/>
      <c r="O22" s="66"/>
      <c r="P22" s="66">
        <f>M22/($C$16-(0)*$N$28)</f>
        <v>1.2532517214996175</v>
      </c>
      <c r="Q22" s="66"/>
      <c r="V22" s="94"/>
      <c r="W22">
        <v>-19</v>
      </c>
      <c r="X22" s="53">
        <v>63000</v>
      </c>
      <c r="AA22">
        <f>X22/($C$16-(0)*$N$28)</f>
        <v>1.2532517214996175</v>
      </c>
    </row>
    <row r="23" spans="11:28" x14ac:dyDescent="0.3">
      <c r="K23" s="94"/>
      <c r="L23">
        <v>-5</v>
      </c>
      <c r="M23" s="53">
        <v>67000</v>
      </c>
      <c r="N23" s="66"/>
      <c r="O23" s="66"/>
      <c r="P23" s="66">
        <f>M23/($C$16-(-1)*$N$28)</f>
        <v>1.331725962952073</v>
      </c>
      <c r="Q23" s="66"/>
      <c r="V23" s="94"/>
      <c r="W23">
        <v>-18</v>
      </c>
      <c r="X23" s="53">
        <v>67000</v>
      </c>
      <c r="AA23">
        <f>X23/($C$16-(-1)*$N$28)</f>
        <v>1.331725962952073</v>
      </c>
    </row>
    <row r="24" spans="11:28" x14ac:dyDescent="0.3">
      <c r="K24" s="94"/>
      <c r="L24">
        <v>-4</v>
      </c>
      <c r="M24" s="53">
        <v>57500</v>
      </c>
      <c r="N24" s="66"/>
      <c r="O24" s="66"/>
      <c r="P24" s="66">
        <f>M24/($C$16-(-2)*$N$28)</f>
        <v>1.1419589870145133</v>
      </c>
      <c r="Q24" s="66"/>
      <c r="V24" s="94"/>
      <c r="W24">
        <v>-17</v>
      </c>
      <c r="X24" s="53">
        <v>57500</v>
      </c>
      <c r="AA24">
        <f>X24/($C$16-(-2)*$N$28)</f>
        <v>1.1419589870145133</v>
      </c>
    </row>
    <row r="25" spans="11:28" x14ac:dyDescent="0.3">
      <c r="K25" s="94"/>
      <c r="L25">
        <v>-3</v>
      </c>
      <c r="M25" s="53">
        <v>57000</v>
      </c>
      <c r="N25" s="66"/>
      <c r="O25" s="66"/>
      <c r="P25" s="66">
        <f>M25/($C$16-(-3)*$N$28)</f>
        <v>1.1310984559384725</v>
      </c>
      <c r="Q25" s="66"/>
      <c r="V25" s="94"/>
      <c r="W25">
        <v>-16</v>
      </c>
      <c r="X25" s="53">
        <v>57000</v>
      </c>
      <c r="AA25">
        <f>X25/($C$16-(-3)*$N$28)</f>
        <v>1.1310984559384725</v>
      </c>
    </row>
    <row r="26" spans="11:28" x14ac:dyDescent="0.3">
      <c r="K26" s="94"/>
      <c r="L26">
        <v>-2</v>
      </c>
      <c r="M26" s="53">
        <v>51000</v>
      </c>
      <c r="N26" s="66"/>
      <c r="O26" s="66"/>
      <c r="P26" s="66">
        <f>M26/($C$16-(-4)*$N$28)</f>
        <v>1.0112043174752157</v>
      </c>
      <c r="Q26" s="66"/>
      <c r="V26" s="94"/>
      <c r="W26">
        <v>-15</v>
      </c>
      <c r="X26" s="53">
        <v>51000</v>
      </c>
      <c r="AA26">
        <f>X26/($B$16-(-4)*$N$28)</f>
        <v>1.0221168099614586</v>
      </c>
    </row>
    <row r="27" spans="11:28" x14ac:dyDescent="0.3">
      <c r="K27" s="94"/>
      <c r="L27">
        <v>-1</v>
      </c>
      <c r="M27" s="53">
        <v>45500</v>
      </c>
      <c r="N27" s="66"/>
      <c r="O27" s="66"/>
      <c r="P27" s="66">
        <f>M27/($C$16-(-5)*$N$28)</f>
        <v>0.90141257839517042</v>
      </c>
      <c r="Q27" s="66"/>
      <c r="V27" s="94"/>
      <c r="W27">
        <v>-14</v>
      </c>
      <c r="X27" s="53">
        <v>45500</v>
      </c>
      <c r="AA27">
        <f>X27/($C$16-(-5)*$N$28)</f>
        <v>0.90141257839517042</v>
      </c>
    </row>
    <row r="28" spans="11:28" x14ac:dyDescent="0.3">
      <c r="K28" s="94"/>
      <c r="L28" s="65">
        <v>0</v>
      </c>
      <c r="M28" s="53">
        <v>44000</v>
      </c>
      <c r="N28" s="66">
        <f>(C16-B16)/13</f>
        <v>41.420118343194751</v>
      </c>
      <c r="O28" s="66">
        <f>$C$16+N28*((13-1)/2)</f>
        <v>50517.751479289931</v>
      </c>
      <c r="P28" s="66">
        <f>M28/($C$16-(-6)*$N$28)</f>
        <v>0.87098096632503674</v>
      </c>
      <c r="Q28" s="66"/>
      <c r="V28" s="94"/>
      <c r="W28" s="65">
        <v>-13</v>
      </c>
      <c r="X28" s="53">
        <v>44000</v>
      </c>
      <c r="Y28" s="66"/>
      <c r="Z28" s="66"/>
      <c r="AA28" s="66">
        <f>X28/($C$16-(-6)*$N$28)</f>
        <v>0.87098096632503674</v>
      </c>
      <c r="AB28" s="66"/>
    </row>
    <row r="29" spans="11:28" x14ac:dyDescent="0.3">
      <c r="L29">
        <v>1</v>
      </c>
      <c r="M29" s="53">
        <v>39000</v>
      </c>
      <c r="N29" s="66">
        <f>$T$19*(O29-O28)+(1-$T$19)*N28</f>
        <v>99.91479289940952</v>
      </c>
      <c r="O29" s="66">
        <f>$S$19*(M29/P16)+(1-$S$19)*(N28+O28)</f>
        <v>50851.6449704142</v>
      </c>
      <c r="P29" s="66">
        <f>$U$19*(M29/O29)+(1-$U$19)*P16</f>
        <v>0.75313895056871094</v>
      </c>
      <c r="Q29" s="66">
        <f>(N28+O28)*P16</f>
        <v>37903.678949547517</v>
      </c>
      <c r="V29" s="94"/>
      <c r="W29">
        <v>-12</v>
      </c>
      <c r="X29" s="53">
        <v>39000</v>
      </c>
      <c r="Y29" s="66"/>
      <c r="Z29" s="66"/>
      <c r="AA29" s="66">
        <f>X29/($D$16-(6)*$N$28)</f>
        <v>0.75867625899280566</v>
      </c>
      <c r="AB29" s="66"/>
    </row>
    <row r="30" spans="11:28" x14ac:dyDescent="0.3">
      <c r="L30">
        <v>2</v>
      </c>
      <c r="M30" s="53">
        <v>40500</v>
      </c>
      <c r="N30" s="66">
        <f t="shared" ref="N30:N93" si="2">$T$19*(O30-O29)+(1-$T$19)*N29</f>
        <v>141.35627127901805</v>
      </c>
      <c r="O30" s="66">
        <f t="shared" ref="O30:O93" si="3">$S$19*(M30/P17)+(1-$S$19)*(N29+O29)</f>
        <v>51158.767155211652</v>
      </c>
      <c r="P30" s="66">
        <f t="shared" ref="P30:P93" si="4">$U$19*(M30/O30)+(1-$U$19)*P17</f>
        <v>0.78155621093504302</v>
      </c>
      <c r="Q30" s="66">
        <f t="shared" ref="Q30:Q93" si="5">(N29+O29)*P17</f>
        <v>39692.894084273976</v>
      </c>
      <c r="V30" s="94"/>
      <c r="W30">
        <v>-11</v>
      </c>
      <c r="X30" s="53">
        <v>40500</v>
      </c>
      <c r="Y30" s="66"/>
      <c r="Z30" s="66"/>
      <c r="AA30" s="66">
        <f>X30/($D$16-(5)*$N$28)</f>
        <v>0.78722180688941268</v>
      </c>
      <c r="AB30" s="66"/>
    </row>
    <row r="31" spans="11:28" x14ac:dyDescent="0.3">
      <c r="L31">
        <v>3</v>
      </c>
      <c r="M31" s="53">
        <v>43000</v>
      </c>
      <c r="N31" s="66">
        <f t="shared" si="2"/>
        <v>141.21101300214721</v>
      </c>
      <c r="O31" s="66">
        <f t="shared" si="3"/>
        <v>51299.397135106316</v>
      </c>
      <c r="P31" s="66">
        <f t="shared" si="4"/>
        <v>0.83825445595741599</v>
      </c>
      <c r="Q31" s="66">
        <f t="shared" si="5"/>
        <v>43003.044119424951</v>
      </c>
      <c r="V31" s="94"/>
      <c r="W31">
        <v>-10</v>
      </c>
      <c r="X31" s="53">
        <v>43000</v>
      </c>
      <c r="Y31" s="66"/>
      <c r="Z31" s="66"/>
      <c r="AA31" s="66">
        <f>X31/($D$16-(4)*$N$28)</f>
        <v>0.8351433660863069</v>
      </c>
      <c r="AB31" s="66"/>
    </row>
    <row r="32" spans="11:28" x14ac:dyDescent="0.3">
      <c r="L32">
        <v>4</v>
      </c>
      <c r="M32" s="53">
        <v>46000</v>
      </c>
      <c r="N32" s="66">
        <f t="shared" si="2"/>
        <v>133.95881068070216</v>
      </c>
      <c r="O32" s="66">
        <f t="shared" si="3"/>
        <v>51404.347136501237</v>
      </c>
      <c r="P32" s="66">
        <f t="shared" si="4"/>
        <v>0.89689165152124672</v>
      </c>
      <c r="Q32" s="66">
        <f t="shared" si="5"/>
        <v>46162.702810356343</v>
      </c>
      <c r="V32" s="94"/>
      <c r="W32">
        <v>-9</v>
      </c>
      <c r="X32" s="53">
        <v>46000</v>
      </c>
      <c r="Y32" s="66"/>
      <c r="Z32" s="66"/>
      <c r="AA32" s="66">
        <f>X32/($D$16-(3)*$N$28)</f>
        <v>0.89269104897513918</v>
      </c>
      <c r="AB32" s="66"/>
    </row>
    <row r="33" spans="12:28" x14ac:dyDescent="0.3">
      <c r="L33">
        <v>5</v>
      </c>
      <c r="M33" s="53">
        <v>51500</v>
      </c>
      <c r="N33" s="66">
        <f t="shared" si="2"/>
        <v>182.30339926365841</v>
      </c>
      <c r="O33" s="66">
        <f t="shared" si="3"/>
        <v>51780.028890096721</v>
      </c>
      <c r="P33" s="66">
        <f t="shared" si="4"/>
        <v>0.98000664126650228</v>
      </c>
      <c r="Q33" s="66">
        <f t="shared" si="5"/>
        <v>50319.956558228332</v>
      </c>
      <c r="V33" s="94"/>
      <c r="W33">
        <v>-8</v>
      </c>
      <c r="X33" s="53">
        <v>51500</v>
      </c>
      <c r="Y33" s="66"/>
      <c r="Z33" s="66"/>
      <c r="AA33" s="66">
        <f>X33/($D$16-(2)*$N$28)</f>
        <v>0.99862314267684005</v>
      </c>
      <c r="AB33" s="66"/>
    </row>
    <row r="34" spans="12:28" x14ac:dyDescent="0.3">
      <c r="L34">
        <v>6</v>
      </c>
      <c r="M34" s="53">
        <v>57500</v>
      </c>
      <c r="N34" s="66">
        <f t="shared" si="2"/>
        <v>166.73804513641306</v>
      </c>
      <c r="O34" s="66">
        <f t="shared" si="3"/>
        <v>51884.505518724152</v>
      </c>
      <c r="P34" s="66">
        <f t="shared" si="4"/>
        <v>1.113582281698374</v>
      </c>
      <c r="Q34" s="66">
        <f t="shared" si="5"/>
        <v>57933.853188019864</v>
      </c>
      <c r="V34" s="94"/>
      <c r="W34">
        <v>-7</v>
      </c>
      <c r="X34" s="53">
        <v>57500</v>
      </c>
      <c r="Y34" s="66"/>
      <c r="Z34" s="66"/>
      <c r="AA34" s="66">
        <f>X34/($D$16-(1)*$N$28)</f>
        <v>1.1140728002292919</v>
      </c>
      <c r="AB34" s="66"/>
    </row>
    <row r="35" spans="12:28" x14ac:dyDescent="0.3">
      <c r="L35">
        <v>7</v>
      </c>
      <c r="M35" s="53">
        <v>65000</v>
      </c>
      <c r="N35" s="66">
        <f t="shared" si="2"/>
        <v>159.29147718516595</v>
      </c>
      <c r="O35" s="66">
        <f t="shared" si="3"/>
        <v>52014.01072410433</v>
      </c>
      <c r="P35" s="66">
        <f t="shared" si="4"/>
        <v>1.2525340360933783</v>
      </c>
      <c r="Q35" s="66">
        <f t="shared" si="5"/>
        <v>65233.310602604142</v>
      </c>
      <c r="V35" s="94"/>
      <c r="W35">
        <v>-6</v>
      </c>
      <c r="X35" s="53">
        <v>65000</v>
      </c>
      <c r="Y35" s="66"/>
      <c r="Z35" s="66"/>
      <c r="AA35" s="66">
        <f>X35/($D$16-(0)*$N$28)</f>
        <v>1.2583767684288905</v>
      </c>
      <c r="AB35" s="66"/>
    </row>
    <row r="36" spans="12:28" x14ac:dyDescent="0.3">
      <c r="L36">
        <v>8</v>
      </c>
      <c r="M36" s="53">
        <v>68500</v>
      </c>
      <c r="N36" s="66">
        <f t="shared" si="2"/>
        <v>129.83973886422274</v>
      </c>
      <c r="O36" s="66">
        <f t="shared" si="3"/>
        <v>52026.04350968478</v>
      </c>
      <c r="P36" s="66">
        <f t="shared" si="4"/>
        <v>1.3287104236621197</v>
      </c>
      <c r="Q36" s="66">
        <f t="shared" si="5"/>
        <v>69480.541114401756</v>
      </c>
      <c r="V36" s="94"/>
      <c r="W36">
        <v>-5</v>
      </c>
      <c r="X36" s="53">
        <v>68500</v>
      </c>
      <c r="Y36" s="66"/>
      <c r="Z36" s="66"/>
      <c r="AA36" s="66">
        <f>X36/($D$16-(-1)*$N$28)</f>
        <v>1.3250729697247181</v>
      </c>
      <c r="AB36" s="66"/>
    </row>
    <row r="37" spans="12:28" x14ac:dyDescent="0.3">
      <c r="L37">
        <v>9</v>
      </c>
      <c r="M37" s="53">
        <v>59000</v>
      </c>
      <c r="N37" s="66">
        <f t="shared" si="2"/>
        <v>110.22854064338486</v>
      </c>
      <c r="O37" s="66">
        <f t="shared" si="3"/>
        <v>52057.827257444813</v>
      </c>
      <c r="P37" s="66">
        <f t="shared" si="4"/>
        <v>1.1402381941782194</v>
      </c>
      <c r="Q37" s="66">
        <f t="shared" si="5"/>
        <v>59559.87960136024</v>
      </c>
      <c r="V37" s="94"/>
      <c r="W37">
        <v>-4</v>
      </c>
      <c r="X37" s="53">
        <v>59000</v>
      </c>
      <c r="Y37" s="66"/>
      <c r="Z37" s="66"/>
      <c r="AA37" s="66">
        <f>X37/($D$16-(-2)*$N$28)</f>
        <v>1.1403900040029737</v>
      </c>
      <c r="AB37" s="66"/>
    </row>
    <row r="38" spans="12:28" x14ac:dyDescent="0.3">
      <c r="L38">
        <v>10</v>
      </c>
      <c r="M38" s="53">
        <v>58500</v>
      </c>
      <c r="N38" s="66">
        <f t="shared" si="2"/>
        <v>92.291733821073336</v>
      </c>
      <c r="O38" s="66">
        <f t="shared" si="3"/>
        <v>52078.37176397664</v>
      </c>
      <c r="P38" s="66">
        <f t="shared" si="4"/>
        <v>1.1295401664748055</v>
      </c>
      <c r="Q38" s="66">
        <f t="shared" si="5"/>
        <v>59007.20736252964</v>
      </c>
      <c r="V38" s="94"/>
      <c r="W38">
        <v>-3</v>
      </c>
      <c r="X38" s="53">
        <v>58500</v>
      </c>
      <c r="Y38" s="66"/>
      <c r="Z38" s="66"/>
      <c r="AA38" s="66">
        <f>X38/($D$16-(-3)*$N$28)</f>
        <v>1.1298211530769671</v>
      </c>
      <c r="AB38" s="66"/>
    </row>
    <row r="39" spans="12:28" x14ac:dyDescent="0.3">
      <c r="L39">
        <v>11</v>
      </c>
      <c r="M39" s="53">
        <v>51500</v>
      </c>
      <c r="N39" s="66">
        <f t="shared" si="2"/>
        <v>42.640040179034735</v>
      </c>
      <c r="O39" s="66">
        <f t="shared" si="3"/>
        <v>51922.40502958752</v>
      </c>
      <c r="P39" s="66">
        <f t="shared" si="4"/>
        <v>1.0073363913302555</v>
      </c>
      <c r="Q39" s="66">
        <f t="shared" si="5"/>
        <v>52755.200174519683</v>
      </c>
      <c r="V39" s="94"/>
      <c r="W39">
        <v>-2</v>
      </c>
      <c r="X39" s="53">
        <v>51500</v>
      </c>
      <c r="Y39" s="66"/>
      <c r="Z39" s="66"/>
      <c r="AA39" s="66">
        <f>X39/($D$16-(-4)*$N$28)</f>
        <v>0.99383385669426205</v>
      </c>
      <c r="AB39" s="66"/>
    </row>
    <row r="40" spans="12:28" x14ac:dyDescent="0.3">
      <c r="L40">
        <v>12</v>
      </c>
      <c r="M40" s="53">
        <v>46500</v>
      </c>
      <c r="N40" s="66">
        <f t="shared" si="2"/>
        <v>27.466288627076224</v>
      </c>
      <c r="O40" s="66">
        <f t="shared" si="3"/>
        <v>51889.176312006763</v>
      </c>
      <c r="P40" s="66">
        <f t="shared" si="4"/>
        <v>0.90035819199071976</v>
      </c>
      <c r="Q40" s="66">
        <f t="shared" si="5"/>
        <v>46841.945262759509</v>
      </c>
      <c r="V40" s="94"/>
      <c r="W40">
        <v>-1</v>
      </c>
      <c r="X40" s="53">
        <v>46500</v>
      </c>
      <c r="Y40" s="66"/>
      <c r="Z40" s="66"/>
      <c r="AA40" s="66">
        <f>X40/($D$16-(-5)*$N$28)</f>
        <v>0.8966284442923157</v>
      </c>
      <c r="AB40" s="66"/>
    </row>
    <row r="41" spans="12:28" x14ac:dyDescent="0.3">
      <c r="L41" s="65">
        <v>13</v>
      </c>
      <c r="M41" s="53">
        <v>45000</v>
      </c>
      <c r="N41" s="66">
        <f t="shared" si="2"/>
        <v>17.435872390856105</v>
      </c>
      <c r="O41" s="66">
        <f t="shared" si="3"/>
        <v>51866.490519452738</v>
      </c>
      <c r="P41" s="66">
        <f t="shared" si="4"/>
        <v>0.87030721326879024</v>
      </c>
      <c r="Q41" s="66">
        <f t="shared" si="5"/>
        <v>45218.407540651628</v>
      </c>
      <c r="V41" s="94"/>
      <c r="W41" s="65">
        <v>0</v>
      </c>
      <c r="X41" s="53">
        <v>45000</v>
      </c>
      <c r="Y41" s="66">
        <f>(D16-B16)/26</f>
        <v>73.964497041420074</v>
      </c>
      <c r="Z41" s="66">
        <f>D16+Y41*6</f>
        <v>52097.633136094679</v>
      </c>
      <c r="AA41" s="66">
        <f>X41/($D$16-(-6)*$N$28)</f>
        <v>0.86701248361169703</v>
      </c>
      <c r="AB41" s="66"/>
    </row>
    <row r="42" spans="12:28" x14ac:dyDescent="0.3">
      <c r="L42">
        <v>14</v>
      </c>
      <c r="M42" s="9">
        <v>40500</v>
      </c>
      <c r="N42" s="66">
        <f t="shared" si="2"/>
        <v>93.076316948251645</v>
      </c>
      <c r="O42" s="66">
        <f t="shared" si="3"/>
        <v>52262.128614630572</v>
      </c>
      <c r="P42" s="66">
        <f t="shared" si="4"/>
        <v>0.75749910707550572</v>
      </c>
      <c r="Q42" s="66">
        <f t="shared" si="5"/>
        <v>39075.805874137332</v>
      </c>
      <c r="W42">
        <v>1</v>
      </c>
      <c r="X42" s="9">
        <v>40500</v>
      </c>
      <c r="Y42" s="66">
        <f>$T$19*(Z42-Z41)+(1-$T$19)*Y41</f>
        <v>122.39872553482195</v>
      </c>
      <c r="Z42" s="66">
        <f>$S$19*(X42/AA29)+(1-$S$19)*(Y41+Z41)</f>
        <v>52413.768775603108</v>
      </c>
      <c r="AA42" s="66">
        <f>$U$19*(X42/Z42)+(1-$U$19)*AA29</f>
        <v>0.76148055260793535</v>
      </c>
      <c r="AB42" s="66">
        <f>(Y41+Z41)*AA29</f>
        <v>39581.352517985615</v>
      </c>
    </row>
    <row r="43" spans="12:28" x14ac:dyDescent="0.3">
      <c r="L43">
        <v>15</v>
      </c>
      <c r="M43" s="9">
        <v>42500</v>
      </c>
      <c r="N43" s="66">
        <f t="shared" si="2"/>
        <v>174.01557064853483</v>
      </c>
      <c r="O43" s="66">
        <f t="shared" si="3"/>
        <v>52759.90120008024</v>
      </c>
      <c r="P43" s="66">
        <f t="shared" si="4"/>
        <v>0.7863521696081277</v>
      </c>
      <c r="Q43" s="66">
        <f t="shared" si="5"/>
        <v>40918.535589052422</v>
      </c>
      <c r="W43">
        <v>2</v>
      </c>
      <c r="X43" s="9">
        <v>42500</v>
      </c>
      <c r="Y43" s="66">
        <f t="shared" ref="Y43:Y106" si="6">$T$19*(Z43-Z42)+(1-$T$19)*Y42</f>
        <v>180.44504908489321</v>
      </c>
      <c r="Z43" s="66">
        <f t="shared" ref="Z43:Z106" si="7">$S$19*(X43/AA30)+(1-$S$19)*(Y42+Z42)</f>
        <v>52826.399118888286</v>
      </c>
      <c r="AA43" s="66">
        <f t="shared" ref="AA43:AA106" si="8">$U$19*(X43/Z43)+(1-$U$19)*AA30</f>
        <v>0.79068184448202128</v>
      </c>
      <c r="AB43" s="66">
        <f t="shared" ref="AB43:AB106" si="9">(Y42+Z42)*AA30</f>
        <v>41357.616707290639</v>
      </c>
    </row>
    <row r="44" spans="12:28" x14ac:dyDescent="0.3">
      <c r="L44">
        <v>16</v>
      </c>
      <c r="M44" s="9">
        <v>44000</v>
      </c>
      <c r="N44" s="66">
        <f t="shared" si="2"/>
        <v>156.26002629333675</v>
      </c>
      <c r="O44" s="66">
        <f t="shared" si="3"/>
        <v>52845.139048952784</v>
      </c>
      <c r="P44" s="66">
        <f t="shared" si="4"/>
        <v>0.83712786876763434</v>
      </c>
      <c r="Q44" s="66">
        <f t="shared" si="5"/>
        <v>44372.091604342393</v>
      </c>
      <c r="W44">
        <v>3</v>
      </c>
      <c r="X44" s="9">
        <v>44000</v>
      </c>
      <c r="Y44" s="66">
        <f t="shared" si="6"/>
        <v>167.5938776597593</v>
      </c>
      <c r="Z44" s="66">
        <f t="shared" si="7"/>
        <v>52942.58831084751</v>
      </c>
      <c r="AA44" s="66">
        <f t="shared" si="8"/>
        <v>0.83433248237966817</v>
      </c>
      <c r="AB44" s="66">
        <f t="shared" si="9"/>
        <v>44268.314264053442</v>
      </c>
    </row>
    <row r="45" spans="12:28" x14ac:dyDescent="0.3">
      <c r="L45">
        <v>17</v>
      </c>
      <c r="M45" s="9">
        <v>47500</v>
      </c>
      <c r="N45" s="66">
        <f t="shared" si="2"/>
        <v>154.63163118129543</v>
      </c>
      <c r="O45" s="66">
        <f t="shared" si="3"/>
        <v>52993.257099685914</v>
      </c>
      <c r="P45" s="66">
        <f t="shared" si="4"/>
        <v>0.896781411535158</v>
      </c>
      <c r="Q45" s="66">
        <f t="shared" si="5"/>
        <v>47536.512349534169</v>
      </c>
      <c r="W45">
        <v>4</v>
      </c>
      <c r="X45" s="9">
        <v>47500</v>
      </c>
      <c r="Y45" s="66">
        <f t="shared" si="6"/>
        <v>171.58252528798022</v>
      </c>
      <c r="Z45" s="66">
        <f t="shared" si="7"/>
        <v>53130.125426648374</v>
      </c>
      <c r="AA45" s="66">
        <f t="shared" si="8"/>
        <v>0.89295911760901769</v>
      </c>
      <c r="AB45" s="66">
        <f t="shared" si="9"/>
        <v>47410.984249119312</v>
      </c>
    </row>
    <row r="46" spans="12:28" x14ac:dyDescent="0.3">
      <c r="L46">
        <v>18</v>
      </c>
      <c r="M46" s="9">
        <v>52000</v>
      </c>
      <c r="N46" s="66">
        <f t="shared" si="2"/>
        <v>151.15067821825374</v>
      </c>
      <c r="O46" s="66">
        <f t="shared" si="3"/>
        <v>53130.483966052001</v>
      </c>
      <c r="P46" s="66">
        <f t="shared" si="4"/>
        <v>0.97974981266137251</v>
      </c>
      <c r="Q46" s="66">
        <f t="shared" si="5"/>
        <v>52085.283925542964</v>
      </c>
      <c r="W46">
        <v>5</v>
      </c>
      <c r="X46" s="9">
        <v>52000</v>
      </c>
      <c r="Y46" s="66">
        <f t="shared" si="6"/>
        <v>122.38201901037816</v>
      </c>
      <c r="Z46" s="66">
        <f t="shared" si="7"/>
        <v>53055.705420548344</v>
      </c>
      <c r="AA46" s="66">
        <f t="shared" si="8"/>
        <v>0.99491890285488094</v>
      </c>
      <c r="AB46" s="66">
        <f t="shared" si="9"/>
        <v>53228.319105005794</v>
      </c>
    </row>
    <row r="47" spans="12:28" x14ac:dyDescent="0.3">
      <c r="L47">
        <v>19</v>
      </c>
      <c r="M47" s="9">
        <v>58000</v>
      </c>
      <c r="N47" s="66">
        <f t="shared" si="2"/>
        <v>103.25177387319459</v>
      </c>
      <c r="O47" s="66">
        <f t="shared" si="3"/>
        <v>53042.140122544959</v>
      </c>
      <c r="P47" s="66">
        <f t="shared" si="4"/>
        <v>1.1095598669867359</v>
      </c>
      <c r="Q47" s="66">
        <f t="shared" si="5"/>
        <v>59333.484279785604</v>
      </c>
      <c r="W47">
        <v>6</v>
      </c>
      <c r="X47" s="9">
        <v>58000</v>
      </c>
      <c r="Y47" s="66">
        <f t="shared" si="6"/>
        <v>77.707711034410949</v>
      </c>
      <c r="Z47" s="66">
        <f t="shared" si="7"/>
        <v>52954.715899678886</v>
      </c>
      <c r="AA47" s="66">
        <f t="shared" si="8"/>
        <v>1.1103133291008371</v>
      </c>
      <c r="AB47" s="66">
        <f t="shared" si="9"/>
        <v>59244.260784627324</v>
      </c>
    </row>
    <row r="48" spans="12:28" x14ac:dyDescent="0.3">
      <c r="L48">
        <v>20</v>
      </c>
      <c r="M48" s="9">
        <v>66000</v>
      </c>
      <c r="N48" s="66">
        <f t="shared" si="2"/>
        <v>85.163252668562677</v>
      </c>
      <c r="O48" s="66">
        <f t="shared" si="3"/>
        <v>53054.949290394994</v>
      </c>
      <c r="P48" s="66">
        <f t="shared" si="4"/>
        <v>1.250825883412098</v>
      </c>
      <c r="Q48" s="66">
        <f t="shared" si="5"/>
        <v>66566.412211784947</v>
      </c>
      <c r="W48">
        <v>7</v>
      </c>
      <c r="X48" s="9">
        <v>66000</v>
      </c>
      <c r="Y48" s="66">
        <f t="shared" si="6"/>
        <v>54.351595008246825</v>
      </c>
      <c r="Z48" s="66">
        <f t="shared" si="7"/>
        <v>52915.643030582476</v>
      </c>
      <c r="AA48" s="66">
        <f t="shared" si="8"/>
        <v>1.2561550591478698</v>
      </c>
      <c r="AB48" s="66">
        <f t="shared" si="9"/>
        <v>66734.769845201386</v>
      </c>
    </row>
    <row r="49" spans="12:28" x14ac:dyDescent="0.3">
      <c r="L49">
        <v>21</v>
      </c>
      <c r="M49" s="9">
        <v>69000</v>
      </c>
      <c r="N49" s="66">
        <f t="shared" si="2"/>
        <v>36.760788989071543</v>
      </c>
      <c r="O49" s="66">
        <f t="shared" si="3"/>
        <v>52898.100224666101</v>
      </c>
      <c r="P49" s="66">
        <f t="shared" si="4"/>
        <v>1.3238472729819462</v>
      </c>
      <c r="Q49" s="66">
        <f t="shared" si="5"/>
        <v>70607.821450546704</v>
      </c>
      <c r="W49">
        <v>8</v>
      </c>
      <c r="X49" s="9">
        <v>69000</v>
      </c>
      <c r="Y49" s="66">
        <f t="shared" si="6"/>
        <v>18.455969272831414</v>
      </c>
      <c r="Z49" s="66">
        <f t="shared" si="7"/>
        <v>52790.516496913646</v>
      </c>
      <c r="AA49" s="66">
        <f t="shared" si="8"/>
        <v>1.3214689645700322</v>
      </c>
      <c r="AB49" s="66">
        <f t="shared" si="9"/>
        <v>70189.108084833846</v>
      </c>
    </row>
    <row r="50" spans="12:28" x14ac:dyDescent="0.3">
      <c r="L50">
        <v>22</v>
      </c>
      <c r="M50" s="9">
        <v>60000</v>
      </c>
      <c r="N50" s="66">
        <f t="shared" si="2"/>
        <v>24.189719782133842</v>
      </c>
      <c r="O50" s="66">
        <f t="shared" si="3"/>
        <v>52872.005667620484</v>
      </c>
      <c r="P50" s="66">
        <f t="shared" si="4"/>
        <v>1.13915376296965</v>
      </c>
      <c r="Q50" s="66">
        <f t="shared" si="5"/>
        <v>60358.350331285197</v>
      </c>
      <c r="W50">
        <v>9</v>
      </c>
      <c r="X50" s="9">
        <v>60000</v>
      </c>
      <c r="Y50" s="66">
        <f t="shared" si="6"/>
        <v>10.640245833475424</v>
      </c>
      <c r="Z50" s="66">
        <f t="shared" si="7"/>
        <v>52769.893848989697</v>
      </c>
      <c r="AA50" s="66">
        <f t="shared" si="8"/>
        <v>1.1397143935566236</v>
      </c>
      <c r="AB50" s="66">
        <f t="shared" si="9"/>
        <v>60222.824322107321</v>
      </c>
    </row>
    <row r="51" spans="12:28" x14ac:dyDescent="0.3">
      <c r="L51">
        <v>23</v>
      </c>
      <c r="M51" s="9">
        <v>59500</v>
      </c>
      <c r="N51" s="66">
        <f t="shared" si="2"/>
        <v>15.394022164908014</v>
      </c>
      <c r="O51" s="66">
        <f t="shared" si="3"/>
        <v>52852.216899316489</v>
      </c>
      <c r="P51" s="66">
        <f t="shared" si="4"/>
        <v>1.1287882514684966</v>
      </c>
      <c r="Q51" s="66">
        <f t="shared" si="5"/>
        <v>59748.37734377059</v>
      </c>
      <c r="W51">
        <v>10</v>
      </c>
      <c r="X51" s="9">
        <v>59500</v>
      </c>
      <c r="Y51" s="66">
        <f t="shared" si="6"/>
        <v>5.9469759059206737</v>
      </c>
      <c r="Z51" s="66">
        <f t="shared" si="7"/>
        <v>52757.067745185399</v>
      </c>
      <c r="AA51" s="66">
        <f t="shared" si="8"/>
        <v>1.1294191174166941</v>
      </c>
      <c r="AB51" s="66">
        <f t="shared" si="9"/>
        <v>59632.563891031292</v>
      </c>
    </row>
    <row r="52" spans="12:28" x14ac:dyDescent="0.3">
      <c r="L52">
        <v>24</v>
      </c>
      <c r="M52" s="9">
        <v>53500</v>
      </c>
      <c r="N52" s="66">
        <f t="shared" si="2"/>
        <v>25.104049449041366</v>
      </c>
      <c r="O52" s="66">
        <f t="shared" si="3"/>
        <v>52916.161057902063</v>
      </c>
      <c r="P52" s="66">
        <f t="shared" si="4"/>
        <v>1.0080757695200993</v>
      </c>
      <c r="Q52" s="66">
        <f t="shared" si="5"/>
        <v>53255.468403897081</v>
      </c>
      <c r="W52">
        <v>11</v>
      </c>
      <c r="X52" s="9">
        <v>53500</v>
      </c>
      <c r="Y52" s="66">
        <f t="shared" si="6"/>
        <v>48.703804193307221</v>
      </c>
      <c r="Z52" s="66">
        <f t="shared" si="7"/>
        <v>52976.798862528252</v>
      </c>
      <c r="AA52" s="66">
        <f t="shared" si="8"/>
        <v>0.99704229393239241</v>
      </c>
      <c r="AB52" s="66">
        <f t="shared" si="9"/>
        <v>52437.67041107831</v>
      </c>
    </row>
    <row r="53" spans="12:28" x14ac:dyDescent="0.3">
      <c r="L53">
        <v>25</v>
      </c>
      <c r="M53" s="9">
        <v>48000</v>
      </c>
      <c r="N53" s="66">
        <f t="shared" si="2"/>
        <v>39.938068585613415</v>
      </c>
      <c r="O53" s="66">
        <f t="shared" si="3"/>
        <v>53015.435203033965</v>
      </c>
      <c r="P53" s="66">
        <f t="shared" si="4"/>
        <v>0.90136589328364403</v>
      </c>
      <c r="Q53" s="66">
        <f t="shared" si="5"/>
        <v>47666.101733756019</v>
      </c>
      <c r="W53">
        <v>12</v>
      </c>
      <c r="X53" s="9">
        <v>48000</v>
      </c>
      <c r="Y53" s="66">
        <f t="shared" si="6"/>
        <v>69.038917986365263</v>
      </c>
      <c r="Z53" s="66">
        <f t="shared" si="7"/>
        <v>53127.17823568685</v>
      </c>
      <c r="AA53" s="66">
        <f t="shared" si="8"/>
        <v>0.89800122877289845</v>
      </c>
      <c r="AB53" s="66">
        <f t="shared" si="9"/>
        <v>47544.173963880588</v>
      </c>
    </row>
    <row r="54" spans="12:28" x14ac:dyDescent="0.3">
      <c r="L54" s="65">
        <v>26</v>
      </c>
      <c r="M54" s="9">
        <v>46000</v>
      </c>
      <c r="N54" s="66">
        <f t="shared" si="2"/>
        <v>31.919104325699546</v>
      </c>
      <c r="O54" s="66">
        <f t="shared" si="3"/>
        <v>53015.278450320009</v>
      </c>
      <c r="P54" s="66">
        <f t="shared" si="4"/>
        <v>0.86978065091602341</v>
      </c>
      <c r="Q54" s="66">
        <f t="shared" si="5"/>
        <v>46174.474060958695</v>
      </c>
      <c r="W54" s="65">
        <v>13</v>
      </c>
      <c r="X54" s="9">
        <v>46000</v>
      </c>
      <c r="Y54" s="66">
        <f t="shared" si="6"/>
        <v>63.420343608009162</v>
      </c>
      <c r="Z54" s="66">
        <f t="shared" si="7"/>
        <v>53168.124281781435</v>
      </c>
      <c r="AA54" s="66">
        <f t="shared" si="8"/>
        <v>0.866645995292469</v>
      </c>
      <c r="AB54" s="66">
        <f t="shared" si="9"/>
        <v>46121.784353153373</v>
      </c>
    </row>
    <row r="55" spans="12:28" x14ac:dyDescent="0.3">
      <c r="L55">
        <v>27</v>
      </c>
      <c r="M55" s="9">
        <v>40500</v>
      </c>
      <c r="N55" s="66">
        <f t="shared" si="2"/>
        <v>48.647584480403658</v>
      </c>
      <c r="O55" s="66">
        <f t="shared" si="3"/>
        <v>53130.839955419229</v>
      </c>
      <c r="P55" s="66">
        <f t="shared" si="4"/>
        <v>0.75845311486386746</v>
      </c>
      <c r="Q55" s="66">
        <f t="shared" si="5"/>
        <v>40183.204780502077</v>
      </c>
      <c r="W55">
        <v>14</v>
      </c>
      <c r="X55" s="9">
        <v>40500</v>
      </c>
      <c r="Y55" s="66">
        <f t="shared" si="6"/>
        <v>61.593060303326197</v>
      </c>
      <c r="Z55" s="66">
        <f t="shared" si="7"/>
        <v>53222.408208866029</v>
      </c>
      <c r="AA55" s="66">
        <f t="shared" si="8"/>
        <v>0.76137597705433324</v>
      </c>
      <c r="AB55" s="66">
        <f t="shared" si="9"/>
        <v>40534.786017515522</v>
      </c>
    </row>
    <row r="56" spans="12:28" x14ac:dyDescent="0.3">
      <c r="L56">
        <v>28</v>
      </c>
      <c r="M56" s="9">
        <v>42000</v>
      </c>
      <c r="N56" s="66">
        <f t="shared" si="2"/>
        <v>57.915421533225967</v>
      </c>
      <c r="O56" s="66">
        <f t="shared" si="3"/>
        <v>53225.826725163744</v>
      </c>
      <c r="P56" s="66">
        <f t="shared" si="4"/>
        <v>0.78689985739223234</v>
      </c>
      <c r="Q56" s="66">
        <f t="shared" si="5"/>
        <v>41817.805405648469</v>
      </c>
      <c r="W56">
        <v>15</v>
      </c>
      <c r="X56" s="9">
        <v>42000</v>
      </c>
      <c r="Y56" s="66">
        <f t="shared" si="6"/>
        <v>54.981429807381588</v>
      </c>
      <c r="Z56" s="66">
        <f t="shared" si="7"/>
        <v>53250.943116689632</v>
      </c>
      <c r="AA56" s="66">
        <f t="shared" si="8"/>
        <v>0.79028916064285526</v>
      </c>
      <c r="AB56" s="66">
        <f t="shared" si="9"/>
        <v>42130.692404889189</v>
      </c>
    </row>
    <row r="57" spans="12:28" x14ac:dyDescent="0.3">
      <c r="L57">
        <v>29</v>
      </c>
      <c r="M57" s="9">
        <v>44500</v>
      </c>
      <c r="N57" s="66">
        <f t="shared" si="2"/>
        <v>52.883669173403533</v>
      </c>
      <c r="O57" s="66">
        <f t="shared" si="3"/>
        <v>53258.583384897858</v>
      </c>
      <c r="P57" s="66">
        <f t="shared" si="4"/>
        <v>0.8368115088600715</v>
      </c>
      <c r="Q57" s="66">
        <f t="shared" si="5"/>
        <v>44605.305503228607</v>
      </c>
      <c r="W57">
        <v>16</v>
      </c>
      <c r="X57" s="9">
        <v>44500</v>
      </c>
      <c r="Y57" s="66">
        <f t="shared" si="6"/>
        <v>56.186496042183727</v>
      </c>
      <c r="Z57" s="66">
        <f t="shared" si="7"/>
        <v>53311.949877671024</v>
      </c>
      <c r="AA57" s="66">
        <f t="shared" si="8"/>
        <v>0.83440791956817262</v>
      </c>
      <c r="AB57" s="66">
        <f t="shared" si="9"/>
        <v>44474.864352422141</v>
      </c>
    </row>
    <row r="58" spans="12:28" x14ac:dyDescent="0.3">
      <c r="L58">
        <v>30</v>
      </c>
      <c r="M58" s="9">
        <v>47500</v>
      </c>
      <c r="N58" s="66">
        <f t="shared" si="2"/>
        <v>39.112970013545706</v>
      </c>
      <c r="O58" s="66">
        <f t="shared" si="3"/>
        <v>53242.613558271973</v>
      </c>
      <c r="P58" s="66">
        <f t="shared" si="4"/>
        <v>0.89585363536452445</v>
      </c>
      <c r="Q58" s="66">
        <f t="shared" si="5"/>
        <v>47808.732675760097</v>
      </c>
      <c r="W58">
        <v>17</v>
      </c>
      <c r="X58" s="9">
        <v>47500</v>
      </c>
      <c r="Y58" s="66">
        <f t="shared" si="6"/>
        <v>49.218026304164383</v>
      </c>
      <c r="Z58" s="66">
        <f t="shared" si="7"/>
        <v>53333.294025023111</v>
      </c>
      <c r="AA58" s="66">
        <f t="shared" si="8"/>
        <v>0.89249242537092521</v>
      </c>
      <c r="AB58" s="66">
        <f t="shared" si="9"/>
        <v>47655.563964708665</v>
      </c>
    </row>
    <row r="59" spans="12:28" x14ac:dyDescent="0.3">
      <c r="L59">
        <v>31</v>
      </c>
      <c r="M59" s="9">
        <v>52000</v>
      </c>
      <c r="N59" s="66">
        <f t="shared" si="2"/>
        <v>30.834873636616628</v>
      </c>
      <c r="O59" s="66">
        <f t="shared" si="3"/>
        <v>53240.336046400873</v>
      </c>
      <c r="P59" s="66">
        <f t="shared" si="4"/>
        <v>0.9791404653899789</v>
      </c>
      <c r="Q59" s="66">
        <f t="shared" si="5"/>
        <v>52202.761584362219</v>
      </c>
      <c r="W59">
        <v>18</v>
      </c>
      <c r="X59" s="9">
        <v>52000</v>
      </c>
      <c r="Y59" s="66">
        <f t="shared" si="6"/>
        <v>4.5402010641291923</v>
      </c>
      <c r="Z59" s="66">
        <f t="shared" si="7"/>
        <v>53159.1229251271</v>
      </c>
      <c r="AA59" s="66">
        <f t="shared" si="8"/>
        <v>0.99157416649176477</v>
      </c>
      <c r="AB59" s="66">
        <f t="shared" si="9"/>
        <v>53111.270321743992</v>
      </c>
    </row>
    <row r="60" spans="12:28" x14ac:dyDescent="0.3">
      <c r="L60">
        <v>32</v>
      </c>
      <c r="M60" s="9">
        <v>58500</v>
      </c>
      <c r="N60" s="66">
        <f t="shared" si="2"/>
        <v>8.9323755978443788</v>
      </c>
      <c r="O60" s="66">
        <f t="shared" si="3"/>
        <v>53161.658429843628</v>
      </c>
      <c r="P60" s="66">
        <f t="shared" si="4"/>
        <v>1.1077313211115052</v>
      </c>
      <c r="Q60" s="66">
        <f t="shared" si="5"/>
        <v>59107.553320264473</v>
      </c>
      <c r="W60">
        <v>19</v>
      </c>
      <c r="X60" s="9">
        <v>58500</v>
      </c>
      <c r="Y60" s="66">
        <f t="shared" si="6"/>
        <v>-14.493121476082148</v>
      </c>
      <c r="Z60" s="66">
        <f t="shared" si="7"/>
        <v>53068.496513490172</v>
      </c>
      <c r="AA60" s="66">
        <f t="shared" si="8"/>
        <v>1.1087204479678208</v>
      </c>
      <c r="AB60" s="66">
        <f t="shared" si="9"/>
        <v>59028.323792836796</v>
      </c>
    </row>
    <row r="61" spans="12:28" x14ac:dyDescent="0.3">
      <c r="L61">
        <v>33</v>
      </c>
      <c r="M61" s="9">
        <v>66000</v>
      </c>
      <c r="N61" s="66">
        <f t="shared" si="2"/>
        <v>-7.2857478831323572</v>
      </c>
      <c r="O61" s="66">
        <f t="shared" si="3"/>
        <v>53089.500188036589</v>
      </c>
      <c r="P61" s="66">
        <f t="shared" si="4"/>
        <v>1.2492974419267928</v>
      </c>
      <c r="Q61" s="66">
        <f t="shared" si="5"/>
        <v>66507.151215759513</v>
      </c>
      <c r="W61">
        <v>20</v>
      </c>
      <c r="X61" s="9">
        <v>66000</v>
      </c>
      <c r="Y61" s="66">
        <f t="shared" si="6"/>
        <v>-35.001887945203919</v>
      </c>
      <c r="Z61" s="66">
        <f t="shared" si="7"/>
        <v>52951.459559668481</v>
      </c>
      <c r="AA61" s="66">
        <f t="shared" si="8"/>
        <v>1.2542089605155524</v>
      </c>
      <c r="AB61" s="66">
        <f t="shared" si="9"/>
        <v>66644.054768926755</v>
      </c>
    </row>
    <row r="62" spans="12:28" x14ac:dyDescent="0.3">
      <c r="L62">
        <v>34</v>
      </c>
      <c r="M62" s="9">
        <v>69500</v>
      </c>
      <c r="N62" s="66">
        <f t="shared" si="2"/>
        <v>-30.63420646172483</v>
      </c>
      <c r="O62" s="66">
        <f t="shared" si="3"/>
        <v>52965.472147260494</v>
      </c>
      <c r="P62" s="66">
        <f t="shared" si="4"/>
        <v>1.3215129376525707</v>
      </c>
      <c r="Q62" s="66">
        <f t="shared" si="5"/>
        <v>70272.744830440031</v>
      </c>
      <c r="W62">
        <v>21</v>
      </c>
      <c r="X62" s="9">
        <v>69500</v>
      </c>
      <c r="Y62" s="66">
        <f t="shared" si="6"/>
        <v>-47.940717070264739</v>
      </c>
      <c r="Z62" s="66">
        <f t="shared" si="7"/>
        <v>52851.763526097973</v>
      </c>
      <c r="AA62" s="66">
        <f t="shared" si="8"/>
        <v>1.3201749104090428</v>
      </c>
      <c r="AB62" s="66">
        <f t="shared" si="9"/>
        <v>69927.456528166091</v>
      </c>
    </row>
    <row r="63" spans="12:28" x14ac:dyDescent="0.3">
      <c r="L63">
        <v>35</v>
      </c>
      <c r="M63" s="9">
        <v>60000</v>
      </c>
      <c r="N63" s="66">
        <f t="shared" si="2"/>
        <v>-41.200640677419969</v>
      </c>
      <c r="O63" s="66">
        <f t="shared" si="3"/>
        <v>52882.005769720294</v>
      </c>
      <c r="P63" s="66">
        <f t="shared" si="4"/>
        <v>1.1382432987674869</v>
      </c>
      <c r="Q63" s="66">
        <f t="shared" si="5"/>
        <v>60300.919832449516</v>
      </c>
      <c r="W63">
        <v>22</v>
      </c>
      <c r="X63" s="9">
        <v>60000</v>
      </c>
      <c r="Y63" s="66">
        <f t="shared" si="6"/>
        <v>-54.302903642171778</v>
      </c>
      <c r="Z63" s="66">
        <f t="shared" si="7"/>
        <v>52772.011876168173</v>
      </c>
      <c r="AA63" s="66">
        <f t="shared" si="8"/>
        <v>1.139164778307729</v>
      </c>
      <c r="AB63" s="66">
        <f t="shared" si="9"/>
        <v>60181.27689026243</v>
      </c>
    </row>
    <row r="64" spans="12:28" x14ac:dyDescent="0.3">
      <c r="L64">
        <v>36</v>
      </c>
      <c r="M64" s="9">
        <v>59500</v>
      </c>
      <c r="N64" s="66">
        <f t="shared" si="2"/>
        <v>-46.377166127957835</v>
      </c>
      <c r="O64" s="66">
        <f t="shared" si="3"/>
        <v>52814.922501790184</v>
      </c>
      <c r="P64" s="66">
        <f t="shared" si="4"/>
        <v>1.1283457097901066</v>
      </c>
      <c r="Q64" s="66">
        <f t="shared" si="5"/>
        <v>59646.080027799871</v>
      </c>
      <c r="W64">
        <v>23</v>
      </c>
      <c r="X64" s="9">
        <v>59500</v>
      </c>
      <c r="Y64" s="66">
        <f t="shared" si="6"/>
        <v>-55.733314704197674</v>
      </c>
      <c r="Z64" s="66">
        <f t="shared" si="7"/>
        <v>52710.556917215872</v>
      </c>
      <c r="AA64" s="66">
        <f t="shared" si="8"/>
        <v>1.1292965208293155</v>
      </c>
      <c r="AB64" s="66">
        <f t="shared" si="9"/>
        <v>59540.388339980454</v>
      </c>
    </row>
    <row r="65" spans="12:28" x14ac:dyDescent="0.3">
      <c r="L65">
        <v>37</v>
      </c>
      <c r="M65" s="9">
        <v>53500</v>
      </c>
      <c r="N65" s="66">
        <f t="shared" si="2"/>
        <v>-34.26267777193199</v>
      </c>
      <c r="O65" s="66">
        <f t="shared" si="3"/>
        <v>52829.117777442356</v>
      </c>
      <c r="P65" s="66">
        <f t="shared" si="4"/>
        <v>1.0090004355138258</v>
      </c>
      <c r="Q65" s="66">
        <f t="shared" si="5"/>
        <v>53194.69194570394</v>
      </c>
      <c r="W65">
        <v>24</v>
      </c>
      <c r="X65" s="9">
        <v>53500</v>
      </c>
      <c r="Y65" s="66">
        <f t="shared" si="6"/>
        <v>-15.57799151129181</v>
      </c>
      <c r="Z65" s="66">
        <f t="shared" si="7"/>
        <v>52855.600218476204</v>
      </c>
      <c r="AA65" s="66">
        <f t="shared" si="8"/>
        <v>1.0000721757526243</v>
      </c>
      <c r="AB65" s="66">
        <f t="shared" si="9"/>
        <v>52499.086111253717</v>
      </c>
    </row>
    <row r="66" spans="12:28" x14ac:dyDescent="0.3">
      <c r="L66">
        <v>38</v>
      </c>
      <c r="M66" s="9">
        <v>48000</v>
      </c>
      <c r="N66" s="66">
        <f t="shared" si="2"/>
        <v>-15.956315155869756</v>
      </c>
      <c r="O66" s="66">
        <f t="shared" si="3"/>
        <v>52886.386912750735</v>
      </c>
      <c r="P66" s="66">
        <f t="shared" si="4"/>
        <v>0.90261390675973374</v>
      </c>
      <c r="Q66" s="66">
        <f t="shared" si="5"/>
        <v>47587.481727694976</v>
      </c>
      <c r="W66">
        <v>25</v>
      </c>
      <c r="X66" s="9">
        <v>48000</v>
      </c>
      <c r="Y66" s="66">
        <f t="shared" si="6"/>
        <v>8.9028262955724724</v>
      </c>
      <c r="Z66" s="66">
        <f t="shared" si="7"/>
        <v>52962.426315999233</v>
      </c>
      <c r="AA66" s="66">
        <f t="shared" si="8"/>
        <v>0.89966156089898075</v>
      </c>
      <c r="AB66" s="66">
        <f t="shared" si="9"/>
        <v>47450.404888201752</v>
      </c>
    </row>
    <row r="67" spans="12:28" x14ac:dyDescent="0.3">
      <c r="L67" s="65">
        <v>39</v>
      </c>
      <c r="M67" s="9">
        <v>46000</v>
      </c>
      <c r="N67" s="66">
        <f t="shared" si="2"/>
        <v>-15.297645152189373</v>
      </c>
      <c r="O67" s="66">
        <f t="shared" si="3"/>
        <v>52873.723947613267</v>
      </c>
      <c r="P67" s="66">
        <f t="shared" si="4"/>
        <v>0.86982399179552017</v>
      </c>
      <c r="Q67" s="66">
        <f t="shared" si="5"/>
        <v>45985.677539386503</v>
      </c>
      <c r="W67" s="65">
        <v>26</v>
      </c>
      <c r="X67" s="9">
        <v>46000</v>
      </c>
      <c r="Y67" s="66">
        <f t="shared" si="6"/>
        <v>13.1772236395408</v>
      </c>
      <c r="Z67" s="66">
        <f t="shared" si="7"/>
        <v>52992.701129014647</v>
      </c>
      <c r="AA67" s="66">
        <f t="shared" si="8"/>
        <v>0.86692561035352578</v>
      </c>
      <c r="AB67" s="66">
        <f t="shared" si="9"/>
        <v>45907.390266489048</v>
      </c>
    </row>
    <row r="68" spans="12:28" x14ac:dyDescent="0.3">
      <c r="L68">
        <v>40</v>
      </c>
      <c r="M68" s="9">
        <v>40000</v>
      </c>
      <c r="N68" s="66">
        <f t="shared" si="2"/>
        <v>-20.077799607486941</v>
      </c>
      <c r="O68" s="66">
        <f t="shared" si="3"/>
        <v>52834.52553018459</v>
      </c>
      <c r="P68" s="66">
        <f t="shared" si="4"/>
        <v>0.75817863350912684</v>
      </c>
      <c r="Q68" s="66">
        <f t="shared" si="5"/>
        <v>40090.638075903786</v>
      </c>
      <c r="W68">
        <v>27</v>
      </c>
      <c r="X68" s="9">
        <v>40000</v>
      </c>
      <c r="Y68" s="66">
        <f t="shared" si="6"/>
        <v>-5.5994349967325299</v>
      </c>
      <c r="Z68" s="66">
        <f t="shared" si="7"/>
        <v>52911.995059472822</v>
      </c>
      <c r="AA68" s="66">
        <f t="shared" si="8"/>
        <v>0.76029523180562808</v>
      </c>
      <c r="AB68" s="66">
        <f t="shared" si="9"/>
        <v>40357.402420375212</v>
      </c>
    </row>
    <row r="69" spans="12:28" x14ac:dyDescent="0.3">
      <c r="L69">
        <v>41</v>
      </c>
      <c r="M69" s="9">
        <v>42500</v>
      </c>
      <c r="N69" s="66">
        <f t="shared" si="2"/>
        <v>27.720842302327</v>
      </c>
      <c r="O69" s="66">
        <f t="shared" si="3"/>
        <v>53053.440940126173</v>
      </c>
      <c r="P69" s="66">
        <f t="shared" si="4"/>
        <v>0.78973569565914692</v>
      </c>
      <c r="Q69" s="66">
        <f t="shared" si="5"/>
        <v>41559.681387440629</v>
      </c>
      <c r="W69">
        <v>28</v>
      </c>
      <c r="X69" s="9">
        <v>42500</v>
      </c>
      <c r="Y69" s="66">
        <f t="shared" si="6"/>
        <v>29.256111230615875</v>
      </c>
      <c r="Z69" s="66">
        <f t="shared" si="7"/>
        <v>53080.673355612831</v>
      </c>
      <c r="AA69" s="66">
        <f t="shared" si="8"/>
        <v>0.79236494142183789</v>
      </c>
      <c r="AB69" s="66">
        <f t="shared" si="9"/>
        <v>41811.350990706043</v>
      </c>
    </row>
    <row r="70" spans="12:28" x14ac:dyDescent="0.3">
      <c r="L70">
        <v>42</v>
      </c>
      <c r="M70" s="9">
        <v>44000</v>
      </c>
      <c r="N70" s="66">
        <f t="shared" si="2"/>
        <v>7.6959225317924265</v>
      </c>
      <c r="O70" s="66">
        <f t="shared" si="3"/>
        <v>52981.037183575827</v>
      </c>
      <c r="P70" s="66">
        <f t="shared" si="4"/>
        <v>0.83554637067337123</v>
      </c>
      <c r="Q70" s="66">
        <f t="shared" si="5"/>
        <v>44418.927083199553</v>
      </c>
      <c r="W70">
        <v>29</v>
      </c>
      <c r="X70" s="9">
        <v>44000</v>
      </c>
      <c r="Y70" s="66">
        <f t="shared" si="6"/>
        <v>14.139008554772717</v>
      </c>
      <c r="Z70" s="66">
        <f t="shared" si="7"/>
        <v>53034.343953464231</v>
      </c>
      <c r="AA70" s="66">
        <f t="shared" si="8"/>
        <v>0.83345654887112264</v>
      </c>
      <c r="AB70" s="66">
        <f t="shared" si="9"/>
        <v>44315.345754841226</v>
      </c>
    </row>
    <row r="71" spans="12:28" x14ac:dyDescent="0.3">
      <c r="L71">
        <v>43</v>
      </c>
      <c r="M71" s="9">
        <v>47000</v>
      </c>
      <c r="N71" s="66">
        <f t="shared" si="2"/>
        <v>-13.296309587719527</v>
      </c>
      <c r="O71" s="66">
        <f t="shared" si="3"/>
        <v>52883.77194551006</v>
      </c>
      <c r="P71" s="66">
        <f t="shared" si="4"/>
        <v>0.89443119768530155</v>
      </c>
      <c r="Q71" s="66">
        <f t="shared" si="5"/>
        <v>47470.149186467039</v>
      </c>
      <c r="W71">
        <v>30</v>
      </c>
      <c r="X71" s="9">
        <v>47000</v>
      </c>
      <c r="Y71" s="66">
        <f t="shared" si="6"/>
        <v>-1.3398554087842491</v>
      </c>
      <c r="Z71" s="66">
        <f t="shared" si="7"/>
        <v>52971.088642201219</v>
      </c>
      <c r="AA71" s="66">
        <f t="shared" si="8"/>
        <v>0.89144923224841766</v>
      </c>
      <c r="AB71" s="66">
        <f t="shared" si="9"/>
        <v>47345.369221020548</v>
      </c>
    </row>
    <row r="72" spans="12:28" x14ac:dyDescent="0.3">
      <c r="L72">
        <v>44</v>
      </c>
      <c r="M72" s="9">
        <v>52000</v>
      </c>
      <c r="N72" s="66">
        <f t="shared" si="2"/>
        <v>-3.8031719361803944</v>
      </c>
      <c r="O72" s="66">
        <f t="shared" si="3"/>
        <v>52917.941324180036</v>
      </c>
      <c r="P72" s="66">
        <f t="shared" si="4"/>
        <v>0.97984307134822624</v>
      </c>
      <c r="Q72" s="66">
        <f t="shared" si="5"/>
        <v>51767.62211954654</v>
      </c>
      <c r="W72">
        <v>31</v>
      </c>
      <c r="X72" s="9">
        <v>52000</v>
      </c>
      <c r="Y72" s="66">
        <f t="shared" si="6"/>
        <v>-22.45514946263345</v>
      </c>
      <c r="Z72" s="66">
        <f t="shared" si="7"/>
        <v>52864.172316523189</v>
      </c>
      <c r="AA72" s="66">
        <f t="shared" si="8"/>
        <v>0.9899899267933685</v>
      </c>
      <c r="AB72" s="66">
        <f t="shared" si="9"/>
        <v>52523.434502541881</v>
      </c>
    </row>
    <row r="73" spans="12:28" x14ac:dyDescent="0.3">
      <c r="L73">
        <v>45</v>
      </c>
      <c r="M73" s="9">
        <v>58500</v>
      </c>
      <c r="N73" s="66">
        <f t="shared" si="2"/>
        <v>-7.9430986016724692</v>
      </c>
      <c r="O73" s="66">
        <f t="shared" si="3"/>
        <v>52893.438518916395</v>
      </c>
      <c r="P73" s="66">
        <f t="shared" si="4"/>
        <v>1.1073845161721492</v>
      </c>
      <c r="Q73" s="66">
        <f t="shared" si="5"/>
        <v>58614.648160861783</v>
      </c>
      <c r="W73">
        <v>32</v>
      </c>
      <c r="X73" s="9">
        <v>58500</v>
      </c>
      <c r="Y73" s="66">
        <f t="shared" si="6"/>
        <v>-25.58280275020914</v>
      </c>
      <c r="Z73" s="66">
        <f t="shared" si="7"/>
        <v>52826.078900622677</v>
      </c>
      <c r="AA73" s="66">
        <f t="shared" si="8"/>
        <v>1.1084578736313373</v>
      </c>
      <c r="AB73" s="66">
        <f t="shared" si="9"/>
        <v>58586.692328852259</v>
      </c>
    </row>
    <row r="74" spans="12:28" x14ac:dyDescent="0.3">
      <c r="L74">
        <v>46</v>
      </c>
      <c r="M74" s="9">
        <v>66500</v>
      </c>
      <c r="N74" s="66">
        <f t="shared" si="2"/>
        <v>5.8337920547621867</v>
      </c>
      <c r="O74" s="66">
        <f t="shared" si="3"/>
        <v>52954.379873596896</v>
      </c>
      <c r="P74" s="66">
        <f t="shared" si="4"/>
        <v>1.2505975371631735</v>
      </c>
      <c r="Q74" s="66">
        <f t="shared" si="5"/>
        <v>66069.714143630292</v>
      </c>
      <c r="W74">
        <v>33</v>
      </c>
      <c r="X74" s="9">
        <v>66500</v>
      </c>
      <c r="Y74" s="66">
        <f t="shared" si="6"/>
        <v>-16.743935125854321</v>
      </c>
      <c r="Z74" s="66">
        <f t="shared" si="7"/>
        <v>52844.690435994242</v>
      </c>
      <c r="AA74" s="66">
        <f t="shared" si="8"/>
        <v>1.2550480826210137</v>
      </c>
      <c r="AB74" s="66">
        <f t="shared" si="9"/>
        <v>66222.855325618119</v>
      </c>
    </row>
    <row r="75" spans="12:28" x14ac:dyDescent="0.3">
      <c r="L75">
        <v>47</v>
      </c>
      <c r="M75" s="9">
        <v>69000</v>
      </c>
      <c r="N75" s="66">
        <f t="shared" si="2"/>
        <v>-24.059446576935979</v>
      </c>
      <c r="O75" s="66">
        <f t="shared" si="3"/>
        <v>52810.747472493167</v>
      </c>
      <c r="P75" s="66">
        <f t="shared" si="4"/>
        <v>1.3185207965835051</v>
      </c>
      <c r="Q75" s="66">
        <f t="shared" si="5"/>
        <v>69987.60754000314</v>
      </c>
      <c r="W75">
        <v>34</v>
      </c>
      <c r="X75" s="9">
        <v>69000</v>
      </c>
      <c r="Y75" s="66">
        <f t="shared" si="6"/>
        <v>-39.229729486167948</v>
      </c>
      <c r="Z75" s="66">
        <f t="shared" si="7"/>
        <v>52715.517529066819</v>
      </c>
      <c r="AA75" s="66">
        <f t="shared" si="8"/>
        <v>1.3179224289427469</v>
      </c>
      <c r="AB75" s="66">
        <f t="shared" si="9"/>
        <v>69742.129538877634</v>
      </c>
    </row>
    <row r="76" spans="12:28" x14ac:dyDescent="0.3">
      <c r="L76">
        <v>48</v>
      </c>
      <c r="M76" s="9">
        <v>60000</v>
      </c>
      <c r="N76" s="66">
        <f t="shared" si="2"/>
        <v>-27.01466396218791</v>
      </c>
      <c r="O76" s="66">
        <f t="shared" si="3"/>
        <v>52771.911938989972</v>
      </c>
      <c r="P76" s="66">
        <f t="shared" si="4"/>
        <v>1.1379883331040066</v>
      </c>
      <c r="Q76" s="66">
        <f t="shared" si="5"/>
        <v>60084.093909629089</v>
      </c>
      <c r="W76">
        <v>35</v>
      </c>
      <c r="X76" s="9">
        <v>60000</v>
      </c>
      <c r="Y76" s="66">
        <f t="shared" si="6"/>
        <v>-39.474530358391831</v>
      </c>
      <c r="Z76" s="66">
        <f t="shared" si="7"/>
        <v>52675.063795219532</v>
      </c>
      <c r="AA76" s="66">
        <f t="shared" si="8"/>
        <v>1.1391436017956382</v>
      </c>
      <c r="AB76" s="66">
        <f t="shared" si="9"/>
        <v>60006.971713283419</v>
      </c>
    </row>
    <row r="77" spans="12:28" x14ac:dyDescent="0.3">
      <c r="L77">
        <v>49</v>
      </c>
      <c r="M77" s="9">
        <v>59500</v>
      </c>
      <c r="N77" s="66">
        <f t="shared" si="2"/>
        <v>-27.527930542521698</v>
      </c>
      <c r="O77" s="66">
        <f t="shared" si="3"/>
        <v>52742.330942126115</v>
      </c>
      <c r="P77" s="66">
        <f t="shared" si="4"/>
        <v>1.1283017874124981</v>
      </c>
      <c r="Q77" s="66">
        <f t="shared" si="5"/>
        <v>59514.478553597481</v>
      </c>
      <c r="W77">
        <v>36</v>
      </c>
      <c r="X77" s="9">
        <v>59500</v>
      </c>
      <c r="Y77" s="66">
        <f t="shared" si="6"/>
        <v>-37.391386726698357</v>
      </c>
      <c r="Z77" s="66">
        <f t="shared" si="7"/>
        <v>52646.004983019608</v>
      </c>
      <c r="AA77" s="66">
        <f t="shared" si="8"/>
        <v>1.1294752608386602</v>
      </c>
      <c r="AB77" s="66">
        <f t="shared" si="9"/>
        <v>59441.187828608556</v>
      </c>
    </row>
    <row r="78" spans="12:28" x14ac:dyDescent="0.3">
      <c r="L78">
        <v>50</v>
      </c>
      <c r="M78" s="9">
        <v>53000</v>
      </c>
      <c r="N78" s="66">
        <f t="shared" si="2"/>
        <v>-35.03076959202059</v>
      </c>
      <c r="O78" s="66">
        <f t="shared" si="3"/>
        <v>52677.288816336099</v>
      </c>
      <c r="P78" s="66">
        <f t="shared" si="4"/>
        <v>1.0084255868047414</v>
      </c>
      <c r="Q78" s="66">
        <f t="shared" si="5"/>
        <v>53189.259196713378</v>
      </c>
      <c r="W78">
        <v>37</v>
      </c>
      <c r="X78" s="9">
        <v>53000</v>
      </c>
      <c r="Y78" s="66">
        <f t="shared" si="6"/>
        <v>-21.888932130974741</v>
      </c>
      <c r="Z78" s="66">
        <f t="shared" si="7"/>
        <v>52686.125869271527</v>
      </c>
      <c r="AA78" s="66">
        <f t="shared" si="8"/>
        <v>1.0012492274520048</v>
      </c>
      <c r="AB78" s="66">
        <f t="shared" si="9"/>
        <v>52612.410662573748</v>
      </c>
    </row>
    <row r="79" spans="12:28" x14ac:dyDescent="0.3">
      <c r="L79">
        <v>51</v>
      </c>
      <c r="M79" s="9">
        <v>48000</v>
      </c>
      <c r="N79" s="66">
        <f t="shared" si="2"/>
        <v>-13.565742290894969</v>
      </c>
      <c r="O79" s="66">
        <f t="shared" si="3"/>
        <v>52749.583183249706</v>
      </c>
      <c r="P79" s="66">
        <f t="shared" si="4"/>
        <v>0.90408308478782673</v>
      </c>
      <c r="Q79" s="66">
        <f t="shared" si="5"/>
        <v>47515.634196225707</v>
      </c>
      <c r="W79">
        <v>38</v>
      </c>
      <c r="X79" s="9">
        <v>48000</v>
      </c>
      <c r="Y79" s="66">
        <f t="shared" si="6"/>
        <v>5.6774515192879882</v>
      </c>
      <c r="Z79" s="66">
        <f t="shared" si="7"/>
        <v>52802.068855391866</v>
      </c>
      <c r="AA79" s="66">
        <f t="shared" si="8"/>
        <v>0.90154030665881502</v>
      </c>
      <c r="AB79" s="66">
        <f t="shared" si="9"/>
        <v>47379.989606421623</v>
      </c>
    </row>
    <row r="80" spans="12:28" x14ac:dyDescent="0.3">
      <c r="L80" s="65">
        <v>52</v>
      </c>
      <c r="M80" s="9">
        <v>46000</v>
      </c>
      <c r="N80" s="66">
        <f t="shared" si="2"/>
        <v>-7.6359542269489982</v>
      </c>
      <c r="O80" s="66">
        <f t="shared" si="3"/>
        <v>52765.666381278541</v>
      </c>
      <c r="P80" s="66">
        <f t="shared" si="4"/>
        <v>0.87021499392080459</v>
      </c>
      <c r="Q80" s="66">
        <f t="shared" si="5"/>
        <v>45871.053201892966</v>
      </c>
      <c r="W80" s="65">
        <v>39</v>
      </c>
      <c r="X80" s="9">
        <v>46000</v>
      </c>
      <c r="Y80" s="66">
        <f t="shared" si="6"/>
        <v>15.810376368392944</v>
      </c>
      <c r="Z80" s="66">
        <f t="shared" si="7"/>
        <v>52858.410931156679</v>
      </c>
      <c r="AA80" s="66">
        <f t="shared" si="8"/>
        <v>0.86759036677769585</v>
      </c>
      <c r="AB80" s="66">
        <f t="shared" si="9"/>
        <v>45780.387698513099</v>
      </c>
    </row>
    <row r="81" spans="12:29" x14ac:dyDescent="0.3">
      <c r="L81">
        <v>53</v>
      </c>
      <c r="M81" s="9">
        <v>42500</v>
      </c>
      <c r="N81" s="66">
        <f t="shared" si="2"/>
        <v>124.25848192270952</v>
      </c>
      <c r="O81" s="66">
        <f t="shared" si="3"/>
        <v>53417.502607799885</v>
      </c>
      <c r="P81" s="66">
        <f t="shared" si="4"/>
        <v>0.76566678166173641</v>
      </c>
      <c r="Q81" s="66">
        <f t="shared" si="5"/>
        <v>40000.011415814908</v>
      </c>
      <c r="R81">
        <f t="shared" ref="R81:R93" si="10">ABS(Q81-M81)</f>
        <v>2499.9885841850919</v>
      </c>
      <c r="W81">
        <v>40</v>
      </c>
      <c r="X81" s="9">
        <v>42500</v>
      </c>
      <c r="Y81" s="66">
        <f t="shared" si="6"/>
        <v>136.81503657076897</v>
      </c>
      <c r="Z81" s="66">
        <f t="shared" si="7"/>
        <v>53479.244608536952</v>
      </c>
      <c r="AA81" s="66">
        <f t="shared" si="8"/>
        <v>0.76717635115213734</v>
      </c>
      <c r="AB81" s="66">
        <f t="shared" si="9"/>
        <v>40200.01834554685</v>
      </c>
    </row>
    <row r="82" spans="12:29" x14ac:dyDescent="0.3">
      <c r="L82">
        <v>54</v>
      </c>
      <c r="M82" s="9">
        <v>43000</v>
      </c>
      <c r="N82" s="66">
        <f t="shared" si="2"/>
        <v>160.53188645177218</v>
      </c>
      <c r="O82" s="66">
        <f t="shared" si="3"/>
        <v>53723.128112367907</v>
      </c>
      <c r="P82" s="66">
        <f t="shared" si="4"/>
        <v>0.79186858727333342</v>
      </c>
      <c r="Q82" s="66">
        <f t="shared" si="5"/>
        <v>42283.839941007922</v>
      </c>
      <c r="R82">
        <f t="shared" si="10"/>
        <v>716.16005899207812</v>
      </c>
      <c r="W82">
        <v>41</v>
      </c>
      <c r="X82" s="9">
        <v>43000</v>
      </c>
      <c r="Y82" s="66">
        <f t="shared" si="6"/>
        <v>162.88958949622406</v>
      </c>
      <c r="Z82" s="66">
        <f t="shared" si="7"/>
        <v>53746.432409734996</v>
      </c>
      <c r="AA82" s="66">
        <f t="shared" si="8"/>
        <v>0.79390257364597316</v>
      </c>
      <c r="AB82" s="66">
        <f t="shared" si="9"/>
        <v>42483.485959965546</v>
      </c>
    </row>
    <row r="83" spans="12:29" x14ac:dyDescent="0.3">
      <c r="L83">
        <v>55</v>
      </c>
      <c r="M83" s="9">
        <v>45500</v>
      </c>
      <c r="N83" s="66">
        <f t="shared" si="2"/>
        <v>183.400919992225</v>
      </c>
      <c r="O83" s="66">
        <f t="shared" si="3"/>
        <v>53998.005166521943</v>
      </c>
      <c r="P83" s="66">
        <f t="shared" si="4"/>
        <v>0.83696184059057321</v>
      </c>
      <c r="Q83" s="66">
        <f t="shared" si="5"/>
        <v>45022.296550611696</v>
      </c>
      <c r="R83">
        <f t="shared" si="10"/>
        <v>477.70344938830385</v>
      </c>
      <c r="W83">
        <v>42</v>
      </c>
      <c r="X83" s="9">
        <v>45500</v>
      </c>
      <c r="Y83" s="66">
        <f t="shared" si="6"/>
        <v>190.19383398547782</v>
      </c>
      <c r="Z83" s="66">
        <f t="shared" si="7"/>
        <v>54045.843221677489</v>
      </c>
      <c r="AA83" s="66">
        <f t="shared" si="8"/>
        <v>0.83514081541411689</v>
      </c>
      <c r="AB83" s="66">
        <f t="shared" si="9"/>
        <v>44931.077465461341</v>
      </c>
    </row>
    <row r="84" spans="12:29" x14ac:dyDescent="0.3">
      <c r="L84">
        <v>56</v>
      </c>
      <c r="M84" s="9">
        <v>48000</v>
      </c>
      <c r="N84" s="66">
        <f t="shared" si="2"/>
        <v>162.76031892960691</v>
      </c>
      <c r="O84" s="66">
        <f t="shared" si="3"/>
        <v>54078.203081201078</v>
      </c>
      <c r="P84" s="66">
        <f t="shared" si="4"/>
        <v>0.89306564953632472</v>
      </c>
      <c r="Q84" s="66">
        <f t="shared" si="5"/>
        <v>48461.539938234549</v>
      </c>
      <c r="R84">
        <f t="shared" si="10"/>
        <v>461.53993823454948</v>
      </c>
      <c r="W84">
        <v>43</v>
      </c>
      <c r="X84" s="9">
        <v>48000</v>
      </c>
      <c r="Y84" s="66">
        <f t="shared" si="6"/>
        <v>174.54858663524723</v>
      </c>
      <c r="Z84" s="66">
        <f t="shared" si="7"/>
        <v>54157.810818911814</v>
      </c>
      <c r="AA84" s="66">
        <f t="shared" si="8"/>
        <v>0.89041913568226705</v>
      </c>
      <c r="AB84" s="66">
        <f t="shared" si="9"/>
        <v>48348.67359346748</v>
      </c>
    </row>
    <row r="85" spans="12:29" x14ac:dyDescent="0.3">
      <c r="L85">
        <v>57</v>
      </c>
      <c r="M85" s="9">
        <v>54500</v>
      </c>
      <c r="N85" s="66">
        <f t="shared" si="2"/>
        <v>217.96784628471434</v>
      </c>
      <c r="O85" s="66">
        <f t="shared" si="3"/>
        <v>54517.001036906222</v>
      </c>
      <c r="P85" s="66">
        <f t="shared" si="4"/>
        <v>0.98381208740826587</v>
      </c>
      <c r="Q85" s="66">
        <f t="shared" si="5"/>
        <v>53147.632170870776</v>
      </c>
      <c r="R85">
        <f t="shared" si="10"/>
        <v>1352.3678291292235</v>
      </c>
      <c r="W85">
        <v>44</v>
      </c>
      <c r="X85" s="9">
        <v>54500</v>
      </c>
      <c r="Y85" s="66">
        <f t="shared" si="6"/>
        <v>203.29681812063708</v>
      </c>
      <c r="Z85" s="66">
        <f t="shared" si="7"/>
        <v>54476.10056297401</v>
      </c>
      <c r="AA85" s="66">
        <f t="shared" si="8"/>
        <v>0.99207968426789694</v>
      </c>
      <c r="AB85" s="66">
        <f t="shared" si="9"/>
        <v>53788.488510408519</v>
      </c>
    </row>
    <row r="86" spans="12:29" x14ac:dyDescent="0.3">
      <c r="L86">
        <v>58</v>
      </c>
      <c r="M86" s="9">
        <v>60000</v>
      </c>
      <c r="N86" s="66">
        <f t="shared" si="2"/>
        <v>195.83797087241345</v>
      </c>
      <c r="O86" s="66">
        <f t="shared" si="3"/>
        <v>54624.319506129432</v>
      </c>
      <c r="P86" s="66">
        <f t="shared" si="4"/>
        <v>1.1055899835099234</v>
      </c>
      <c r="Q86" s="66">
        <f t="shared" si="5"/>
        <v>60612.657034410033</v>
      </c>
      <c r="R86">
        <f t="shared" si="10"/>
        <v>612.65703441003279</v>
      </c>
      <c r="W86">
        <v>45</v>
      </c>
      <c r="X86" s="9">
        <v>60000</v>
      </c>
      <c r="Y86" s="66">
        <f t="shared" si="6"/>
        <v>181.2911626240203</v>
      </c>
      <c r="Z86" s="66">
        <f t="shared" si="7"/>
        <v>54569.369103611563</v>
      </c>
      <c r="AA86" s="66">
        <f t="shared" si="8"/>
        <v>1.1066698857912485</v>
      </c>
      <c r="AB86" s="66">
        <f t="shared" si="9"/>
        <v>60609.808552491086</v>
      </c>
    </row>
    <row r="87" spans="12:29" x14ac:dyDescent="0.3">
      <c r="L87">
        <v>59</v>
      </c>
      <c r="M87" s="9">
        <v>68500</v>
      </c>
      <c r="N87" s="66">
        <f t="shared" si="2"/>
        <v>193.98433128290068</v>
      </c>
      <c r="O87" s="66">
        <f t="shared" si="3"/>
        <v>54810.889279054281</v>
      </c>
      <c r="P87" s="66">
        <f t="shared" si="4"/>
        <v>1.2504283622319929</v>
      </c>
      <c r="Q87" s="66">
        <f t="shared" si="5"/>
        <v>68557.953927635841</v>
      </c>
      <c r="R87">
        <f t="shared" si="10"/>
        <v>57.953927635840955</v>
      </c>
      <c r="W87">
        <v>46</v>
      </c>
      <c r="X87" s="9">
        <v>68500</v>
      </c>
      <c r="Y87" s="66">
        <f t="shared" si="6"/>
        <v>174.44804028164663</v>
      </c>
      <c r="Z87" s="66">
        <f t="shared" si="7"/>
        <v>54716.444654523715</v>
      </c>
      <c r="AA87" s="66">
        <f t="shared" si="8"/>
        <v>1.2544202313321251</v>
      </c>
      <c r="AB87" s="66">
        <f t="shared" si="9"/>
        <v>68714.711189373498</v>
      </c>
    </row>
    <row r="88" spans="12:29" x14ac:dyDescent="0.3">
      <c r="L88">
        <v>60</v>
      </c>
      <c r="M88" s="9">
        <v>70000</v>
      </c>
      <c r="N88" s="66">
        <f t="shared" si="2"/>
        <v>117.38122346026864</v>
      </c>
      <c r="O88" s="66">
        <f t="shared" si="3"/>
        <v>54621.858071224022</v>
      </c>
      <c r="P88" s="66">
        <f t="shared" si="4"/>
        <v>1.3111242857862804</v>
      </c>
      <c r="Q88" s="66">
        <f t="shared" si="5"/>
        <v>72525.069768676796</v>
      </c>
      <c r="R88">
        <f t="shared" si="10"/>
        <v>2525.0697686767962</v>
      </c>
      <c r="W88">
        <v>47</v>
      </c>
      <c r="X88" s="9">
        <v>70000</v>
      </c>
      <c r="Y88" s="66">
        <f t="shared" si="6"/>
        <v>103.3683294961713</v>
      </c>
      <c r="Z88" s="66">
        <f t="shared" si="7"/>
        <v>54535.494140877985</v>
      </c>
      <c r="AA88" s="66">
        <f t="shared" si="8"/>
        <v>1.3110514876181885</v>
      </c>
      <c r="AB88" s="66">
        <f t="shared" si="9"/>
        <v>72341.938627173571</v>
      </c>
    </row>
    <row r="89" spans="12:29" x14ac:dyDescent="0.3">
      <c r="L89">
        <v>61</v>
      </c>
      <c r="M89" s="9">
        <v>61000</v>
      </c>
      <c r="N89" s="66">
        <f t="shared" si="2"/>
        <v>71.946111597097754</v>
      </c>
      <c r="O89" s="66">
        <f t="shared" si="3"/>
        <v>54512.063735368436</v>
      </c>
      <c r="P89" s="66">
        <f t="shared" si="4"/>
        <v>1.1341943378911623</v>
      </c>
      <c r="Q89" s="66">
        <f t="shared" si="5"/>
        <v>62292.615680339113</v>
      </c>
      <c r="R89">
        <f t="shared" si="10"/>
        <v>1292.6156803391132</v>
      </c>
      <c r="W89">
        <v>48</v>
      </c>
      <c r="X89" s="9">
        <v>61000</v>
      </c>
      <c r="Y89" s="66">
        <f t="shared" si="6"/>
        <v>59.773804958210697</v>
      </c>
      <c r="Z89" s="66">
        <f t="shared" si="7"/>
        <v>54420.889847684353</v>
      </c>
      <c r="AA89" s="66">
        <f t="shared" si="8"/>
        <v>1.1354935017079892</v>
      </c>
      <c r="AB89" s="66">
        <f t="shared" si="9"/>
        <v>62241.510592518542</v>
      </c>
    </row>
    <row r="90" spans="12:29" x14ac:dyDescent="0.3">
      <c r="L90">
        <v>62</v>
      </c>
      <c r="M90" s="9">
        <v>60000</v>
      </c>
      <c r="N90" s="66">
        <f t="shared" si="2"/>
        <v>15.676206074300502</v>
      </c>
      <c r="O90" s="66">
        <f t="shared" si="3"/>
        <v>54302.660319351548</v>
      </c>
      <c r="P90" s="66">
        <f t="shared" si="4"/>
        <v>1.1236250784184616</v>
      </c>
      <c r="Q90" s="66">
        <f t="shared" si="5"/>
        <v>61587.235874472608</v>
      </c>
      <c r="R90">
        <f t="shared" si="10"/>
        <v>1587.235874472608</v>
      </c>
      <c r="W90">
        <v>49</v>
      </c>
      <c r="X90" s="9">
        <v>60000</v>
      </c>
      <c r="Y90" s="66">
        <f t="shared" si="6"/>
        <v>5.4277969334822984</v>
      </c>
      <c r="Z90" s="66">
        <f t="shared" si="7"/>
        <v>54208.933612518922</v>
      </c>
      <c r="AA90" s="66">
        <f t="shared" si="8"/>
        <v>1.1249459356888223</v>
      </c>
      <c r="AB90" s="66">
        <f t="shared" si="9"/>
        <v>61534.561789731779</v>
      </c>
    </row>
    <row r="91" spans="12:29" x14ac:dyDescent="0.3">
      <c r="L91">
        <v>63</v>
      </c>
      <c r="M91" s="9">
        <v>55000</v>
      </c>
      <c r="N91" s="66">
        <f t="shared" si="2"/>
        <v>24.561328309240466</v>
      </c>
      <c r="O91" s="66">
        <f t="shared" si="3"/>
        <v>54362.762136600548</v>
      </c>
      <c r="P91" s="66">
        <f t="shared" si="4"/>
        <v>1.0090848604877884</v>
      </c>
      <c r="Q91" s="66">
        <f t="shared" si="5"/>
        <v>54776.000384909974</v>
      </c>
      <c r="R91">
        <f t="shared" si="10"/>
        <v>223.99961509002605</v>
      </c>
      <c r="W91">
        <v>50</v>
      </c>
      <c r="X91" s="9">
        <v>55000</v>
      </c>
      <c r="Y91" s="66">
        <f t="shared" si="6"/>
        <v>34.108469129712248</v>
      </c>
      <c r="Z91" s="66">
        <f t="shared" si="7"/>
        <v>54357.764770433554</v>
      </c>
      <c r="AA91" s="66">
        <f t="shared" si="8"/>
        <v>1.0033623754815868</v>
      </c>
      <c r="AB91" s="66">
        <f t="shared" si="9"/>
        <v>54282.087478018002</v>
      </c>
    </row>
    <row r="92" spans="12:29" x14ac:dyDescent="0.3">
      <c r="L92">
        <v>64</v>
      </c>
      <c r="M92" s="9">
        <v>49000</v>
      </c>
      <c r="N92" s="66">
        <f t="shared" si="2"/>
        <v>17.0107314943887</v>
      </c>
      <c r="O92" s="66">
        <f t="shared" si="3"/>
        <v>54349.570480835529</v>
      </c>
      <c r="P92" s="66">
        <f t="shared" si="4"/>
        <v>0.90358068031250405</v>
      </c>
      <c r="Q92" s="66">
        <f t="shared" si="5"/>
        <v>49170.659171508996</v>
      </c>
      <c r="R92">
        <f t="shared" si="10"/>
        <v>170.65917150899622</v>
      </c>
      <c r="W92">
        <v>51</v>
      </c>
      <c r="X92" s="9">
        <v>49000</v>
      </c>
      <c r="Y92" s="66">
        <f t="shared" si="6"/>
        <v>32.490523492721962</v>
      </c>
      <c r="Z92" s="66">
        <f t="shared" si="7"/>
        <v>54383.783511378315</v>
      </c>
      <c r="AA92" s="66">
        <f t="shared" si="8"/>
        <v>0.90143302150051596</v>
      </c>
      <c r="AB92" s="66">
        <f t="shared" si="9"/>
        <v>49036.466080143262</v>
      </c>
    </row>
    <row r="93" spans="12:29" x14ac:dyDescent="0.3">
      <c r="L93" s="65">
        <v>65</v>
      </c>
      <c r="M93" s="9">
        <v>48000</v>
      </c>
      <c r="N93" s="66">
        <f t="shared" si="2"/>
        <v>48.698802402536813</v>
      </c>
      <c r="O93" s="66">
        <f t="shared" si="3"/>
        <v>54525.021566870659</v>
      </c>
      <c r="P93" s="66">
        <f t="shared" si="4"/>
        <v>0.87223795025463213</v>
      </c>
      <c r="Q93" s="66">
        <f t="shared" si="5"/>
        <v>47310.61413918261</v>
      </c>
      <c r="R93">
        <f t="shared" si="10"/>
        <v>689.38586081739049</v>
      </c>
      <c r="S93">
        <f>AVERAGE(R81:R93)</f>
        <v>974.41052252923464</v>
      </c>
      <c r="W93" s="65">
        <v>52</v>
      </c>
      <c r="X93" s="9">
        <v>48000</v>
      </c>
      <c r="Y93" s="66">
        <f t="shared" si="6"/>
        <v>68.865517112853624</v>
      </c>
      <c r="Z93" s="66">
        <f t="shared" si="7"/>
        <v>54598.149002971695</v>
      </c>
      <c r="AA93" s="66">
        <f t="shared" si="8"/>
        <v>0.86990243007161505</v>
      </c>
      <c r="AB93" s="66">
        <f t="shared" si="9"/>
        <v>47211.03514858937</v>
      </c>
    </row>
    <row r="94" spans="12:29" x14ac:dyDescent="0.3">
      <c r="L94">
        <v>66</v>
      </c>
      <c r="M94" s="9">
        <v>41000</v>
      </c>
      <c r="N94" s="66">
        <f t="shared" ref="N94:N106" si="11">$T$19*(O94-O93)+(1-$T$19)*N93</f>
        <v>7.6739149576540768</v>
      </c>
      <c r="O94" s="66">
        <f t="shared" ref="O94:O106" si="12">$S$19*(M94/P81)+(1-$S$19)*(N93+O93)</f>
        <v>54368.595932048782</v>
      </c>
      <c r="P94" s="66">
        <f t="shared" ref="P94:P106" si="13">$U$19*(M94/O94)+(1-$U$19)*P81</f>
        <v>0.76335578627923906</v>
      </c>
      <c r="Q94" s="66">
        <f t="shared" ref="Q94:Q106" si="14">(N93+O93)*P81</f>
        <v>41785.284838448955</v>
      </c>
      <c r="R94">
        <f>ABS(Q94-M94)</f>
        <v>785.28483844895527</v>
      </c>
      <c r="W94">
        <v>53</v>
      </c>
      <c r="X94" s="9">
        <v>41000</v>
      </c>
      <c r="Y94" s="66">
        <f t="shared" si="6"/>
        <v>19.894209460379841</v>
      </c>
      <c r="Z94" s="66">
        <f t="shared" si="7"/>
        <v>54422.15798182218</v>
      </c>
      <c r="AA94" s="66">
        <f t="shared" si="8"/>
        <v>0.76441500316380329</v>
      </c>
      <c r="AB94" s="66">
        <f t="shared" si="9"/>
        <v>41939.240727899378</v>
      </c>
      <c r="AC94">
        <f>ABS(AB94-X94)</f>
        <v>939.24072789937782</v>
      </c>
    </row>
    <row r="95" spans="12:29" x14ac:dyDescent="0.3">
      <c r="L95">
        <v>67</v>
      </c>
      <c r="M95" s="9">
        <v>41900</v>
      </c>
      <c r="N95" s="66">
        <f t="shared" si="11"/>
        <v>-50.864080036331998</v>
      </c>
      <c r="O95" s="66">
        <f t="shared" si="12"/>
        <v>54083.579872036506</v>
      </c>
      <c r="P95" s="66">
        <f t="shared" si="13"/>
        <v>0.78844023437898891</v>
      </c>
      <c r="Q95" s="66">
        <f t="shared" si="14"/>
        <v>43058.859984942545</v>
      </c>
      <c r="R95">
        <f t="shared" ref="R95:R106" si="15">ABS(Q95-M95)</f>
        <v>1158.8599849425445</v>
      </c>
      <c r="W95">
        <v>54</v>
      </c>
      <c r="X95" s="9">
        <v>41900</v>
      </c>
      <c r="Y95" s="66">
        <f t="shared" si="6"/>
        <v>-46.697606366985617</v>
      </c>
      <c r="Z95" s="66">
        <f t="shared" si="7"/>
        <v>54109.093112145732</v>
      </c>
      <c r="AA95" s="66">
        <f t="shared" si="8"/>
        <v>0.78999436443910054</v>
      </c>
      <c r="AB95" s="66">
        <f t="shared" si="9"/>
        <v>43221.685349227613</v>
      </c>
      <c r="AC95">
        <f t="shared" ref="AC95:AC106" si="16">ABS(AB95-X95)</f>
        <v>1321.6853492276132</v>
      </c>
    </row>
    <row r="96" spans="12:29" x14ac:dyDescent="0.3">
      <c r="L96">
        <v>68</v>
      </c>
      <c r="M96" s="9">
        <v>44300</v>
      </c>
      <c r="N96" s="66">
        <f t="shared" si="11"/>
        <v>-94.991361190669807</v>
      </c>
      <c r="O96" s="66">
        <f t="shared" si="12"/>
        <v>53812.079386228485</v>
      </c>
      <c r="P96" s="66">
        <f t="shared" si="13"/>
        <v>0.8342165201438303</v>
      </c>
      <c r="Q96" s="66">
        <f t="shared" si="14"/>
        <v>45223.321261379795</v>
      </c>
      <c r="R96">
        <f t="shared" si="15"/>
        <v>923.32126137979503</v>
      </c>
      <c r="W96">
        <v>55</v>
      </c>
      <c r="X96" s="9">
        <v>44300</v>
      </c>
      <c r="Y96" s="66">
        <f t="shared" si="6"/>
        <v>-87.395560544459485</v>
      </c>
      <c r="Z96" s="66">
        <f t="shared" si="7"/>
        <v>53858.905734891378</v>
      </c>
      <c r="AA96" s="66">
        <f t="shared" si="8"/>
        <v>0.83261655153064607</v>
      </c>
      <c r="AB96" s="66">
        <f t="shared" si="9"/>
        <v>45149.71306593655</v>
      </c>
      <c r="AC96">
        <f t="shared" si="16"/>
        <v>849.71306593655027</v>
      </c>
    </row>
    <row r="97" spans="12:30" x14ac:dyDescent="0.3">
      <c r="L97">
        <v>69</v>
      </c>
      <c r="M97" s="9">
        <v>46600</v>
      </c>
      <c r="N97" s="66">
        <f t="shared" si="11"/>
        <v>-156.48229901783148</v>
      </c>
      <c r="O97" s="66">
        <f t="shared" si="12"/>
        <v>53409.633335902006</v>
      </c>
      <c r="P97" s="66">
        <f t="shared" si="13"/>
        <v>0.8889528750496819</v>
      </c>
      <c r="Q97" s="66">
        <f t="shared" si="14"/>
        <v>47972.886108280327</v>
      </c>
      <c r="R97">
        <f t="shared" si="15"/>
        <v>1372.8861082803269</v>
      </c>
      <c r="W97">
        <v>56</v>
      </c>
      <c r="X97" s="9">
        <v>46600</v>
      </c>
      <c r="Y97" s="66">
        <f t="shared" si="6"/>
        <v>-144.85980687569145</v>
      </c>
      <c r="Z97" s="66">
        <f t="shared" si="7"/>
        <v>53484.188942690758</v>
      </c>
      <c r="AA97" s="66">
        <f t="shared" si="8"/>
        <v>0.8865924148840354</v>
      </c>
      <c r="AB97" s="66">
        <f t="shared" si="9"/>
        <v>47879.181613772213</v>
      </c>
      <c r="AC97">
        <f t="shared" si="16"/>
        <v>1279.1816137722126</v>
      </c>
    </row>
    <row r="98" spans="12:30" x14ac:dyDescent="0.3">
      <c r="L98">
        <v>70</v>
      </c>
      <c r="M98" s="9">
        <v>52600</v>
      </c>
      <c r="N98" s="66">
        <f t="shared" si="11"/>
        <v>-147.98855026198191</v>
      </c>
      <c r="O98" s="66">
        <f t="shared" si="12"/>
        <v>53295.619780663423</v>
      </c>
      <c r="P98" s="66">
        <f t="shared" si="13"/>
        <v>0.98443924984508924</v>
      </c>
      <c r="Q98" s="66">
        <f t="shared" si="14"/>
        <v>52391.093682664679</v>
      </c>
      <c r="R98">
        <f t="shared" si="15"/>
        <v>208.90631733532064</v>
      </c>
      <c r="W98">
        <v>57</v>
      </c>
      <c r="X98" s="9">
        <v>52600</v>
      </c>
      <c r="Y98" s="66">
        <f t="shared" si="6"/>
        <v>-157.63558741612979</v>
      </c>
      <c r="Z98" s="66">
        <f t="shared" si="7"/>
        <v>53275.450233112875</v>
      </c>
      <c r="AA98" s="66">
        <f t="shared" si="8"/>
        <v>0.99112805703476237</v>
      </c>
      <c r="AB98" s="66">
        <f t="shared" si="9"/>
        <v>52916.864808120845</v>
      </c>
      <c r="AC98">
        <f t="shared" si="16"/>
        <v>316.86480812084483</v>
      </c>
    </row>
    <row r="99" spans="12:30" x14ac:dyDescent="0.3">
      <c r="L99">
        <v>71</v>
      </c>
      <c r="M99" s="9">
        <v>59000</v>
      </c>
      <c r="N99" s="66">
        <f t="shared" si="11"/>
        <v>-139.28690614521921</v>
      </c>
      <c r="O99" s="66">
        <f t="shared" si="12"/>
        <v>53191.139450985254</v>
      </c>
      <c r="P99" s="66">
        <f t="shared" si="13"/>
        <v>1.1063134461523754</v>
      </c>
      <c r="Q99" s="66">
        <f t="shared" si="14"/>
        <v>58759.488735611019</v>
      </c>
      <c r="R99">
        <f t="shared" si="15"/>
        <v>240.51126438898063</v>
      </c>
      <c r="W99">
        <v>58</v>
      </c>
      <c r="X99" s="9">
        <v>59000</v>
      </c>
      <c r="Y99" s="66">
        <f t="shared" si="6"/>
        <v>-149.82425594896691</v>
      </c>
      <c r="Z99" s="66">
        <f t="shared" si="7"/>
        <v>53156.87130303256</v>
      </c>
      <c r="AA99" s="66">
        <f t="shared" si="8"/>
        <v>1.1073203804566221</v>
      </c>
      <c r="AB99" s="66">
        <f t="shared" si="9"/>
        <v>58783.885867433921</v>
      </c>
      <c r="AC99">
        <f t="shared" si="16"/>
        <v>216.11413256607921</v>
      </c>
    </row>
    <row r="100" spans="12:30" x14ac:dyDescent="0.3">
      <c r="L100">
        <v>72</v>
      </c>
      <c r="M100" s="9">
        <v>67500</v>
      </c>
      <c r="N100" s="66">
        <f t="shared" si="11"/>
        <v>-102.10096430021724</v>
      </c>
      <c r="O100" s="66">
        <f t="shared" si="12"/>
        <v>53237.782254065045</v>
      </c>
      <c r="P100" s="66">
        <f t="shared" si="13"/>
        <v>1.2539219980966425</v>
      </c>
      <c r="Q100" s="66">
        <f t="shared" si="14"/>
        <v>66337.541091017512</v>
      </c>
      <c r="R100">
        <f t="shared" si="15"/>
        <v>1162.4589089824876</v>
      </c>
      <c r="W100">
        <v>59</v>
      </c>
      <c r="X100" s="9">
        <v>67500</v>
      </c>
      <c r="Y100" s="66">
        <f t="shared" si="6"/>
        <v>-117.71738280342299</v>
      </c>
      <c r="Z100" s="66">
        <f t="shared" si="7"/>
        <v>53167.581412811312</v>
      </c>
      <c r="AA100" s="66">
        <f t="shared" si="8"/>
        <v>1.2574503117057927</v>
      </c>
      <c r="AB100" s="66">
        <f t="shared" si="9"/>
        <v>66493.112219035436</v>
      </c>
      <c r="AC100">
        <f t="shared" si="16"/>
        <v>1006.8877809645637</v>
      </c>
    </row>
    <row r="101" spans="12:30" x14ac:dyDescent="0.3">
      <c r="L101">
        <v>73</v>
      </c>
      <c r="M101" s="9">
        <v>68100</v>
      </c>
      <c r="N101" s="66">
        <f t="shared" si="11"/>
        <v>-149.92197403371475</v>
      </c>
      <c r="O101" s="66">
        <f t="shared" si="12"/>
        <v>52896.57624109734</v>
      </c>
      <c r="P101" s="66">
        <f t="shared" si="13"/>
        <v>1.3063830120262065</v>
      </c>
      <c r="Q101" s="66">
        <f t="shared" si="14"/>
        <v>69667.48218081033</v>
      </c>
      <c r="R101">
        <f t="shared" si="15"/>
        <v>1567.4821808103297</v>
      </c>
      <c r="W101">
        <v>60</v>
      </c>
      <c r="X101" s="9">
        <v>68100</v>
      </c>
      <c r="Y101" s="66">
        <f t="shared" si="6"/>
        <v>-161.99033983642886</v>
      </c>
      <c r="Z101" s="66">
        <f t="shared" si="7"/>
        <v>52828.49924484286</v>
      </c>
      <c r="AA101" s="66">
        <f t="shared" si="8"/>
        <v>1.3066565775216241</v>
      </c>
      <c r="AB101" s="66">
        <f t="shared" si="9"/>
        <v>69551.103154484474</v>
      </c>
      <c r="AC101">
        <f t="shared" si="16"/>
        <v>1451.1031544844736</v>
      </c>
    </row>
    <row r="102" spans="12:30" x14ac:dyDescent="0.3">
      <c r="L102">
        <v>74</v>
      </c>
      <c r="M102" s="9">
        <v>59000</v>
      </c>
      <c r="N102" s="66">
        <f t="shared" si="11"/>
        <v>-179.01598675608906</v>
      </c>
      <c r="O102" s="66">
        <f t="shared" si="12"/>
        <v>52601.184203451754</v>
      </c>
      <c r="P102" s="66">
        <f t="shared" si="13"/>
        <v>1.1316850206584079</v>
      </c>
      <c r="Q102" s="66">
        <f t="shared" si="14"/>
        <v>59824.956612406284</v>
      </c>
      <c r="R102">
        <f t="shared" si="15"/>
        <v>824.95661240628397</v>
      </c>
      <c r="W102">
        <v>61</v>
      </c>
      <c r="X102" s="9">
        <v>59000</v>
      </c>
      <c r="Y102" s="66">
        <f t="shared" si="6"/>
        <v>-190.25923324968559</v>
      </c>
      <c r="Z102" s="66">
        <f t="shared" si="7"/>
        <v>52525.164437940148</v>
      </c>
      <c r="AA102" s="66">
        <f t="shared" si="8"/>
        <v>1.1330490242759077</v>
      </c>
      <c r="AB102" s="66">
        <f t="shared" si="9"/>
        <v>59802.478619280751</v>
      </c>
      <c r="AC102">
        <f t="shared" si="16"/>
        <v>802.47861928075145</v>
      </c>
    </row>
    <row r="103" spans="12:30" x14ac:dyDescent="0.3">
      <c r="L103">
        <v>75</v>
      </c>
      <c r="M103" s="9">
        <v>58900</v>
      </c>
      <c r="N103" s="66">
        <f t="shared" si="11"/>
        <v>-179.11790236496626</v>
      </c>
      <c r="O103" s="66">
        <f t="shared" si="12"/>
        <v>52421.658638651279</v>
      </c>
      <c r="P103" s="66">
        <f t="shared" si="13"/>
        <v>1.1236163404321413</v>
      </c>
      <c r="Q103" s="66">
        <f t="shared" si="14"/>
        <v>58902.862873350452</v>
      </c>
      <c r="R103">
        <f t="shared" si="15"/>
        <v>2.8628733504519914</v>
      </c>
      <c r="W103">
        <v>62</v>
      </c>
      <c r="X103" s="9">
        <v>58900</v>
      </c>
      <c r="Y103" s="66">
        <f t="shared" si="6"/>
        <v>-189.33257199435135</v>
      </c>
      <c r="Z103" s="66">
        <f t="shared" si="7"/>
        <v>52339.538510967133</v>
      </c>
      <c r="AA103" s="66">
        <f t="shared" si="8"/>
        <v>1.1250256034767014</v>
      </c>
      <c r="AB103" s="66">
        <f t="shared" si="9"/>
        <v>58873.938904676324</v>
      </c>
      <c r="AC103">
        <f t="shared" si="16"/>
        <v>26.061095323675545</v>
      </c>
    </row>
    <row r="104" spans="12:30" x14ac:dyDescent="0.3">
      <c r="L104">
        <v>76</v>
      </c>
      <c r="M104" s="9">
        <v>52200</v>
      </c>
      <c r="N104" s="66">
        <f t="shared" si="11"/>
        <v>-199.61793960278789</v>
      </c>
      <c r="O104" s="66">
        <f t="shared" si="12"/>
        <v>52140.040550097205</v>
      </c>
      <c r="P104" s="66">
        <f t="shared" si="13"/>
        <v>1.0074978822654568</v>
      </c>
      <c r="Q104" s="66">
        <f t="shared" si="14"/>
        <v>52717.156930403078</v>
      </c>
      <c r="R104">
        <f t="shared" si="15"/>
        <v>517.15693040307815</v>
      </c>
      <c r="W104">
        <v>63</v>
      </c>
      <c r="X104" s="9">
        <v>52200</v>
      </c>
      <c r="Y104" s="66">
        <f t="shared" si="6"/>
        <v>-194.3379226373392</v>
      </c>
      <c r="Z104" s="66">
        <f t="shared" si="7"/>
        <v>52125.179185757843</v>
      </c>
      <c r="AA104" s="66">
        <f t="shared" si="8"/>
        <v>1.0029769816592753</v>
      </c>
      <c r="AB104" s="66">
        <f t="shared" si="9"/>
        <v>52325.554512781688</v>
      </c>
      <c r="AC104">
        <f t="shared" si="16"/>
        <v>125.55451278168766</v>
      </c>
    </row>
    <row r="105" spans="12:30" x14ac:dyDescent="0.3">
      <c r="L105">
        <v>77</v>
      </c>
      <c r="M105" s="9">
        <v>47700</v>
      </c>
      <c r="N105" s="66">
        <f t="shared" si="11"/>
        <v>-165.63591149545724</v>
      </c>
      <c r="O105" s="66">
        <f t="shared" si="12"/>
        <v>52110.33275103107</v>
      </c>
      <c r="P105" s="66">
        <f t="shared" si="13"/>
        <v>0.90593764120333709</v>
      </c>
      <c r="Q105" s="66">
        <f t="shared" si="14"/>
        <v>46932.362398109515</v>
      </c>
      <c r="R105">
        <f t="shared" si="15"/>
        <v>767.6376018904848</v>
      </c>
      <c r="W105">
        <v>64</v>
      </c>
      <c r="X105" s="9">
        <v>47700</v>
      </c>
      <c r="Y105" s="66">
        <f t="shared" si="6"/>
        <v>-154.94176873812771</v>
      </c>
      <c r="Z105" s="66">
        <f t="shared" si="7"/>
        <v>52127.822032616561</v>
      </c>
      <c r="AA105" s="66">
        <f t="shared" si="8"/>
        <v>0.90415809173442252</v>
      </c>
      <c r="AB105" s="66">
        <f t="shared" si="9"/>
        <v>46812.175148878392</v>
      </c>
      <c r="AC105">
        <f t="shared" si="16"/>
        <v>887.82485112160794</v>
      </c>
    </row>
    <row r="106" spans="12:30" x14ac:dyDescent="0.3">
      <c r="L106" s="65">
        <v>78</v>
      </c>
      <c r="M106" s="9">
        <v>45700</v>
      </c>
      <c r="N106" s="66">
        <f t="shared" si="11"/>
        <v>-147.665397739627</v>
      </c>
      <c r="O106" s="66">
        <f t="shared" si="12"/>
        <v>52034.549408314764</v>
      </c>
      <c r="P106" s="66">
        <f t="shared" si="13"/>
        <v>0.87344288538036252</v>
      </c>
      <c r="Q106" s="66">
        <f t="shared" si="14"/>
        <v>45308.135897914814</v>
      </c>
      <c r="R106">
        <f t="shared" si="15"/>
        <v>391.86410208518646</v>
      </c>
      <c r="W106" s="65">
        <v>65</v>
      </c>
      <c r="X106" s="9">
        <v>45700</v>
      </c>
      <c r="Y106" s="66">
        <f t="shared" si="6"/>
        <v>-132.47188504825996</v>
      </c>
      <c r="Z106" s="66">
        <f t="shared" si="7"/>
        <v>52085.229682327772</v>
      </c>
      <c r="AA106" s="66">
        <f t="shared" si="8"/>
        <v>0.87140355478927189</v>
      </c>
      <c r="AB106" s="66">
        <f t="shared" si="9"/>
        <v>45211.33483936893</v>
      </c>
      <c r="AC106">
        <f t="shared" si="16"/>
        <v>488.66516063106974</v>
      </c>
    </row>
    <row r="107" spans="12:30" x14ac:dyDescent="0.3">
      <c r="Q107" s="69" t="s">
        <v>49</v>
      </c>
      <c r="R107" s="69">
        <f>AVERAGE(R94:R106)</f>
        <v>763.39915266955586</v>
      </c>
      <c r="V107" s="92">
        <v>2022</v>
      </c>
      <c r="W107">
        <v>66</v>
      </c>
      <c r="Y107" s="66"/>
      <c r="Z107" s="66"/>
      <c r="AA107" s="66"/>
      <c r="AB107" s="66">
        <f>($Z$106+$Y$106)*AA94</f>
        <v>39713.467515975724</v>
      </c>
      <c r="AC107" s="69">
        <f>AVERAGE(AC94:AC106)</f>
        <v>747.02883631619284</v>
      </c>
      <c r="AD107" s="69" t="s">
        <v>64</v>
      </c>
    </row>
    <row r="108" spans="12:30" x14ac:dyDescent="0.3">
      <c r="V108" s="92"/>
      <c r="W108">
        <v>67</v>
      </c>
      <c r="Y108" s="66"/>
      <c r="Z108" s="66"/>
      <c r="AA108" s="66"/>
      <c r="AB108" s="66">
        <f>($Z$106+2*$Y$106)*AA95</f>
        <v>40937.733834285602</v>
      </c>
    </row>
    <row r="109" spans="12:30" x14ac:dyDescent="0.3">
      <c r="V109" s="92"/>
      <c r="W109">
        <v>68</v>
      </c>
      <c r="Y109" s="66"/>
      <c r="Z109" s="66"/>
      <c r="AA109" s="66"/>
      <c r="AB109" s="66">
        <f>($Z$106+3*$Y$106)*AA96</f>
        <v>43036.129471470456</v>
      </c>
    </row>
    <row r="110" spans="12:30" x14ac:dyDescent="0.3">
      <c r="V110" s="92"/>
      <c r="W110">
        <v>69</v>
      </c>
      <c r="Y110" s="66"/>
      <c r="Z110" s="66"/>
      <c r="AA110" s="66"/>
      <c r="AB110" s="66">
        <f>($Z$106+4*$Y$106)*AA97</f>
        <v>45708.575289967906</v>
      </c>
    </row>
    <row r="111" spans="12:30" x14ac:dyDescent="0.3">
      <c r="V111" s="92"/>
      <c r="W111">
        <v>70</v>
      </c>
      <c r="Y111" s="66"/>
      <c r="Z111" s="66"/>
      <c r="AA111" s="66"/>
      <c r="AB111" s="66">
        <f>($Z$106+5*$Y$106)*AA98</f>
        <v>50966.649485056783</v>
      </c>
    </row>
    <row r="112" spans="12:30" x14ac:dyDescent="0.3">
      <c r="V112" s="92"/>
      <c r="W112">
        <v>71</v>
      </c>
      <c r="Y112" s="66"/>
      <c r="Z112" s="66"/>
      <c r="AA112" s="66"/>
      <c r="AB112" s="66">
        <f>($Z$106+6*$Y$106)*AA99</f>
        <v>56794.903439097056</v>
      </c>
    </row>
    <row r="113" spans="22:28" x14ac:dyDescent="0.3">
      <c r="V113" s="92"/>
      <c r="W113">
        <v>72</v>
      </c>
      <c r="Y113" s="66"/>
      <c r="Z113" s="66"/>
      <c r="AA113" s="66"/>
      <c r="AB113" s="66">
        <f>($Z$106+7*$Y$106)*AA100</f>
        <v>64328.550607287536</v>
      </c>
    </row>
    <row r="114" spans="22:28" x14ac:dyDescent="0.3">
      <c r="V114" s="92"/>
      <c r="W114">
        <v>73</v>
      </c>
      <c r="Y114" s="66"/>
      <c r="Z114" s="66"/>
      <c r="AA114" s="66"/>
      <c r="AB114" s="66">
        <f>($Z$106+8*$Y$106)*AA101</f>
        <v>66672.74587665814</v>
      </c>
    </row>
    <row r="115" spans="22:28" x14ac:dyDescent="0.3">
      <c r="V115" s="92"/>
      <c r="W115">
        <v>74</v>
      </c>
      <c r="Y115" s="66"/>
      <c r="Z115" s="66"/>
      <c r="AA115" s="66"/>
      <c r="AB115" s="66">
        <f>($Z$106+9*$Y$106)*AA102</f>
        <v>57664.24440986674</v>
      </c>
    </row>
    <row r="116" spans="22:28" x14ac:dyDescent="0.3">
      <c r="V116" s="92"/>
      <c r="W116">
        <v>75</v>
      </c>
      <c r="Y116" s="66"/>
      <c r="Z116" s="66"/>
      <c r="AA116" s="66"/>
      <c r="AB116" s="66">
        <f>($Z$106+10*$Y$106)*AA103</f>
        <v>57106.874331382256</v>
      </c>
    </row>
    <row r="117" spans="22:28" x14ac:dyDescent="0.3">
      <c r="V117" s="92"/>
      <c r="W117">
        <v>76</v>
      </c>
      <c r="Y117" s="66"/>
      <c r="Z117" s="66"/>
      <c r="AA117" s="66"/>
      <c r="AB117" s="66">
        <f>($Z$106+11*$Y$106)*AA104</f>
        <v>50778.757690186605</v>
      </c>
    </row>
    <row r="118" spans="22:28" x14ac:dyDescent="0.3">
      <c r="V118" s="92"/>
      <c r="W118">
        <v>77</v>
      </c>
      <c r="Y118" s="66"/>
      <c r="Z118" s="66"/>
      <c r="AA118" s="66"/>
      <c r="AB118" s="66">
        <f>($Z$106+12*$Y$106)*AA105</f>
        <v>45655.975555598226</v>
      </c>
    </row>
    <row r="119" spans="22:28" x14ac:dyDescent="0.3">
      <c r="V119" s="92"/>
      <c r="W119" s="65">
        <v>78</v>
      </c>
      <c r="Y119" s="66"/>
      <c r="Z119" s="66"/>
      <c r="AA119" s="66"/>
      <c r="AB119" s="66">
        <f>($Z$106+13*$Y$106)*AA106</f>
        <v>43886.580167167158</v>
      </c>
    </row>
    <row r="120" spans="22:28" x14ac:dyDescent="0.3">
      <c r="Y120" s="66"/>
      <c r="Z120" s="66"/>
      <c r="AA120" s="66"/>
      <c r="AB120" s="66"/>
    </row>
    <row r="121" spans="22:28" x14ac:dyDescent="0.3">
      <c r="Y121" s="66"/>
      <c r="Z121" s="66"/>
      <c r="AA121" s="66"/>
      <c r="AB121" s="66"/>
    </row>
  </sheetData>
  <mergeCells count="6">
    <mergeCell ref="K3:K28"/>
    <mergeCell ref="S20:U20"/>
    <mergeCell ref="W1:AE1"/>
    <mergeCell ref="L1:T1"/>
    <mergeCell ref="V107:V119"/>
    <mergeCell ref="V3:V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0342-19C1-4898-8100-2E7AA98D12B7}">
  <dimension ref="A1:M105"/>
  <sheetViews>
    <sheetView workbookViewId="0">
      <selection activeCell="K17" sqref="K17"/>
    </sheetView>
  </sheetViews>
  <sheetFormatPr defaultRowHeight="14.4" x14ac:dyDescent="0.3"/>
  <cols>
    <col min="3" max="3" width="12.77734375" bestFit="1" customWidth="1"/>
    <col min="8" max="8" width="12.21875" bestFit="1" customWidth="1"/>
    <col min="11" max="11" width="14.33203125" customWidth="1"/>
  </cols>
  <sheetData>
    <row r="1" spans="1:13" x14ac:dyDescent="0.3">
      <c r="A1" t="s">
        <v>38</v>
      </c>
      <c r="B1" t="s">
        <v>0</v>
      </c>
      <c r="C1" t="s">
        <v>66</v>
      </c>
      <c r="D1" t="s">
        <v>67</v>
      </c>
      <c r="F1" t="s">
        <v>68</v>
      </c>
      <c r="H1" t="s">
        <v>69</v>
      </c>
      <c r="I1" t="s">
        <v>51</v>
      </c>
      <c r="K1" t="s">
        <v>176</v>
      </c>
      <c r="M1" t="s">
        <v>48</v>
      </c>
    </row>
    <row r="2" spans="1:13" x14ac:dyDescent="0.3">
      <c r="A2" t="s">
        <v>70</v>
      </c>
      <c r="B2">
        <v>37500</v>
      </c>
      <c r="C2">
        <f>B2/I$2</f>
        <v>49235.966735966736</v>
      </c>
      <c r="D2">
        <f>AVERAGE(B2:B92)</f>
        <v>52049.45054945055</v>
      </c>
      <c r="F2">
        <f>B2/$D$2</f>
        <v>0.72046870051725953</v>
      </c>
      <c r="H2">
        <v>1</v>
      </c>
      <c r="I2">
        <f>AVERAGE($F2,$F15,$F28,$F41,$F54,$F67,$F80)</f>
        <v>0.76163834054681723</v>
      </c>
      <c r="K2">
        <f>I2*$D$2</f>
        <v>39642.857142857138</v>
      </c>
      <c r="M2">
        <f>ABS(K2-B93)</f>
        <v>1357.1428571428623</v>
      </c>
    </row>
    <row r="3" spans="1:13" x14ac:dyDescent="0.3">
      <c r="A3" t="s">
        <v>71</v>
      </c>
      <c r="B3">
        <v>38500</v>
      </c>
      <c r="C3">
        <f t="shared" ref="C3:C14" si="0">B3/I3</f>
        <v>48705.996260683765</v>
      </c>
      <c r="F3">
        <f t="shared" ref="F3:F66" si="1">B3/$D$2</f>
        <v>0.7396811991977198</v>
      </c>
      <c r="H3">
        <v>2</v>
      </c>
      <c r="I3">
        <f t="shared" ref="I3:I14" si="2">AVERAGE($F3,$F16,$F29,$F42,$F55,$F68,$F81)</f>
        <v>0.79045708856750763</v>
      </c>
      <c r="K3">
        <f t="shared" ref="K3:K14" si="3">I3*$D$2</f>
        <v>41142.857142857145</v>
      </c>
      <c r="M3">
        <f t="shared" ref="M3:M14" si="4">ABS(K3-B94)</f>
        <v>757.14285714285506</v>
      </c>
    </row>
    <row r="4" spans="1:13" x14ac:dyDescent="0.3">
      <c r="A4" t="s">
        <v>72</v>
      </c>
      <c r="B4">
        <v>41500</v>
      </c>
      <c r="C4">
        <f t="shared" si="0"/>
        <v>49656.372363268914</v>
      </c>
      <c r="F4">
        <f t="shared" si="1"/>
        <v>0.79731869523910059</v>
      </c>
      <c r="H4">
        <v>3</v>
      </c>
      <c r="I4">
        <f t="shared" si="2"/>
        <v>0.83574369260002113</v>
      </c>
      <c r="K4">
        <f t="shared" si="3"/>
        <v>43500</v>
      </c>
      <c r="M4">
        <f t="shared" si="4"/>
        <v>800</v>
      </c>
    </row>
    <row r="5" spans="1:13" x14ac:dyDescent="0.3">
      <c r="A5" t="s">
        <v>73</v>
      </c>
      <c r="B5">
        <v>44000</v>
      </c>
      <c r="C5">
        <f t="shared" si="0"/>
        <v>49326.863905325459</v>
      </c>
      <c r="F5">
        <f t="shared" si="1"/>
        <v>0.84534994194025126</v>
      </c>
      <c r="H5">
        <v>4</v>
      </c>
      <c r="I5">
        <f t="shared" si="2"/>
        <v>0.89200886730708306</v>
      </c>
      <c r="K5">
        <f t="shared" si="3"/>
        <v>46428.57142857142</v>
      </c>
      <c r="M5">
        <f t="shared" si="4"/>
        <v>171.42857142857974</v>
      </c>
    </row>
    <row r="6" spans="1:13" x14ac:dyDescent="0.3">
      <c r="A6" t="s">
        <v>74</v>
      </c>
      <c r="B6">
        <v>49000</v>
      </c>
      <c r="C6">
        <f t="shared" si="0"/>
        <v>49591.559829059835</v>
      </c>
      <c r="F6">
        <f t="shared" si="1"/>
        <v>0.94141243534255248</v>
      </c>
      <c r="H6">
        <v>5</v>
      </c>
      <c r="I6">
        <f t="shared" si="2"/>
        <v>0.98807136070938451</v>
      </c>
      <c r="K6">
        <f t="shared" si="3"/>
        <v>51428.571428571428</v>
      </c>
      <c r="M6">
        <f t="shared" si="4"/>
        <v>1171.4285714285725</v>
      </c>
    </row>
    <row r="7" spans="1:13" x14ac:dyDescent="0.3">
      <c r="A7" t="s">
        <v>75</v>
      </c>
      <c r="B7">
        <v>54500</v>
      </c>
      <c r="C7">
        <f t="shared" si="0"/>
        <v>49272.618820385564</v>
      </c>
      <c r="F7">
        <f t="shared" si="1"/>
        <v>1.0470811780850839</v>
      </c>
      <c r="H7">
        <v>6</v>
      </c>
      <c r="I7">
        <f t="shared" si="2"/>
        <v>1.1060909954607834</v>
      </c>
      <c r="K7">
        <f t="shared" si="3"/>
        <v>57571.42857142858</v>
      </c>
      <c r="M7">
        <f t="shared" si="4"/>
        <v>1428.5714285714203</v>
      </c>
    </row>
    <row r="8" spans="1:13" x14ac:dyDescent="0.3">
      <c r="A8" t="s">
        <v>76</v>
      </c>
      <c r="B8">
        <v>63000</v>
      </c>
      <c r="C8">
        <f t="shared" si="0"/>
        <v>50117.484044339937</v>
      </c>
      <c r="F8">
        <f t="shared" si="1"/>
        <v>1.2103874168689961</v>
      </c>
      <c r="H8">
        <v>7</v>
      </c>
      <c r="I8">
        <f t="shared" si="2"/>
        <v>1.2570463422358282</v>
      </c>
      <c r="K8">
        <f t="shared" si="3"/>
        <v>65428.571428571435</v>
      </c>
      <c r="M8">
        <f t="shared" si="4"/>
        <v>2071.4285714285652</v>
      </c>
    </row>
    <row r="9" spans="1:13" x14ac:dyDescent="0.3">
      <c r="A9" t="s">
        <v>77</v>
      </c>
      <c r="B9">
        <v>66500</v>
      </c>
      <c r="C9">
        <f t="shared" si="0"/>
        <v>50529.75856260529</v>
      </c>
      <c r="F9">
        <f t="shared" si="1"/>
        <v>1.2776311622506069</v>
      </c>
      <c r="H9">
        <v>8</v>
      </c>
      <c r="I9">
        <f t="shared" si="2"/>
        <v>1.3160561596115272</v>
      </c>
      <c r="K9">
        <f t="shared" si="3"/>
        <v>68499.999999999985</v>
      </c>
      <c r="M9">
        <f t="shared" si="4"/>
        <v>399.99999999998545</v>
      </c>
    </row>
    <row r="10" spans="1:13" x14ac:dyDescent="0.3">
      <c r="A10" t="s">
        <v>78</v>
      </c>
      <c r="B10">
        <v>57500</v>
      </c>
      <c r="C10">
        <f t="shared" si="0"/>
        <v>50481.696014828551</v>
      </c>
      <c r="F10">
        <f t="shared" si="1"/>
        <v>1.1047186741264647</v>
      </c>
      <c r="H10">
        <v>9</v>
      </c>
      <c r="I10">
        <f t="shared" si="2"/>
        <v>1.1390267074844294</v>
      </c>
      <c r="K10">
        <f t="shared" si="3"/>
        <v>59285.714285714283</v>
      </c>
      <c r="M10">
        <f t="shared" si="4"/>
        <v>285.7142857142826</v>
      </c>
    </row>
    <row r="11" spans="1:13" x14ac:dyDescent="0.3">
      <c r="A11" t="s">
        <v>79</v>
      </c>
      <c r="B11">
        <v>56500</v>
      </c>
      <c r="C11">
        <f t="shared" si="0"/>
        <v>50147.521783940785</v>
      </c>
      <c r="F11">
        <f t="shared" si="1"/>
        <v>1.0855061754460045</v>
      </c>
      <c r="H11">
        <v>10</v>
      </c>
      <c r="I11">
        <f t="shared" si="2"/>
        <v>1.1266758154755621</v>
      </c>
      <c r="K11">
        <f t="shared" si="3"/>
        <v>58642.857142857138</v>
      </c>
      <c r="M11">
        <f t="shared" si="4"/>
        <v>257.14285714286234</v>
      </c>
    </row>
    <row r="12" spans="1:13" x14ac:dyDescent="0.3">
      <c r="A12" t="s">
        <v>80</v>
      </c>
      <c r="B12">
        <v>49500</v>
      </c>
      <c r="C12">
        <f t="shared" si="0"/>
        <v>49142.056172710123</v>
      </c>
      <c r="F12">
        <f t="shared" si="1"/>
        <v>0.95101868468278261</v>
      </c>
      <c r="H12">
        <v>11</v>
      </c>
      <c r="I12">
        <f t="shared" si="2"/>
        <v>1.0072838593898448</v>
      </c>
      <c r="K12">
        <f t="shared" si="3"/>
        <v>52428.571428571428</v>
      </c>
      <c r="M12">
        <f t="shared" si="4"/>
        <v>228.57142857142753</v>
      </c>
    </row>
    <row r="13" spans="1:13" x14ac:dyDescent="0.3">
      <c r="A13" t="s">
        <v>81</v>
      </c>
      <c r="B13">
        <v>45000</v>
      </c>
      <c r="C13">
        <f t="shared" si="0"/>
        <v>49683.566433566441</v>
      </c>
      <c r="F13">
        <f t="shared" si="1"/>
        <v>0.86456244062071153</v>
      </c>
      <c r="H13">
        <v>12</v>
      </c>
      <c r="I13">
        <f t="shared" si="2"/>
        <v>0.90573208065026911</v>
      </c>
      <c r="K13">
        <f t="shared" si="3"/>
        <v>47142.857142857138</v>
      </c>
      <c r="M13">
        <f t="shared" si="4"/>
        <v>557.14285714286234</v>
      </c>
    </row>
    <row r="14" spans="1:13" x14ac:dyDescent="0.3">
      <c r="A14" t="s">
        <v>82</v>
      </c>
      <c r="B14">
        <v>43500</v>
      </c>
      <c r="C14">
        <f t="shared" si="0"/>
        <v>49761.562613210961</v>
      </c>
      <c r="F14">
        <f t="shared" si="1"/>
        <v>0.83574369260002113</v>
      </c>
      <c r="H14">
        <v>13</v>
      </c>
      <c r="I14">
        <f t="shared" si="2"/>
        <v>0.87416868996094166</v>
      </c>
      <c r="K14">
        <f t="shared" si="3"/>
        <v>45500</v>
      </c>
      <c r="M14">
        <f t="shared" si="4"/>
        <v>200</v>
      </c>
    </row>
    <row r="15" spans="1:13" x14ac:dyDescent="0.3">
      <c r="A15" t="s">
        <v>83</v>
      </c>
      <c r="B15">
        <v>37500</v>
      </c>
      <c r="F15">
        <f t="shared" si="1"/>
        <v>0.72046870051725953</v>
      </c>
      <c r="H15" t="s">
        <v>85</v>
      </c>
      <c r="I15">
        <f>SUM(I2:I14)</f>
        <v>12.999999999999996</v>
      </c>
      <c r="L15" s="80" t="s">
        <v>177</v>
      </c>
      <c r="M15" s="69">
        <f>AVERAGE(M2:M14)</f>
        <v>745.05494505494426</v>
      </c>
    </row>
    <row r="16" spans="1:13" x14ac:dyDescent="0.3">
      <c r="A16" t="s">
        <v>84</v>
      </c>
      <c r="B16">
        <v>39000</v>
      </c>
      <c r="F16">
        <f t="shared" si="1"/>
        <v>0.74928744853794993</v>
      </c>
    </row>
    <row r="17" spans="1:6" x14ac:dyDescent="0.3">
      <c r="A17" t="s">
        <v>87</v>
      </c>
      <c r="B17">
        <v>42000</v>
      </c>
      <c r="F17">
        <f t="shared" si="1"/>
        <v>0.80692494457933073</v>
      </c>
    </row>
    <row r="18" spans="1:6" x14ac:dyDescent="0.3">
      <c r="A18" t="s">
        <v>88</v>
      </c>
      <c r="B18">
        <v>45000</v>
      </c>
      <c r="F18">
        <f t="shared" si="1"/>
        <v>0.86456244062071153</v>
      </c>
    </row>
    <row r="19" spans="1:6" x14ac:dyDescent="0.3">
      <c r="A19" t="s">
        <v>89</v>
      </c>
      <c r="B19">
        <v>49000</v>
      </c>
      <c r="F19">
        <f t="shared" si="1"/>
        <v>0.94141243534255248</v>
      </c>
    </row>
    <row r="20" spans="1:6" x14ac:dyDescent="0.3">
      <c r="A20" t="s">
        <v>90</v>
      </c>
      <c r="B20">
        <v>56000</v>
      </c>
      <c r="F20">
        <f t="shared" si="1"/>
        <v>1.0758999261057742</v>
      </c>
    </row>
    <row r="21" spans="1:6" x14ac:dyDescent="0.3">
      <c r="A21" t="s">
        <v>91</v>
      </c>
      <c r="B21">
        <v>63000</v>
      </c>
      <c r="F21">
        <f t="shared" si="1"/>
        <v>1.2103874168689961</v>
      </c>
    </row>
    <row r="22" spans="1:6" x14ac:dyDescent="0.3">
      <c r="A22" t="s">
        <v>92</v>
      </c>
      <c r="B22">
        <v>67000</v>
      </c>
      <c r="F22">
        <f t="shared" si="1"/>
        <v>1.2872374115908372</v>
      </c>
    </row>
    <row r="23" spans="1:6" x14ac:dyDescent="0.3">
      <c r="A23" t="s">
        <v>93</v>
      </c>
      <c r="B23">
        <v>57500</v>
      </c>
      <c r="F23">
        <f t="shared" si="1"/>
        <v>1.1047186741264647</v>
      </c>
    </row>
    <row r="24" spans="1:6" x14ac:dyDescent="0.3">
      <c r="A24" t="s">
        <v>94</v>
      </c>
      <c r="B24">
        <v>57000</v>
      </c>
      <c r="F24">
        <f t="shared" si="1"/>
        <v>1.0951124247862345</v>
      </c>
    </row>
    <row r="25" spans="1:6" x14ac:dyDescent="0.3">
      <c r="A25" t="s">
        <v>95</v>
      </c>
      <c r="B25">
        <v>51000</v>
      </c>
      <c r="F25">
        <f t="shared" si="1"/>
        <v>0.97983743270347301</v>
      </c>
    </row>
    <row r="26" spans="1:6" x14ac:dyDescent="0.3">
      <c r="A26" t="s">
        <v>96</v>
      </c>
      <c r="B26">
        <v>45500</v>
      </c>
      <c r="F26">
        <f t="shared" si="1"/>
        <v>0.87416868996094166</v>
      </c>
    </row>
    <row r="27" spans="1:6" x14ac:dyDescent="0.3">
      <c r="A27" t="s">
        <v>97</v>
      </c>
      <c r="B27">
        <v>44000</v>
      </c>
      <c r="F27">
        <f t="shared" si="1"/>
        <v>0.84534994194025126</v>
      </c>
    </row>
    <row r="28" spans="1:6" x14ac:dyDescent="0.3">
      <c r="A28" t="s">
        <v>98</v>
      </c>
      <c r="B28">
        <v>39000</v>
      </c>
      <c r="F28">
        <f t="shared" si="1"/>
        <v>0.74928744853794993</v>
      </c>
    </row>
    <row r="29" spans="1:6" x14ac:dyDescent="0.3">
      <c r="A29" t="s">
        <v>99</v>
      </c>
      <c r="B29">
        <v>40500</v>
      </c>
      <c r="F29">
        <f t="shared" si="1"/>
        <v>0.77810619655864033</v>
      </c>
    </row>
    <row r="30" spans="1:6" x14ac:dyDescent="0.3">
      <c r="A30" t="s">
        <v>100</v>
      </c>
      <c r="B30">
        <v>43000</v>
      </c>
      <c r="F30">
        <f t="shared" si="1"/>
        <v>0.82613744325979099</v>
      </c>
    </row>
    <row r="31" spans="1:6" x14ac:dyDescent="0.3">
      <c r="A31" t="s">
        <v>101</v>
      </c>
      <c r="B31">
        <v>46000</v>
      </c>
      <c r="F31">
        <f t="shared" si="1"/>
        <v>0.88377493930117179</v>
      </c>
    </row>
    <row r="32" spans="1:6" x14ac:dyDescent="0.3">
      <c r="A32" t="s">
        <v>102</v>
      </c>
      <c r="B32">
        <v>51500</v>
      </c>
      <c r="F32">
        <f t="shared" si="1"/>
        <v>0.98944368204370314</v>
      </c>
    </row>
    <row r="33" spans="1:6" x14ac:dyDescent="0.3">
      <c r="A33" t="s">
        <v>103</v>
      </c>
      <c r="B33">
        <v>57500</v>
      </c>
      <c r="F33">
        <f t="shared" si="1"/>
        <v>1.1047186741264647</v>
      </c>
    </row>
    <row r="34" spans="1:6" x14ac:dyDescent="0.3">
      <c r="A34" t="s">
        <v>104</v>
      </c>
      <c r="B34">
        <v>65000</v>
      </c>
      <c r="F34">
        <f t="shared" si="1"/>
        <v>1.2488124142299166</v>
      </c>
    </row>
    <row r="35" spans="1:6" x14ac:dyDescent="0.3">
      <c r="A35" t="s">
        <v>105</v>
      </c>
      <c r="B35">
        <v>68500</v>
      </c>
      <c r="F35">
        <f t="shared" si="1"/>
        <v>1.3160561596115274</v>
      </c>
    </row>
    <row r="36" spans="1:6" x14ac:dyDescent="0.3">
      <c r="A36" t="s">
        <v>106</v>
      </c>
      <c r="B36">
        <v>59000</v>
      </c>
      <c r="F36">
        <f t="shared" si="1"/>
        <v>1.133537422147155</v>
      </c>
    </row>
    <row r="37" spans="1:6" x14ac:dyDescent="0.3">
      <c r="A37" t="s">
        <v>107</v>
      </c>
      <c r="B37">
        <v>58500</v>
      </c>
      <c r="F37">
        <f t="shared" si="1"/>
        <v>1.123931172806925</v>
      </c>
    </row>
    <row r="38" spans="1:6" x14ac:dyDescent="0.3">
      <c r="A38" t="s">
        <v>108</v>
      </c>
      <c r="B38">
        <v>51500</v>
      </c>
      <c r="F38">
        <f t="shared" si="1"/>
        <v>0.98944368204370314</v>
      </c>
    </row>
    <row r="39" spans="1:6" x14ac:dyDescent="0.3">
      <c r="A39" t="s">
        <v>109</v>
      </c>
      <c r="B39">
        <v>46500</v>
      </c>
      <c r="F39">
        <f t="shared" si="1"/>
        <v>0.89338118864140181</v>
      </c>
    </row>
    <row r="40" spans="1:6" x14ac:dyDescent="0.3">
      <c r="A40" t="s">
        <v>110</v>
      </c>
      <c r="B40">
        <v>45000</v>
      </c>
      <c r="F40">
        <f t="shared" si="1"/>
        <v>0.86456244062071153</v>
      </c>
    </row>
    <row r="41" spans="1:6" x14ac:dyDescent="0.3">
      <c r="A41" t="s">
        <v>111</v>
      </c>
      <c r="B41">
        <v>40500</v>
      </c>
      <c r="F41">
        <f t="shared" si="1"/>
        <v>0.77810619655864033</v>
      </c>
    </row>
    <row r="42" spans="1:6" x14ac:dyDescent="0.3">
      <c r="A42" t="s">
        <v>112</v>
      </c>
      <c r="B42">
        <v>42500</v>
      </c>
      <c r="F42">
        <f t="shared" si="1"/>
        <v>0.81653119391956086</v>
      </c>
    </row>
    <row r="43" spans="1:6" x14ac:dyDescent="0.3">
      <c r="A43" t="s">
        <v>113</v>
      </c>
      <c r="B43">
        <v>44000</v>
      </c>
      <c r="F43">
        <f t="shared" si="1"/>
        <v>0.84534994194025126</v>
      </c>
    </row>
    <row r="44" spans="1:6" x14ac:dyDescent="0.3">
      <c r="A44" t="s">
        <v>114</v>
      </c>
      <c r="B44">
        <v>47500</v>
      </c>
      <c r="F44">
        <f t="shared" si="1"/>
        <v>0.91259368732186208</v>
      </c>
    </row>
    <row r="45" spans="1:6" x14ac:dyDescent="0.3">
      <c r="A45" t="s">
        <v>115</v>
      </c>
      <c r="B45">
        <v>52000</v>
      </c>
      <c r="F45">
        <f t="shared" si="1"/>
        <v>0.99904993138393328</v>
      </c>
    </row>
    <row r="46" spans="1:6" x14ac:dyDescent="0.3">
      <c r="A46" t="s">
        <v>116</v>
      </c>
      <c r="B46">
        <v>58000</v>
      </c>
      <c r="F46">
        <f t="shared" si="1"/>
        <v>1.1143249234666948</v>
      </c>
    </row>
    <row r="47" spans="1:6" x14ac:dyDescent="0.3">
      <c r="A47" t="s">
        <v>117</v>
      </c>
      <c r="B47">
        <v>66000</v>
      </c>
      <c r="F47">
        <f t="shared" si="1"/>
        <v>1.2680249129103769</v>
      </c>
    </row>
    <row r="48" spans="1:6" x14ac:dyDescent="0.3">
      <c r="A48" t="s">
        <v>118</v>
      </c>
      <c r="B48">
        <v>69000</v>
      </c>
      <c r="F48">
        <f t="shared" si="1"/>
        <v>1.3256624089517577</v>
      </c>
    </row>
    <row r="49" spans="1:6" x14ac:dyDescent="0.3">
      <c r="A49" t="s">
        <v>119</v>
      </c>
      <c r="B49">
        <v>60000</v>
      </c>
      <c r="F49">
        <f t="shared" si="1"/>
        <v>1.1527499208276153</v>
      </c>
    </row>
    <row r="50" spans="1:6" x14ac:dyDescent="0.3">
      <c r="A50" t="s">
        <v>120</v>
      </c>
      <c r="B50">
        <v>59500</v>
      </c>
      <c r="F50">
        <f t="shared" si="1"/>
        <v>1.1431436714873853</v>
      </c>
    </row>
    <row r="51" spans="1:6" x14ac:dyDescent="0.3">
      <c r="A51" t="s">
        <v>121</v>
      </c>
      <c r="B51">
        <v>53500</v>
      </c>
      <c r="F51">
        <f t="shared" si="1"/>
        <v>1.0278686794046237</v>
      </c>
    </row>
    <row r="52" spans="1:6" x14ac:dyDescent="0.3">
      <c r="A52" t="s">
        <v>122</v>
      </c>
      <c r="B52">
        <v>48000</v>
      </c>
      <c r="F52">
        <f t="shared" si="1"/>
        <v>0.92219993666209221</v>
      </c>
    </row>
    <row r="53" spans="1:6" x14ac:dyDescent="0.3">
      <c r="A53" t="s">
        <v>123</v>
      </c>
      <c r="B53">
        <v>46000</v>
      </c>
      <c r="F53">
        <f t="shared" si="1"/>
        <v>0.88377493930117179</v>
      </c>
    </row>
    <row r="54" spans="1:6" x14ac:dyDescent="0.3">
      <c r="A54" t="s">
        <v>124</v>
      </c>
      <c r="B54">
        <v>40500</v>
      </c>
      <c r="F54">
        <f t="shared" si="1"/>
        <v>0.77810619655864033</v>
      </c>
    </row>
    <row r="55" spans="1:6" x14ac:dyDescent="0.3">
      <c r="A55" t="s">
        <v>125</v>
      </c>
      <c r="B55">
        <v>42000</v>
      </c>
      <c r="F55">
        <f t="shared" si="1"/>
        <v>0.80692494457933073</v>
      </c>
    </row>
    <row r="56" spans="1:6" x14ac:dyDescent="0.3">
      <c r="A56" t="s">
        <v>126</v>
      </c>
      <c r="B56">
        <v>44500</v>
      </c>
      <c r="F56">
        <f t="shared" si="1"/>
        <v>0.85495619128048139</v>
      </c>
    </row>
    <row r="57" spans="1:6" x14ac:dyDescent="0.3">
      <c r="A57" t="s">
        <v>127</v>
      </c>
      <c r="B57">
        <v>47500</v>
      </c>
      <c r="F57">
        <f t="shared" si="1"/>
        <v>0.91259368732186208</v>
      </c>
    </row>
    <row r="58" spans="1:6" x14ac:dyDescent="0.3">
      <c r="A58" t="s">
        <v>128</v>
      </c>
      <c r="B58">
        <v>52000</v>
      </c>
      <c r="F58">
        <f t="shared" si="1"/>
        <v>0.99904993138393328</v>
      </c>
    </row>
    <row r="59" spans="1:6" x14ac:dyDescent="0.3">
      <c r="A59" t="s">
        <v>129</v>
      </c>
      <c r="B59">
        <v>58500</v>
      </c>
      <c r="F59">
        <f t="shared" si="1"/>
        <v>1.123931172806925</v>
      </c>
    </row>
    <row r="60" spans="1:6" x14ac:dyDescent="0.3">
      <c r="A60" t="s">
        <v>130</v>
      </c>
      <c r="B60">
        <v>66000</v>
      </c>
      <c r="F60">
        <f t="shared" si="1"/>
        <v>1.2680249129103769</v>
      </c>
    </row>
    <row r="61" spans="1:6" x14ac:dyDescent="0.3">
      <c r="A61" t="s">
        <v>131</v>
      </c>
      <c r="B61">
        <v>69500</v>
      </c>
      <c r="F61">
        <f t="shared" si="1"/>
        <v>1.3352686582919877</v>
      </c>
    </row>
    <row r="62" spans="1:6" x14ac:dyDescent="0.3">
      <c r="A62" t="s">
        <v>132</v>
      </c>
      <c r="B62">
        <v>60000</v>
      </c>
      <c r="F62">
        <f t="shared" si="1"/>
        <v>1.1527499208276153</v>
      </c>
    </row>
    <row r="63" spans="1:6" x14ac:dyDescent="0.3">
      <c r="A63" t="s">
        <v>133</v>
      </c>
      <c r="B63">
        <v>59500</v>
      </c>
      <c r="F63">
        <f t="shared" si="1"/>
        <v>1.1431436714873853</v>
      </c>
    </row>
    <row r="64" spans="1:6" x14ac:dyDescent="0.3">
      <c r="A64" t="s">
        <v>134</v>
      </c>
      <c r="B64">
        <v>53500</v>
      </c>
      <c r="F64">
        <f t="shared" si="1"/>
        <v>1.0278686794046237</v>
      </c>
    </row>
    <row r="65" spans="1:6" x14ac:dyDescent="0.3">
      <c r="A65" t="s">
        <v>135</v>
      </c>
      <c r="B65">
        <v>48000</v>
      </c>
      <c r="F65">
        <f t="shared" si="1"/>
        <v>0.92219993666209221</v>
      </c>
    </row>
    <row r="66" spans="1:6" x14ac:dyDescent="0.3">
      <c r="A66" t="s">
        <v>136</v>
      </c>
      <c r="B66">
        <v>46000</v>
      </c>
      <c r="F66">
        <f t="shared" si="1"/>
        <v>0.88377493930117179</v>
      </c>
    </row>
    <row r="67" spans="1:6" x14ac:dyDescent="0.3">
      <c r="A67" t="s">
        <v>137</v>
      </c>
      <c r="B67">
        <v>40000</v>
      </c>
      <c r="F67">
        <f t="shared" ref="F67:F105" si="5">B67/$D$2</f>
        <v>0.7684999472184102</v>
      </c>
    </row>
    <row r="68" spans="1:6" x14ac:dyDescent="0.3">
      <c r="A68" t="s">
        <v>138</v>
      </c>
      <c r="B68">
        <v>42500</v>
      </c>
      <c r="F68">
        <f t="shared" si="5"/>
        <v>0.81653119391956086</v>
      </c>
    </row>
    <row r="69" spans="1:6" x14ac:dyDescent="0.3">
      <c r="A69" t="s">
        <v>139</v>
      </c>
      <c r="B69">
        <v>44000</v>
      </c>
      <c r="F69">
        <f t="shared" si="5"/>
        <v>0.84534994194025126</v>
      </c>
    </row>
    <row r="70" spans="1:6" x14ac:dyDescent="0.3">
      <c r="A70" t="s">
        <v>140</v>
      </c>
      <c r="B70">
        <v>47000</v>
      </c>
      <c r="F70">
        <f t="shared" si="5"/>
        <v>0.90298743798163195</v>
      </c>
    </row>
    <row r="71" spans="1:6" x14ac:dyDescent="0.3">
      <c r="A71" t="s">
        <v>141</v>
      </c>
      <c r="B71">
        <v>52000</v>
      </c>
      <c r="F71">
        <f t="shared" si="5"/>
        <v>0.99904993138393328</v>
      </c>
    </row>
    <row r="72" spans="1:6" x14ac:dyDescent="0.3">
      <c r="A72" t="s">
        <v>142</v>
      </c>
      <c r="B72">
        <v>58500</v>
      </c>
      <c r="F72">
        <f t="shared" si="5"/>
        <v>1.123931172806925</v>
      </c>
    </row>
    <row r="73" spans="1:6" x14ac:dyDescent="0.3">
      <c r="A73" t="s">
        <v>143</v>
      </c>
      <c r="B73">
        <v>66500</v>
      </c>
      <c r="F73">
        <f t="shared" si="5"/>
        <v>1.2776311622506069</v>
      </c>
    </row>
    <row r="74" spans="1:6" x14ac:dyDescent="0.3">
      <c r="A74" t="s">
        <v>144</v>
      </c>
      <c r="B74">
        <v>69000</v>
      </c>
      <c r="F74">
        <f t="shared" si="5"/>
        <v>1.3256624089517577</v>
      </c>
    </row>
    <row r="75" spans="1:6" x14ac:dyDescent="0.3">
      <c r="A75" t="s">
        <v>145</v>
      </c>
      <c r="B75">
        <v>60000</v>
      </c>
      <c r="F75">
        <f t="shared" si="5"/>
        <v>1.1527499208276153</v>
      </c>
    </row>
    <row r="76" spans="1:6" x14ac:dyDescent="0.3">
      <c r="A76" t="s">
        <v>146</v>
      </c>
      <c r="B76">
        <v>59500</v>
      </c>
      <c r="F76">
        <f t="shared" si="5"/>
        <v>1.1431436714873853</v>
      </c>
    </row>
    <row r="77" spans="1:6" x14ac:dyDescent="0.3">
      <c r="A77" t="s">
        <v>147</v>
      </c>
      <c r="B77">
        <v>53000</v>
      </c>
      <c r="F77">
        <f t="shared" si="5"/>
        <v>1.0182624300643934</v>
      </c>
    </row>
    <row r="78" spans="1:6" x14ac:dyDescent="0.3">
      <c r="A78" t="s">
        <v>148</v>
      </c>
      <c r="B78">
        <v>48000</v>
      </c>
      <c r="F78">
        <f t="shared" si="5"/>
        <v>0.92219993666209221</v>
      </c>
    </row>
    <row r="79" spans="1:6" x14ac:dyDescent="0.3">
      <c r="A79" t="s">
        <v>149</v>
      </c>
      <c r="B79">
        <v>46000</v>
      </c>
      <c r="F79">
        <f t="shared" si="5"/>
        <v>0.88377493930117179</v>
      </c>
    </row>
    <row r="80" spans="1:6" x14ac:dyDescent="0.3">
      <c r="A80" t="s">
        <v>150</v>
      </c>
      <c r="B80">
        <v>42500</v>
      </c>
      <c r="F80">
        <f t="shared" si="5"/>
        <v>0.81653119391956086</v>
      </c>
    </row>
    <row r="81" spans="1:6" x14ac:dyDescent="0.3">
      <c r="A81" t="s">
        <v>151</v>
      </c>
      <c r="B81">
        <v>43000</v>
      </c>
      <c r="F81">
        <f t="shared" si="5"/>
        <v>0.82613744325979099</v>
      </c>
    </row>
    <row r="82" spans="1:6" x14ac:dyDescent="0.3">
      <c r="A82" t="s">
        <v>152</v>
      </c>
      <c r="B82">
        <v>45500</v>
      </c>
      <c r="F82">
        <f t="shared" si="5"/>
        <v>0.87416868996094166</v>
      </c>
    </row>
    <row r="83" spans="1:6" x14ac:dyDescent="0.3">
      <c r="A83" t="s">
        <v>153</v>
      </c>
      <c r="B83">
        <v>48000</v>
      </c>
      <c r="F83">
        <f t="shared" si="5"/>
        <v>0.92219993666209221</v>
      </c>
    </row>
    <row r="84" spans="1:6" x14ac:dyDescent="0.3">
      <c r="A84" t="s">
        <v>154</v>
      </c>
      <c r="B84">
        <v>54500</v>
      </c>
      <c r="F84">
        <f t="shared" si="5"/>
        <v>1.0470811780850839</v>
      </c>
    </row>
    <row r="85" spans="1:6" x14ac:dyDescent="0.3">
      <c r="A85" t="s">
        <v>155</v>
      </c>
      <c r="B85">
        <v>60000</v>
      </c>
      <c r="F85">
        <f t="shared" si="5"/>
        <v>1.1527499208276153</v>
      </c>
    </row>
    <row r="86" spans="1:6" x14ac:dyDescent="0.3">
      <c r="A86" t="s">
        <v>156</v>
      </c>
      <c r="B86">
        <v>68500</v>
      </c>
      <c r="F86">
        <f t="shared" si="5"/>
        <v>1.3160561596115274</v>
      </c>
    </row>
    <row r="87" spans="1:6" x14ac:dyDescent="0.3">
      <c r="A87" t="s">
        <v>157</v>
      </c>
      <c r="B87">
        <v>70000</v>
      </c>
      <c r="F87">
        <f t="shared" si="5"/>
        <v>1.344874907632218</v>
      </c>
    </row>
    <row r="88" spans="1:6" x14ac:dyDescent="0.3">
      <c r="A88" t="s">
        <v>158</v>
      </c>
      <c r="B88">
        <v>61000</v>
      </c>
      <c r="F88">
        <f t="shared" si="5"/>
        <v>1.1719624195080756</v>
      </c>
    </row>
    <row r="89" spans="1:6" x14ac:dyDescent="0.3">
      <c r="A89" t="s">
        <v>159</v>
      </c>
      <c r="B89">
        <v>60000</v>
      </c>
      <c r="F89">
        <f t="shared" si="5"/>
        <v>1.1527499208276153</v>
      </c>
    </row>
    <row r="90" spans="1:6" x14ac:dyDescent="0.3">
      <c r="A90" t="s">
        <v>160</v>
      </c>
      <c r="B90">
        <v>55000</v>
      </c>
      <c r="F90">
        <f t="shared" si="5"/>
        <v>1.056687427425314</v>
      </c>
    </row>
    <row r="91" spans="1:6" x14ac:dyDescent="0.3">
      <c r="A91" t="s">
        <v>161</v>
      </c>
      <c r="B91">
        <v>49000</v>
      </c>
      <c r="F91">
        <f t="shared" si="5"/>
        <v>0.94141243534255248</v>
      </c>
    </row>
    <row r="92" spans="1:6" x14ac:dyDescent="0.3">
      <c r="A92" t="s">
        <v>162</v>
      </c>
      <c r="B92">
        <v>48000</v>
      </c>
      <c r="F92">
        <f t="shared" si="5"/>
        <v>0.92219993666209221</v>
      </c>
    </row>
    <row r="93" spans="1:6" x14ac:dyDescent="0.3">
      <c r="A93" t="s">
        <v>163</v>
      </c>
      <c r="B93">
        <v>41000</v>
      </c>
      <c r="F93">
        <f t="shared" si="5"/>
        <v>0.78771244589887046</v>
      </c>
    </row>
    <row r="94" spans="1:6" x14ac:dyDescent="0.3">
      <c r="A94" t="s">
        <v>164</v>
      </c>
      <c r="B94">
        <v>41900</v>
      </c>
      <c r="F94">
        <f t="shared" si="5"/>
        <v>0.80500369471128475</v>
      </c>
    </row>
    <row r="95" spans="1:6" x14ac:dyDescent="0.3">
      <c r="A95" t="s">
        <v>165</v>
      </c>
      <c r="B95">
        <v>44300</v>
      </c>
      <c r="F95">
        <f t="shared" si="5"/>
        <v>0.85111369154438932</v>
      </c>
    </row>
    <row r="96" spans="1:6" x14ac:dyDescent="0.3">
      <c r="A96" t="s">
        <v>166</v>
      </c>
      <c r="B96">
        <v>46600</v>
      </c>
      <c r="F96">
        <f t="shared" si="5"/>
        <v>0.89530243850944791</v>
      </c>
    </row>
    <row r="97" spans="1:6" x14ac:dyDescent="0.3">
      <c r="A97" t="s">
        <v>167</v>
      </c>
      <c r="B97">
        <v>52600</v>
      </c>
      <c r="F97">
        <f t="shared" si="5"/>
        <v>1.0105774305922095</v>
      </c>
    </row>
    <row r="98" spans="1:6" x14ac:dyDescent="0.3">
      <c r="A98" t="s">
        <v>168</v>
      </c>
      <c r="B98">
        <v>59000</v>
      </c>
      <c r="F98">
        <f t="shared" si="5"/>
        <v>1.133537422147155</v>
      </c>
    </row>
    <row r="99" spans="1:6" x14ac:dyDescent="0.3">
      <c r="A99" t="s">
        <v>169</v>
      </c>
      <c r="B99">
        <v>67500</v>
      </c>
      <c r="F99">
        <f t="shared" si="5"/>
        <v>1.2968436609310672</v>
      </c>
    </row>
    <row r="100" spans="1:6" x14ac:dyDescent="0.3">
      <c r="A100" t="s">
        <v>170</v>
      </c>
      <c r="B100">
        <v>68100</v>
      </c>
      <c r="F100">
        <f t="shared" si="5"/>
        <v>1.3083711601393433</v>
      </c>
    </row>
    <row r="101" spans="1:6" x14ac:dyDescent="0.3">
      <c r="A101" t="s">
        <v>171</v>
      </c>
      <c r="B101">
        <v>59000</v>
      </c>
      <c r="F101">
        <f t="shared" si="5"/>
        <v>1.133537422147155</v>
      </c>
    </row>
    <row r="102" spans="1:6" x14ac:dyDescent="0.3">
      <c r="A102" t="s">
        <v>172</v>
      </c>
      <c r="B102">
        <v>58900</v>
      </c>
      <c r="F102">
        <f t="shared" si="5"/>
        <v>1.1316161722791089</v>
      </c>
    </row>
    <row r="103" spans="1:6" x14ac:dyDescent="0.3">
      <c r="A103" t="s">
        <v>173</v>
      </c>
      <c r="B103">
        <v>52200</v>
      </c>
      <c r="F103">
        <f t="shared" si="5"/>
        <v>1.0028924311200254</v>
      </c>
    </row>
    <row r="104" spans="1:6" x14ac:dyDescent="0.3">
      <c r="A104" t="s">
        <v>174</v>
      </c>
      <c r="B104">
        <v>47700</v>
      </c>
      <c r="F104">
        <f t="shared" si="5"/>
        <v>0.91643618705795415</v>
      </c>
    </row>
    <row r="105" spans="1:6" x14ac:dyDescent="0.3">
      <c r="A105" t="s">
        <v>175</v>
      </c>
      <c r="B105">
        <v>45700</v>
      </c>
      <c r="F105">
        <f t="shared" si="5"/>
        <v>0.87801118969703362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B550-A02B-42BF-986C-38D591CA85C8}">
  <dimension ref="A1:M105"/>
  <sheetViews>
    <sheetView topLeftCell="A13" workbookViewId="0">
      <selection activeCell="P13" sqref="P13"/>
    </sheetView>
  </sheetViews>
  <sheetFormatPr defaultRowHeight="14.4" x14ac:dyDescent="0.3"/>
  <cols>
    <col min="8" max="8" width="12.77734375" customWidth="1"/>
    <col min="11" max="11" width="18.77734375" customWidth="1"/>
  </cols>
  <sheetData>
    <row r="1" spans="1:13" x14ac:dyDescent="0.3">
      <c r="A1" t="s">
        <v>38</v>
      </c>
      <c r="B1" t="s">
        <v>0</v>
      </c>
      <c r="C1" t="s">
        <v>66</v>
      </c>
      <c r="D1" t="s">
        <v>67</v>
      </c>
      <c r="F1" t="s">
        <v>68</v>
      </c>
      <c r="H1" t="s">
        <v>69</v>
      </c>
      <c r="I1" t="s">
        <v>51</v>
      </c>
      <c r="K1" t="s">
        <v>176</v>
      </c>
      <c r="M1" t="s">
        <v>48</v>
      </c>
    </row>
    <row r="2" spans="1:13" x14ac:dyDescent="0.3">
      <c r="A2" t="s">
        <v>70</v>
      </c>
      <c r="B2">
        <v>18500</v>
      </c>
      <c r="C2">
        <f>B2/I$2</f>
        <v>24465.613856342337</v>
      </c>
      <c r="D2">
        <f>AVERAGE(B2:B92)</f>
        <v>28527.472527472528</v>
      </c>
      <c r="F2">
        <f>B2/$D$2</f>
        <v>0.64849768875192604</v>
      </c>
      <c r="H2">
        <v>1</v>
      </c>
      <c r="I2">
        <f>AVERAGE($F2,$F15,$F28,$F41,$F54,$F67,$F80)</f>
        <v>0.75616332819722643</v>
      </c>
      <c r="K2">
        <f>I2*$D$2</f>
        <v>21571.428571428569</v>
      </c>
      <c r="M2">
        <f>ABS(K2-B93)</f>
        <v>1828.5714285714312</v>
      </c>
    </row>
    <row r="3" spans="1:13" x14ac:dyDescent="0.3">
      <c r="A3" t="s">
        <v>71</v>
      </c>
      <c r="B3">
        <v>22500</v>
      </c>
      <c r="C3">
        <f t="shared" ref="C3:C14" si="0">B3/I3</f>
        <v>25822.281167108755</v>
      </c>
      <c r="F3">
        <f t="shared" ref="F3:F66" si="1">B3/$D$2</f>
        <v>0.78871340523882894</v>
      </c>
      <c r="H3">
        <v>2</v>
      </c>
      <c r="I3">
        <f t="shared" ref="I3:I14" si="2">AVERAGE($F3,$F16,$F29,$F42,$F55,$F68,$F81)</f>
        <v>0.87134052388289673</v>
      </c>
      <c r="K3">
        <f t="shared" ref="K3:K14" si="3">I3*$D$2</f>
        <v>24857.142857142855</v>
      </c>
      <c r="M3">
        <f t="shared" ref="M3:M14" si="4">ABS(K3-B94)</f>
        <v>842.85714285714494</v>
      </c>
    </row>
    <row r="4" spans="1:13" x14ac:dyDescent="0.3">
      <c r="A4" t="s">
        <v>72</v>
      </c>
      <c r="B4">
        <v>23500</v>
      </c>
      <c r="C4">
        <f t="shared" si="0"/>
        <v>26290.023701788406</v>
      </c>
      <c r="F4">
        <f t="shared" si="1"/>
        <v>0.82376733436055471</v>
      </c>
      <c r="H4">
        <v>3</v>
      </c>
      <c r="I4">
        <f t="shared" si="2"/>
        <v>0.89387519260400616</v>
      </c>
      <c r="K4">
        <f t="shared" si="3"/>
        <v>25500</v>
      </c>
      <c r="M4">
        <f t="shared" si="4"/>
        <v>100</v>
      </c>
    </row>
    <row r="5" spans="1:13" x14ac:dyDescent="0.3">
      <c r="A5" t="s">
        <v>73</v>
      </c>
      <c r="B5">
        <v>24000</v>
      </c>
      <c r="C5">
        <f t="shared" si="0"/>
        <v>26478.538036549093</v>
      </c>
      <c r="F5">
        <f t="shared" si="1"/>
        <v>0.8412942989214176</v>
      </c>
      <c r="H5">
        <v>4</v>
      </c>
      <c r="I5">
        <f t="shared" si="2"/>
        <v>0.90639445300462229</v>
      </c>
      <c r="K5">
        <f t="shared" si="3"/>
        <v>25857.142857142851</v>
      </c>
      <c r="M5">
        <f t="shared" si="4"/>
        <v>142.85714285714857</v>
      </c>
    </row>
    <row r="6" spans="1:13" x14ac:dyDescent="0.3">
      <c r="A6" t="s">
        <v>74</v>
      </c>
      <c r="B6">
        <v>27500</v>
      </c>
      <c r="C6">
        <f t="shared" si="0"/>
        <v>26657.953696788645</v>
      </c>
      <c r="F6">
        <f t="shared" si="1"/>
        <v>0.96398305084745761</v>
      </c>
      <c r="H6">
        <v>5</v>
      </c>
      <c r="I6">
        <f t="shared" si="2"/>
        <v>1.0315870570107859</v>
      </c>
      <c r="K6">
        <f t="shared" si="3"/>
        <v>29428.571428571431</v>
      </c>
      <c r="M6">
        <f t="shared" si="4"/>
        <v>971.42857142856883</v>
      </c>
    </row>
    <row r="7" spans="1:13" x14ac:dyDescent="0.3">
      <c r="A7" t="s">
        <v>75</v>
      </c>
      <c r="B7">
        <v>31000</v>
      </c>
      <c r="C7">
        <f t="shared" si="0"/>
        <v>26511.612584417722</v>
      </c>
      <c r="F7">
        <f t="shared" si="1"/>
        <v>1.0866718027734976</v>
      </c>
      <c r="H7">
        <v>6</v>
      </c>
      <c r="I7">
        <f t="shared" si="2"/>
        <v>1.1692989214175655</v>
      </c>
      <c r="K7">
        <f t="shared" si="3"/>
        <v>33357.142857142862</v>
      </c>
      <c r="M7">
        <f t="shared" si="4"/>
        <v>542.85714285713766</v>
      </c>
    </row>
    <row r="8" spans="1:13" x14ac:dyDescent="0.3">
      <c r="A8" t="s">
        <v>76</v>
      </c>
      <c r="B8">
        <v>36000</v>
      </c>
      <c r="C8">
        <f t="shared" si="0"/>
        <v>26724.621103803252</v>
      </c>
      <c r="F8">
        <f t="shared" si="1"/>
        <v>1.2619414483821263</v>
      </c>
      <c r="H8">
        <v>7</v>
      </c>
      <c r="I8">
        <f t="shared" si="2"/>
        <v>1.3470724191063177</v>
      </c>
      <c r="K8">
        <f t="shared" si="3"/>
        <v>38428.571428571435</v>
      </c>
      <c r="M8">
        <f t="shared" si="4"/>
        <v>228.57142857143481</v>
      </c>
    </row>
    <row r="9" spans="1:13" x14ac:dyDescent="0.3">
      <c r="A9" t="s">
        <v>77</v>
      </c>
      <c r="B9">
        <v>37500</v>
      </c>
      <c r="C9">
        <f t="shared" si="0"/>
        <v>27034.157178561505</v>
      </c>
      <c r="F9">
        <f t="shared" si="1"/>
        <v>1.314522342064715</v>
      </c>
      <c r="H9">
        <v>8</v>
      </c>
      <c r="I9">
        <f t="shared" si="2"/>
        <v>1.38713405238829</v>
      </c>
      <c r="K9">
        <f t="shared" si="3"/>
        <v>39571.42857142858</v>
      </c>
      <c r="M9">
        <f t="shared" si="4"/>
        <v>628.57142857142026</v>
      </c>
    </row>
    <row r="10" spans="1:13" x14ac:dyDescent="0.3">
      <c r="A10" t="s">
        <v>78</v>
      </c>
      <c r="B10">
        <v>30500</v>
      </c>
      <c r="C10">
        <f t="shared" si="0"/>
        <v>26713.225371120108</v>
      </c>
      <c r="F10">
        <f t="shared" si="1"/>
        <v>1.0691448382126347</v>
      </c>
      <c r="H10">
        <v>9</v>
      </c>
      <c r="I10">
        <f t="shared" si="2"/>
        <v>1.1417565485362096</v>
      </c>
      <c r="K10">
        <f t="shared" si="3"/>
        <v>32571.428571428572</v>
      </c>
      <c r="M10">
        <f t="shared" si="4"/>
        <v>1628.5714285714275</v>
      </c>
    </row>
    <row r="11" spans="1:13" x14ac:dyDescent="0.3">
      <c r="A11" t="s">
        <v>79</v>
      </c>
      <c r="B11">
        <v>29500</v>
      </c>
      <c r="C11">
        <f t="shared" si="0"/>
        <v>26837.918345891012</v>
      </c>
      <c r="F11">
        <f t="shared" si="1"/>
        <v>1.0340909090909092</v>
      </c>
      <c r="H11">
        <v>10</v>
      </c>
      <c r="I11">
        <f t="shared" si="2"/>
        <v>1.099191063174114</v>
      </c>
      <c r="K11">
        <f t="shared" si="3"/>
        <v>31357.142857142855</v>
      </c>
      <c r="M11">
        <f t="shared" si="4"/>
        <v>142.85714285714494</v>
      </c>
    </row>
    <row r="12" spans="1:13" x14ac:dyDescent="0.3">
      <c r="A12" t="s">
        <v>80</v>
      </c>
      <c r="B12">
        <v>26500</v>
      </c>
      <c r="C12">
        <f t="shared" si="0"/>
        <v>26592.191727870122</v>
      </c>
      <c r="F12">
        <f t="shared" si="1"/>
        <v>0.92892912172573183</v>
      </c>
      <c r="H12">
        <v>11</v>
      </c>
      <c r="I12">
        <f t="shared" si="2"/>
        <v>0.99653312788906001</v>
      </c>
      <c r="K12">
        <f t="shared" si="3"/>
        <v>28428.571428571428</v>
      </c>
      <c r="M12">
        <f t="shared" si="4"/>
        <v>1571.4285714285725</v>
      </c>
    </row>
    <row r="13" spans="1:13" x14ac:dyDescent="0.3">
      <c r="A13" t="s">
        <v>81</v>
      </c>
      <c r="B13">
        <v>18000</v>
      </c>
      <c r="C13">
        <f t="shared" si="0"/>
        <v>25136.094674556214</v>
      </c>
      <c r="F13">
        <f t="shared" si="1"/>
        <v>0.63097072419106315</v>
      </c>
      <c r="H13">
        <v>12</v>
      </c>
      <c r="I13">
        <f t="shared" si="2"/>
        <v>0.71610169491525422</v>
      </c>
      <c r="K13">
        <f t="shared" si="3"/>
        <v>20428.571428571428</v>
      </c>
      <c r="M13">
        <f t="shared" si="4"/>
        <v>1271.4285714285725</v>
      </c>
    </row>
    <row r="14" spans="1:13" x14ac:dyDescent="0.3">
      <c r="A14" t="s">
        <v>82</v>
      </c>
      <c r="B14">
        <v>17500</v>
      </c>
      <c r="C14">
        <f t="shared" si="0"/>
        <v>25601.577909270218</v>
      </c>
      <c r="F14">
        <f t="shared" si="1"/>
        <v>0.61344375963020026</v>
      </c>
      <c r="H14">
        <v>13</v>
      </c>
      <c r="I14">
        <f t="shared" si="2"/>
        <v>0.68355161787365171</v>
      </c>
      <c r="K14">
        <f t="shared" si="3"/>
        <v>19500</v>
      </c>
      <c r="M14">
        <f t="shared" si="4"/>
        <v>1700</v>
      </c>
    </row>
    <row r="15" spans="1:13" x14ac:dyDescent="0.3">
      <c r="A15" t="s">
        <v>83</v>
      </c>
      <c r="B15">
        <v>20000</v>
      </c>
      <c r="F15">
        <f t="shared" si="1"/>
        <v>0.7010785824345146</v>
      </c>
      <c r="H15" s="79" t="s">
        <v>85</v>
      </c>
      <c r="I15">
        <f>SUM(I2:I14)</f>
        <v>13.000000000000002</v>
      </c>
      <c r="L15" s="69" t="s">
        <v>86</v>
      </c>
      <c r="M15" s="69">
        <f>AVERAGE(M2:M14)</f>
        <v>892.30769230769261</v>
      </c>
    </row>
    <row r="16" spans="1:13" x14ac:dyDescent="0.3">
      <c r="A16" t="s">
        <v>84</v>
      </c>
      <c r="B16">
        <v>23000</v>
      </c>
      <c r="F16">
        <f t="shared" si="1"/>
        <v>0.80624036979969183</v>
      </c>
    </row>
    <row r="17" spans="1:6" x14ac:dyDescent="0.3">
      <c r="A17" t="s">
        <v>87</v>
      </c>
      <c r="B17">
        <v>23500</v>
      </c>
      <c r="F17">
        <f t="shared" si="1"/>
        <v>0.82376733436055471</v>
      </c>
    </row>
    <row r="18" spans="1:6" x14ac:dyDescent="0.3">
      <c r="A18" t="s">
        <v>88</v>
      </c>
      <c r="B18">
        <v>24000</v>
      </c>
      <c r="F18">
        <f t="shared" si="1"/>
        <v>0.8412942989214176</v>
      </c>
    </row>
    <row r="19" spans="1:6" x14ac:dyDescent="0.3">
      <c r="A19" t="s">
        <v>89</v>
      </c>
      <c r="B19">
        <v>27500</v>
      </c>
      <c r="F19">
        <f t="shared" si="1"/>
        <v>0.96398305084745761</v>
      </c>
    </row>
    <row r="20" spans="1:6" x14ac:dyDescent="0.3">
      <c r="A20" t="s">
        <v>90</v>
      </c>
      <c r="B20">
        <v>32000</v>
      </c>
      <c r="F20">
        <f t="shared" si="1"/>
        <v>1.1217257318952234</v>
      </c>
    </row>
    <row r="21" spans="1:6" x14ac:dyDescent="0.3">
      <c r="A21" t="s">
        <v>91</v>
      </c>
      <c r="B21">
        <v>37000</v>
      </c>
      <c r="F21">
        <f t="shared" si="1"/>
        <v>1.2969953775038521</v>
      </c>
    </row>
    <row r="22" spans="1:6" x14ac:dyDescent="0.3">
      <c r="A22" t="s">
        <v>92</v>
      </c>
      <c r="B22">
        <v>38000</v>
      </c>
      <c r="F22">
        <f t="shared" si="1"/>
        <v>1.3320493066255779</v>
      </c>
    </row>
    <row r="23" spans="1:6" x14ac:dyDescent="0.3">
      <c r="A23" t="s">
        <v>93</v>
      </c>
      <c r="B23">
        <v>30000</v>
      </c>
      <c r="F23">
        <f t="shared" si="1"/>
        <v>1.0516178736517718</v>
      </c>
    </row>
    <row r="24" spans="1:6" x14ac:dyDescent="0.3">
      <c r="A24" t="s">
        <v>94</v>
      </c>
      <c r="B24">
        <v>29000</v>
      </c>
      <c r="F24">
        <f t="shared" si="1"/>
        <v>1.0165639445300463</v>
      </c>
    </row>
    <row r="25" spans="1:6" x14ac:dyDescent="0.3">
      <c r="A25" t="s">
        <v>95</v>
      </c>
      <c r="B25">
        <v>26000</v>
      </c>
      <c r="F25">
        <f t="shared" si="1"/>
        <v>0.91140215716486905</v>
      </c>
    </row>
    <row r="26" spans="1:6" x14ac:dyDescent="0.3">
      <c r="A26" t="s">
        <v>96</v>
      </c>
      <c r="B26">
        <v>18000</v>
      </c>
      <c r="F26">
        <f t="shared" si="1"/>
        <v>0.63097072419106315</v>
      </c>
    </row>
    <row r="27" spans="1:6" x14ac:dyDescent="0.3">
      <c r="A27" t="s">
        <v>97</v>
      </c>
      <c r="B27">
        <v>17500</v>
      </c>
      <c r="F27">
        <f t="shared" si="1"/>
        <v>0.61344375963020026</v>
      </c>
    </row>
    <row r="28" spans="1:6" x14ac:dyDescent="0.3">
      <c r="A28" t="s">
        <v>98</v>
      </c>
      <c r="B28">
        <v>20500</v>
      </c>
      <c r="F28">
        <f t="shared" si="1"/>
        <v>0.71860554699537749</v>
      </c>
    </row>
    <row r="29" spans="1:6" x14ac:dyDescent="0.3">
      <c r="A29" t="s">
        <v>99</v>
      </c>
      <c r="B29">
        <v>24500</v>
      </c>
      <c r="F29">
        <f t="shared" si="1"/>
        <v>0.85882126348228038</v>
      </c>
    </row>
    <row r="30" spans="1:6" x14ac:dyDescent="0.3">
      <c r="A30" t="s">
        <v>100</v>
      </c>
      <c r="B30">
        <v>25000</v>
      </c>
      <c r="F30">
        <f t="shared" si="1"/>
        <v>0.87634822804314327</v>
      </c>
    </row>
    <row r="31" spans="1:6" x14ac:dyDescent="0.3">
      <c r="A31" t="s">
        <v>101</v>
      </c>
      <c r="B31">
        <v>25500</v>
      </c>
      <c r="F31">
        <f t="shared" si="1"/>
        <v>0.89387519260400616</v>
      </c>
    </row>
    <row r="32" spans="1:6" x14ac:dyDescent="0.3">
      <c r="A32" t="s">
        <v>102</v>
      </c>
      <c r="B32">
        <v>28500</v>
      </c>
      <c r="F32">
        <f t="shared" si="1"/>
        <v>0.99903697996918339</v>
      </c>
    </row>
    <row r="33" spans="1:6" x14ac:dyDescent="0.3">
      <c r="A33" t="s">
        <v>103</v>
      </c>
      <c r="B33">
        <v>32500</v>
      </c>
      <c r="F33">
        <f t="shared" si="1"/>
        <v>1.1392526964560863</v>
      </c>
    </row>
    <row r="34" spans="1:6" x14ac:dyDescent="0.3">
      <c r="A34" t="s">
        <v>104</v>
      </c>
      <c r="B34">
        <v>38500</v>
      </c>
      <c r="F34">
        <f t="shared" si="1"/>
        <v>1.3495762711864407</v>
      </c>
    </row>
    <row r="35" spans="1:6" x14ac:dyDescent="0.3">
      <c r="A35" t="s">
        <v>105</v>
      </c>
      <c r="B35">
        <v>38500</v>
      </c>
      <c r="F35">
        <f t="shared" si="1"/>
        <v>1.3495762711864407</v>
      </c>
    </row>
    <row r="36" spans="1:6" x14ac:dyDescent="0.3">
      <c r="A36" t="s">
        <v>106</v>
      </c>
      <c r="B36">
        <v>32500</v>
      </c>
      <c r="F36">
        <f t="shared" si="1"/>
        <v>1.1392526964560863</v>
      </c>
    </row>
    <row r="37" spans="1:6" x14ac:dyDescent="0.3">
      <c r="A37" t="s">
        <v>107</v>
      </c>
      <c r="B37">
        <v>30500</v>
      </c>
      <c r="F37">
        <f t="shared" si="1"/>
        <v>1.0691448382126347</v>
      </c>
    </row>
    <row r="38" spans="1:6" x14ac:dyDescent="0.3">
      <c r="A38" t="s">
        <v>108</v>
      </c>
      <c r="B38">
        <v>28500</v>
      </c>
      <c r="F38">
        <f t="shared" si="1"/>
        <v>0.99903697996918339</v>
      </c>
    </row>
    <row r="39" spans="1:6" x14ac:dyDescent="0.3">
      <c r="A39" t="s">
        <v>109</v>
      </c>
      <c r="B39">
        <v>20500</v>
      </c>
      <c r="F39">
        <f t="shared" si="1"/>
        <v>0.71860554699537749</v>
      </c>
    </row>
    <row r="40" spans="1:6" x14ac:dyDescent="0.3">
      <c r="A40" t="s">
        <v>110</v>
      </c>
      <c r="B40">
        <v>18500</v>
      </c>
      <c r="F40">
        <f t="shared" si="1"/>
        <v>0.64849768875192604</v>
      </c>
    </row>
    <row r="41" spans="1:6" x14ac:dyDescent="0.3">
      <c r="A41" t="s">
        <v>111</v>
      </c>
      <c r="B41">
        <v>22500</v>
      </c>
      <c r="F41">
        <f t="shared" si="1"/>
        <v>0.78871340523882894</v>
      </c>
    </row>
    <row r="42" spans="1:6" x14ac:dyDescent="0.3">
      <c r="A42" t="s">
        <v>112</v>
      </c>
      <c r="B42">
        <v>25500</v>
      </c>
      <c r="F42">
        <f t="shared" si="1"/>
        <v>0.89387519260400616</v>
      </c>
    </row>
    <row r="43" spans="1:6" x14ac:dyDescent="0.3">
      <c r="A43" t="s">
        <v>113</v>
      </c>
      <c r="B43">
        <v>26000</v>
      </c>
      <c r="F43">
        <f t="shared" si="1"/>
        <v>0.91140215716486905</v>
      </c>
    </row>
    <row r="44" spans="1:6" x14ac:dyDescent="0.3">
      <c r="A44" t="s">
        <v>114</v>
      </c>
      <c r="B44">
        <v>26500</v>
      </c>
      <c r="F44">
        <f t="shared" si="1"/>
        <v>0.92892912172573183</v>
      </c>
    </row>
    <row r="45" spans="1:6" x14ac:dyDescent="0.3">
      <c r="A45" t="s">
        <v>115</v>
      </c>
      <c r="B45">
        <v>30000</v>
      </c>
      <c r="F45">
        <f t="shared" si="1"/>
        <v>1.0516178736517718</v>
      </c>
    </row>
    <row r="46" spans="1:6" x14ac:dyDescent="0.3">
      <c r="A46" t="s">
        <v>116</v>
      </c>
      <c r="B46">
        <v>34500</v>
      </c>
      <c r="F46">
        <f t="shared" si="1"/>
        <v>1.2093605546995376</v>
      </c>
    </row>
    <row r="47" spans="1:6" x14ac:dyDescent="0.3">
      <c r="A47" t="s">
        <v>117</v>
      </c>
      <c r="B47">
        <v>39000</v>
      </c>
      <c r="F47">
        <f t="shared" si="1"/>
        <v>1.3671032357473036</v>
      </c>
    </row>
    <row r="48" spans="1:6" x14ac:dyDescent="0.3">
      <c r="A48" t="s">
        <v>118</v>
      </c>
      <c r="B48">
        <v>40000</v>
      </c>
      <c r="F48">
        <f t="shared" si="1"/>
        <v>1.4021571648690292</v>
      </c>
    </row>
    <row r="49" spans="1:6" x14ac:dyDescent="0.3">
      <c r="A49" t="s">
        <v>119</v>
      </c>
      <c r="B49">
        <v>33000</v>
      </c>
      <c r="F49">
        <f t="shared" si="1"/>
        <v>1.1567796610169492</v>
      </c>
    </row>
    <row r="50" spans="1:6" x14ac:dyDescent="0.3">
      <c r="A50" t="s">
        <v>120</v>
      </c>
      <c r="B50">
        <v>32500</v>
      </c>
      <c r="F50">
        <f t="shared" si="1"/>
        <v>1.1392526964560863</v>
      </c>
    </row>
    <row r="51" spans="1:6" x14ac:dyDescent="0.3">
      <c r="A51" t="s">
        <v>121</v>
      </c>
      <c r="B51">
        <v>29500</v>
      </c>
      <c r="F51">
        <f t="shared" si="1"/>
        <v>1.0340909090909092</v>
      </c>
    </row>
    <row r="52" spans="1:6" x14ac:dyDescent="0.3">
      <c r="A52" t="s">
        <v>122</v>
      </c>
      <c r="B52">
        <v>21500</v>
      </c>
      <c r="F52">
        <f t="shared" si="1"/>
        <v>0.75365947611710327</v>
      </c>
    </row>
    <row r="53" spans="1:6" x14ac:dyDescent="0.3">
      <c r="A53" t="s">
        <v>123</v>
      </c>
      <c r="B53">
        <v>20000</v>
      </c>
      <c r="F53">
        <f t="shared" si="1"/>
        <v>0.7010785824345146</v>
      </c>
    </row>
    <row r="54" spans="1:6" x14ac:dyDescent="0.3">
      <c r="A54" t="s">
        <v>124</v>
      </c>
      <c r="B54">
        <v>22500</v>
      </c>
      <c r="F54">
        <f t="shared" si="1"/>
        <v>0.78871340523882894</v>
      </c>
    </row>
    <row r="55" spans="1:6" x14ac:dyDescent="0.3">
      <c r="A55" t="s">
        <v>125</v>
      </c>
      <c r="B55">
        <v>25500</v>
      </c>
      <c r="F55">
        <f t="shared" si="1"/>
        <v>0.89387519260400616</v>
      </c>
    </row>
    <row r="56" spans="1:6" x14ac:dyDescent="0.3">
      <c r="A56" t="s">
        <v>126</v>
      </c>
      <c r="B56">
        <v>26500</v>
      </c>
      <c r="F56">
        <f t="shared" si="1"/>
        <v>0.92892912172573183</v>
      </c>
    </row>
    <row r="57" spans="1:6" x14ac:dyDescent="0.3">
      <c r="A57" t="s">
        <v>127</v>
      </c>
      <c r="B57">
        <v>26500</v>
      </c>
      <c r="F57">
        <f t="shared" si="1"/>
        <v>0.92892912172573183</v>
      </c>
    </row>
    <row r="58" spans="1:6" x14ac:dyDescent="0.3">
      <c r="A58" t="s">
        <v>128</v>
      </c>
      <c r="B58">
        <v>30500</v>
      </c>
      <c r="F58">
        <f t="shared" si="1"/>
        <v>1.0691448382126347</v>
      </c>
    </row>
    <row r="59" spans="1:6" x14ac:dyDescent="0.3">
      <c r="A59" t="s">
        <v>129</v>
      </c>
      <c r="B59">
        <v>34500</v>
      </c>
      <c r="F59">
        <f t="shared" si="1"/>
        <v>1.2093605546995376</v>
      </c>
    </row>
    <row r="60" spans="1:6" x14ac:dyDescent="0.3">
      <c r="A60" t="s">
        <v>130</v>
      </c>
      <c r="B60">
        <v>39000</v>
      </c>
      <c r="F60">
        <f t="shared" si="1"/>
        <v>1.3671032357473036</v>
      </c>
    </row>
    <row r="61" spans="1:6" x14ac:dyDescent="0.3">
      <c r="A61" t="s">
        <v>131</v>
      </c>
      <c r="B61">
        <v>40000</v>
      </c>
      <c r="F61">
        <f t="shared" si="1"/>
        <v>1.4021571648690292</v>
      </c>
    </row>
    <row r="62" spans="1:6" x14ac:dyDescent="0.3">
      <c r="A62" t="s">
        <v>132</v>
      </c>
      <c r="B62">
        <v>33000</v>
      </c>
      <c r="F62">
        <f t="shared" si="1"/>
        <v>1.1567796610169492</v>
      </c>
    </row>
    <row r="63" spans="1:6" x14ac:dyDescent="0.3">
      <c r="A63" t="s">
        <v>133</v>
      </c>
      <c r="B63">
        <v>32000</v>
      </c>
      <c r="F63">
        <f t="shared" si="1"/>
        <v>1.1217257318952234</v>
      </c>
    </row>
    <row r="64" spans="1:6" x14ac:dyDescent="0.3">
      <c r="A64" t="s">
        <v>134</v>
      </c>
      <c r="B64">
        <v>29500</v>
      </c>
      <c r="F64">
        <f t="shared" si="1"/>
        <v>1.0340909090909092</v>
      </c>
    </row>
    <row r="65" spans="1:6" x14ac:dyDescent="0.3">
      <c r="A65" t="s">
        <v>135</v>
      </c>
      <c r="B65">
        <v>21000</v>
      </c>
      <c r="F65">
        <f t="shared" si="1"/>
        <v>0.73613251155624038</v>
      </c>
    </row>
    <row r="66" spans="1:6" x14ac:dyDescent="0.3">
      <c r="A66" t="s">
        <v>136</v>
      </c>
      <c r="B66">
        <v>20500</v>
      </c>
      <c r="F66">
        <f t="shared" si="1"/>
        <v>0.71860554699537749</v>
      </c>
    </row>
    <row r="67" spans="1:6" x14ac:dyDescent="0.3">
      <c r="A67" t="s">
        <v>137</v>
      </c>
      <c r="B67">
        <v>22500</v>
      </c>
      <c r="F67">
        <f t="shared" ref="F67:F105" si="5">B67/$D$2</f>
        <v>0.78871340523882894</v>
      </c>
    </row>
    <row r="68" spans="1:6" x14ac:dyDescent="0.3">
      <c r="A68" t="s">
        <v>138</v>
      </c>
      <c r="B68">
        <v>25500</v>
      </c>
      <c r="F68">
        <f t="shared" si="5"/>
        <v>0.89387519260400616</v>
      </c>
    </row>
    <row r="69" spans="1:6" x14ac:dyDescent="0.3">
      <c r="A69" t="s">
        <v>139</v>
      </c>
      <c r="B69">
        <v>26000</v>
      </c>
      <c r="F69">
        <f t="shared" si="5"/>
        <v>0.91140215716486905</v>
      </c>
    </row>
    <row r="70" spans="1:6" x14ac:dyDescent="0.3">
      <c r="A70" t="s">
        <v>140</v>
      </c>
      <c r="B70">
        <v>26500</v>
      </c>
      <c r="F70">
        <f t="shared" si="5"/>
        <v>0.92892912172573183</v>
      </c>
    </row>
    <row r="71" spans="1:6" x14ac:dyDescent="0.3">
      <c r="A71" t="s">
        <v>141</v>
      </c>
      <c r="B71">
        <v>30500</v>
      </c>
      <c r="F71">
        <f t="shared" si="5"/>
        <v>1.0691448382126347</v>
      </c>
    </row>
    <row r="72" spans="1:6" x14ac:dyDescent="0.3">
      <c r="A72" t="s">
        <v>142</v>
      </c>
      <c r="B72">
        <v>34000</v>
      </c>
      <c r="F72">
        <f t="shared" si="5"/>
        <v>1.191833590138675</v>
      </c>
    </row>
    <row r="73" spans="1:6" x14ac:dyDescent="0.3">
      <c r="A73" t="s">
        <v>143</v>
      </c>
      <c r="B73">
        <v>39000</v>
      </c>
      <c r="F73">
        <f t="shared" si="5"/>
        <v>1.3671032357473036</v>
      </c>
    </row>
    <row r="74" spans="1:6" x14ac:dyDescent="0.3">
      <c r="A74" t="s">
        <v>144</v>
      </c>
      <c r="B74">
        <v>40500</v>
      </c>
      <c r="F74">
        <f t="shared" si="5"/>
        <v>1.4196841294298921</v>
      </c>
    </row>
    <row r="75" spans="1:6" x14ac:dyDescent="0.3">
      <c r="A75" t="s">
        <v>145</v>
      </c>
      <c r="B75">
        <v>33500</v>
      </c>
      <c r="F75">
        <f t="shared" si="5"/>
        <v>1.1743066255778121</v>
      </c>
    </row>
    <row r="76" spans="1:6" x14ac:dyDescent="0.3">
      <c r="A76" t="s">
        <v>146</v>
      </c>
      <c r="B76">
        <v>32000</v>
      </c>
      <c r="F76">
        <f t="shared" si="5"/>
        <v>1.1217257318952234</v>
      </c>
    </row>
    <row r="77" spans="1:6" x14ac:dyDescent="0.3">
      <c r="A77" t="s">
        <v>147</v>
      </c>
      <c r="B77">
        <v>29000</v>
      </c>
      <c r="F77">
        <f t="shared" si="5"/>
        <v>1.0165639445300463</v>
      </c>
    </row>
    <row r="78" spans="1:6" x14ac:dyDescent="0.3">
      <c r="A78" t="s">
        <v>148</v>
      </c>
      <c r="B78">
        <v>21500</v>
      </c>
      <c r="F78">
        <f t="shared" si="5"/>
        <v>0.75365947611710327</v>
      </c>
    </row>
    <row r="79" spans="1:6" x14ac:dyDescent="0.3">
      <c r="A79" t="s">
        <v>149</v>
      </c>
      <c r="B79">
        <v>20500</v>
      </c>
      <c r="F79">
        <f t="shared" si="5"/>
        <v>0.71860554699537749</v>
      </c>
    </row>
    <row r="80" spans="1:6" x14ac:dyDescent="0.3">
      <c r="A80" t="s">
        <v>150</v>
      </c>
      <c r="B80">
        <v>24500</v>
      </c>
      <c r="F80">
        <f t="shared" si="5"/>
        <v>0.85882126348228038</v>
      </c>
    </row>
    <row r="81" spans="1:6" x14ac:dyDescent="0.3">
      <c r="A81" t="s">
        <v>151</v>
      </c>
      <c r="B81">
        <v>27500</v>
      </c>
      <c r="F81">
        <f t="shared" si="5"/>
        <v>0.96398305084745761</v>
      </c>
    </row>
    <row r="82" spans="1:6" x14ac:dyDescent="0.3">
      <c r="A82" t="s">
        <v>152</v>
      </c>
      <c r="B82">
        <v>28000</v>
      </c>
      <c r="F82">
        <f t="shared" si="5"/>
        <v>0.9815100154083205</v>
      </c>
    </row>
    <row r="83" spans="1:6" x14ac:dyDescent="0.3">
      <c r="A83" t="s">
        <v>153</v>
      </c>
      <c r="B83">
        <v>28000</v>
      </c>
      <c r="F83">
        <f t="shared" si="5"/>
        <v>0.9815100154083205</v>
      </c>
    </row>
    <row r="84" spans="1:6" x14ac:dyDescent="0.3">
      <c r="A84" t="s">
        <v>154</v>
      </c>
      <c r="B84">
        <v>31500</v>
      </c>
      <c r="F84">
        <f t="shared" si="5"/>
        <v>1.1041987673343605</v>
      </c>
    </row>
    <row r="85" spans="1:6" x14ac:dyDescent="0.3">
      <c r="A85" t="s">
        <v>155</v>
      </c>
      <c r="B85">
        <v>35000</v>
      </c>
      <c r="F85">
        <f t="shared" si="5"/>
        <v>1.2268875192604005</v>
      </c>
    </row>
    <row r="86" spans="1:6" x14ac:dyDescent="0.3">
      <c r="A86" t="s">
        <v>156</v>
      </c>
      <c r="B86">
        <v>40500</v>
      </c>
      <c r="F86">
        <f t="shared" si="5"/>
        <v>1.4196841294298921</v>
      </c>
    </row>
    <row r="87" spans="1:6" x14ac:dyDescent="0.3">
      <c r="A87" t="s">
        <v>157</v>
      </c>
      <c r="B87">
        <v>42500</v>
      </c>
      <c r="F87">
        <f t="shared" si="5"/>
        <v>1.4897919876733436</v>
      </c>
    </row>
    <row r="88" spans="1:6" x14ac:dyDescent="0.3">
      <c r="A88" t="s">
        <v>158</v>
      </c>
      <c r="B88">
        <v>35500</v>
      </c>
      <c r="F88">
        <f t="shared" si="5"/>
        <v>1.2444144838212634</v>
      </c>
    </row>
    <row r="89" spans="1:6" x14ac:dyDescent="0.3">
      <c r="A89" t="s">
        <v>159</v>
      </c>
      <c r="B89">
        <v>34000</v>
      </c>
      <c r="F89">
        <f t="shared" si="5"/>
        <v>1.191833590138675</v>
      </c>
    </row>
    <row r="90" spans="1:6" x14ac:dyDescent="0.3">
      <c r="A90" t="s">
        <v>160</v>
      </c>
      <c r="B90">
        <v>30000</v>
      </c>
      <c r="F90">
        <f t="shared" si="5"/>
        <v>1.0516178736517718</v>
      </c>
    </row>
    <row r="91" spans="1:6" x14ac:dyDescent="0.3">
      <c r="A91" t="s">
        <v>161</v>
      </c>
      <c r="B91">
        <v>22500</v>
      </c>
      <c r="F91">
        <f t="shared" si="5"/>
        <v>0.78871340523882894</v>
      </c>
    </row>
    <row r="92" spans="1:6" x14ac:dyDescent="0.3">
      <c r="A92" t="s">
        <v>162</v>
      </c>
      <c r="B92">
        <v>22000</v>
      </c>
      <c r="F92">
        <f t="shared" si="5"/>
        <v>0.77118644067796605</v>
      </c>
    </row>
    <row r="93" spans="1:6" x14ac:dyDescent="0.3">
      <c r="A93" t="s">
        <v>163</v>
      </c>
      <c r="B93">
        <v>23400</v>
      </c>
      <c r="F93">
        <f t="shared" si="5"/>
        <v>0.82026194144838216</v>
      </c>
    </row>
    <row r="94" spans="1:6" x14ac:dyDescent="0.3">
      <c r="A94" t="s">
        <v>164</v>
      </c>
      <c r="B94">
        <v>25700</v>
      </c>
      <c r="F94">
        <f t="shared" si="5"/>
        <v>0.90088597842835128</v>
      </c>
    </row>
    <row r="95" spans="1:6" x14ac:dyDescent="0.3">
      <c r="A95" t="s">
        <v>165</v>
      </c>
      <c r="B95">
        <v>25400</v>
      </c>
      <c r="F95">
        <f t="shared" si="5"/>
        <v>0.89036979969183361</v>
      </c>
    </row>
    <row r="96" spans="1:6" x14ac:dyDescent="0.3">
      <c r="A96" t="s">
        <v>166</v>
      </c>
      <c r="B96">
        <v>26000</v>
      </c>
      <c r="F96">
        <f t="shared" si="5"/>
        <v>0.91140215716486905</v>
      </c>
    </row>
    <row r="97" spans="1:6" x14ac:dyDescent="0.3">
      <c r="A97" t="s">
        <v>167</v>
      </c>
      <c r="B97">
        <v>30400</v>
      </c>
      <c r="F97">
        <f t="shared" si="5"/>
        <v>1.0656394453004623</v>
      </c>
    </row>
    <row r="98" spans="1:6" x14ac:dyDescent="0.3">
      <c r="A98" t="s">
        <v>168</v>
      </c>
      <c r="B98">
        <v>33900</v>
      </c>
      <c r="F98">
        <f t="shared" si="5"/>
        <v>1.1883281972265023</v>
      </c>
    </row>
    <row r="99" spans="1:6" x14ac:dyDescent="0.3">
      <c r="A99" t="s">
        <v>169</v>
      </c>
      <c r="B99">
        <v>38200</v>
      </c>
      <c r="F99">
        <f t="shared" si="5"/>
        <v>1.339060092449923</v>
      </c>
    </row>
    <row r="100" spans="1:6" x14ac:dyDescent="0.3">
      <c r="A100" t="s">
        <v>170</v>
      </c>
      <c r="B100">
        <v>40200</v>
      </c>
      <c r="F100">
        <f t="shared" si="5"/>
        <v>1.4091679506933743</v>
      </c>
    </row>
    <row r="101" spans="1:6" x14ac:dyDescent="0.3">
      <c r="A101" t="s">
        <v>171</v>
      </c>
      <c r="B101">
        <v>34200</v>
      </c>
      <c r="F101">
        <f t="shared" si="5"/>
        <v>1.1988443759630201</v>
      </c>
    </row>
    <row r="102" spans="1:6" x14ac:dyDescent="0.3">
      <c r="A102" t="s">
        <v>172</v>
      </c>
      <c r="B102">
        <v>31500</v>
      </c>
      <c r="F102">
        <f t="shared" si="5"/>
        <v>1.1041987673343605</v>
      </c>
    </row>
    <row r="103" spans="1:6" x14ac:dyDescent="0.3">
      <c r="A103" t="s">
        <v>173</v>
      </c>
      <c r="B103">
        <v>30000</v>
      </c>
      <c r="F103">
        <f t="shared" si="5"/>
        <v>1.0516178736517718</v>
      </c>
    </row>
    <row r="104" spans="1:6" x14ac:dyDescent="0.3">
      <c r="A104" t="s">
        <v>174</v>
      </c>
      <c r="B104">
        <v>21700</v>
      </c>
      <c r="F104">
        <f t="shared" si="5"/>
        <v>0.76067026194144838</v>
      </c>
    </row>
    <row r="105" spans="1:6" x14ac:dyDescent="0.3">
      <c r="A105" t="s">
        <v>175</v>
      </c>
      <c r="B105">
        <v>21200</v>
      </c>
      <c r="F105">
        <f t="shared" si="5"/>
        <v>0.74314329738058549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5250-A349-43E2-80B6-E387F262BED9}">
  <dimension ref="B2:F17"/>
  <sheetViews>
    <sheetView workbookViewId="0">
      <selection activeCell="I21" sqref="I21"/>
    </sheetView>
  </sheetViews>
  <sheetFormatPr defaultRowHeight="14.4" x14ac:dyDescent="0.3"/>
  <sheetData>
    <row r="2" spans="2:6" x14ac:dyDescent="0.3">
      <c r="C2" s="97" t="s">
        <v>52</v>
      </c>
      <c r="D2" s="97"/>
      <c r="E2" s="96" t="s">
        <v>53</v>
      </c>
      <c r="F2" s="96"/>
    </row>
    <row r="3" spans="2:6" x14ac:dyDescent="0.3">
      <c r="C3" s="72" t="s">
        <v>54</v>
      </c>
      <c r="D3" s="73" t="s">
        <v>55</v>
      </c>
      <c r="E3" s="72" t="s">
        <v>56</v>
      </c>
      <c r="F3" s="74" t="s">
        <v>57</v>
      </c>
    </row>
    <row r="4" spans="2:6" x14ac:dyDescent="0.3">
      <c r="B4" s="98" t="s">
        <v>58</v>
      </c>
      <c r="C4" s="71">
        <v>1828.5714285714312</v>
      </c>
      <c r="D4">
        <v>521.99618612048653</v>
      </c>
      <c r="E4" s="71">
        <v>1357.1428571428623</v>
      </c>
      <c r="F4">
        <v>939.24072789937782</v>
      </c>
    </row>
    <row r="5" spans="2:6" x14ac:dyDescent="0.3">
      <c r="B5" s="98"/>
      <c r="C5" s="71">
        <v>842.85714285714494</v>
      </c>
      <c r="D5">
        <v>1784.7517463309814</v>
      </c>
      <c r="E5" s="71">
        <v>757.14285714285506</v>
      </c>
      <c r="F5">
        <v>1321.6853492276132</v>
      </c>
    </row>
    <row r="6" spans="2:6" x14ac:dyDescent="0.3">
      <c r="B6" s="98"/>
      <c r="C6" s="71">
        <v>100</v>
      </c>
      <c r="D6">
        <v>2231.4731130719265</v>
      </c>
      <c r="E6" s="71">
        <v>800</v>
      </c>
      <c r="F6">
        <v>849.71306593655027</v>
      </c>
    </row>
    <row r="7" spans="2:6" x14ac:dyDescent="0.3">
      <c r="B7" s="98"/>
      <c r="C7" s="71">
        <v>142.85714285714857</v>
      </c>
      <c r="D7">
        <v>1403.6661345085122</v>
      </c>
      <c r="E7" s="71">
        <v>171.42857142857974</v>
      </c>
      <c r="F7">
        <v>1279.1816137722126</v>
      </c>
    </row>
    <row r="8" spans="2:6" x14ac:dyDescent="0.3">
      <c r="B8" s="98"/>
      <c r="C8" s="71">
        <v>971.42857142856883</v>
      </c>
      <c r="D8">
        <v>3.519033824068174</v>
      </c>
      <c r="E8" s="71">
        <v>1171.4285714285725</v>
      </c>
      <c r="F8">
        <v>316.86480812084483</v>
      </c>
    </row>
    <row r="9" spans="2:6" x14ac:dyDescent="0.3">
      <c r="B9" s="98"/>
      <c r="C9" s="71">
        <v>542.85714285713766</v>
      </c>
      <c r="D9">
        <v>232.31646379388258</v>
      </c>
      <c r="E9" s="71">
        <v>1428.5714285714203</v>
      </c>
      <c r="F9">
        <v>216.11413256607921</v>
      </c>
    </row>
    <row r="10" spans="2:6" x14ac:dyDescent="0.3">
      <c r="B10" s="98"/>
      <c r="C10" s="71">
        <v>228.57142857143481</v>
      </c>
      <c r="D10">
        <v>1208.4102586194276</v>
      </c>
      <c r="E10" s="71">
        <v>2071.4285714285652</v>
      </c>
      <c r="F10">
        <v>1006.8877809645637</v>
      </c>
    </row>
    <row r="11" spans="2:6" x14ac:dyDescent="0.3">
      <c r="B11" s="98"/>
      <c r="C11" s="71">
        <v>628.57142857142026</v>
      </c>
      <c r="D11">
        <v>519.0602115364818</v>
      </c>
      <c r="E11" s="71">
        <v>399.99999999998545</v>
      </c>
      <c r="F11">
        <v>1451.1031544844736</v>
      </c>
    </row>
    <row r="12" spans="2:6" x14ac:dyDescent="0.3">
      <c r="B12" s="98"/>
      <c r="C12" s="71">
        <v>1628.5714285714275</v>
      </c>
      <c r="D12">
        <v>1175.9438583580413</v>
      </c>
      <c r="E12" s="71">
        <v>285.7142857142826</v>
      </c>
      <c r="F12">
        <v>802.47861928075145</v>
      </c>
    </row>
    <row r="13" spans="2:6" x14ac:dyDescent="0.3">
      <c r="B13" s="98"/>
      <c r="C13" s="71">
        <v>142.85714285714494</v>
      </c>
      <c r="D13">
        <v>1.0217849994660355E-3</v>
      </c>
      <c r="E13" s="71">
        <v>257.14285714286234</v>
      </c>
      <c r="F13">
        <v>26.061095323675545</v>
      </c>
    </row>
    <row r="14" spans="2:6" x14ac:dyDescent="0.3">
      <c r="B14" s="98"/>
      <c r="C14" s="71">
        <v>1571.4285714285725</v>
      </c>
      <c r="D14">
        <v>1273.2854563229412</v>
      </c>
      <c r="E14" s="71">
        <v>228.57142857142753</v>
      </c>
      <c r="F14">
        <v>125.55451278168766</v>
      </c>
    </row>
    <row r="15" spans="2:6" x14ac:dyDescent="0.3">
      <c r="B15" s="98"/>
      <c r="C15" s="71">
        <v>1271.4285714285725</v>
      </c>
      <c r="D15">
        <v>665.7991333850332</v>
      </c>
      <c r="E15" s="71">
        <v>557.14285714286234</v>
      </c>
      <c r="F15">
        <v>887.82485112160794</v>
      </c>
    </row>
    <row r="16" spans="2:6" x14ac:dyDescent="0.3">
      <c r="B16" s="98"/>
      <c r="C16" s="71">
        <v>1700</v>
      </c>
      <c r="D16">
        <v>1529.5188339585293</v>
      </c>
      <c r="E16" s="71">
        <v>200</v>
      </c>
      <c r="F16">
        <v>488.66516063106974</v>
      </c>
    </row>
    <row r="17" spans="2:6" x14ac:dyDescent="0.3">
      <c r="B17" s="75" t="s">
        <v>59</v>
      </c>
      <c r="C17" s="75">
        <f>AVERAGE(C4:C16)</f>
        <v>892.30769230769261</v>
      </c>
      <c r="D17" s="75">
        <f>AVERAGE(D4:D16)</f>
        <v>965.3647270473316</v>
      </c>
      <c r="E17" s="75">
        <f t="shared" ref="E17:F17" si="0">AVERAGE(E4:E16)</f>
        <v>745.05494505494426</v>
      </c>
      <c r="F17" s="75">
        <f t="shared" si="0"/>
        <v>747.02883631619284</v>
      </c>
    </row>
  </sheetData>
  <mergeCells count="3">
    <mergeCell ref="E2:F2"/>
    <mergeCell ref="C2:D2"/>
    <mergeCell ref="B4:B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FBEB-58E8-4791-9419-CD3D5D66EED9}">
  <dimension ref="A2:I32"/>
  <sheetViews>
    <sheetView topLeftCell="D1" workbookViewId="0">
      <selection activeCell="U20" sqref="U20"/>
    </sheetView>
  </sheetViews>
  <sheetFormatPr defaultRowHeight="14.4" x14ac:dyDescent="0.3"/>
  <sheetData>
    <row r="2" spans="1:9" x14ac:dyDescent="0.3">
      <c r="A2" s="70" t="s">
        <v>52</v>
      </c>
      <c r="B2" s="67">
        <v>2014</v>
      </c>
      <c r="C2" s="67">
        <v>2015</v>
      </c>
      <c r="D2" s="67">
        <v>2016</v>
      </c>
      <c r="E2" s="67">
        <v>2017</v>
      </c>
      <c r="F2" s="67">
        <v>2018</v>
      </c>
      <c r="G2" s="67">
        <v>2019</v>
      </c>
      <c r="H2" s="67">
        <v>2020</v>
      </c>
      <c r="I2" s="67">
        <v>2021</v>
      </c>
    </row>
    <row r="3" spans="1:9" x14ac:dyDescent="0.3">
      <c r="A3" s="68" t="s">
        <v>25</v>
      </c>
      <c r="B3" s="53">
        <v>18500</v>
      </c>
      <c r="C3" s="53">
        <v>20000</v>
      </c>
      <c r="D3" s="53">
        <v>20500</v>
      </c>
      <c r="E3" s="9">
        <v>22500</v>
      </c>
      <c r="F3" s="9">
        <v>22500</v>
      </c>
      <c r="G3" s="9">
        <v>22500</v>
      </c>
      <c r="H3" s="9">
        <v>24500</v>
      </c>
      <c r="I3" s="9">
        <v>23400</v>
      </c>
    </row>
    <row r="4" spans="1:9" x14ac:dyDescent="0.3">
      <c r="A4" s="68" t="s">
        <v>26</v>
      </c>
      <c r="B4" s="53">
        <v>22500</v>
      </c>
      <c r="C4" s="53">
        <v>23000</v>
      </c>
      <c r="D4" s="53">
        <v>24500</v>
      </c>
      <c r="E4" s="9">
        <v>25500</v>
      </c>
      <c r="F4" s="9">
        <v>25500</v>
      </c>
      <c r="G4" s="9">
        <v>25500</v>
      </c>
      <c r="H4" s="9">
        <v>27500</v>
      </c>
      <c r="I4" s="9">
        <v>25700</v>
      </c>
    </row>
    <row r="5" spans="1:9" x14ac:dyDescent="0.3">
      <c r="A5" s="68" t="s">
        <v>27</v>
      </c>
      <c r="B5" s="53">
        <v>23500</v>
      </c>
      <c r="C5" s="53">
        <v>23500</v>
      </c>
      <c r="D5" s="53">
        <v>25000</v>
      </c>
      <c r="E5" s="9">
        <v>26000</v>
      </c>
      <c r="F5" s="9">
        <v>26500</v>
      </c>
      <c r="G5" s="9">
        <v>26000</v>
      </c>
      <c r="H5" s="9">
        <v>28000</v>
      </c>
      <c r="I5" s="9">
        <v>25400</v>
      </c>
    </row>
    <row r="6" spans="1:9" x14ac:dyDescent="0.3">
      <c r="A6" s="68" t="s">
        <v>28</v>
      </c>
      <c r="B6" s="53">
        <v>24000</v>
      </c>
      <c r="C6" s="53">
        <v>24000</v>
      </c>
      <c r="D6" s="53">
        <v>25500</v>
      </c>
      <c r="E6" s="9">
        <v>26500</v>
      </c>
      <c r="F6" s="9">
        <v>26500</v>
      </c>
      <c r="G6" s="9">
        <v>26500</v>
      </c>
      <c r="H6" s="9">
        <v>28000</v>
      </c>
      <c r="I6" s="9">
        <v>26000</v>
      </c>
    </row>
    <row r="7" spans="1:9" x14ac:dyDescent="0.3">
      <c r="A7" s="68" t="s">
        <v>29</v>
      </c>
      <c r="B7" s="53">
        <v>27500</v>
      </c>
      <c r="C7" s="53">
        <v>27500</v>
      </c>
      <c r="D7" s="53">
        <v>28500</v>
      </c>
      <c r="E7" s="9">
        <v>30000</v>
      </c>
      <c r="F7" s="9">
        <v>30500</v>
      </c>
      <c r="G7" s="9">
        <v>30500</v>
      </c>
      <c r="H7" s="9">
        <v>31500</v>
      </c>
      <c r="I7" s="9">
        <v>30400</v>
      </c>
    </row>
    <row r="8" spans="1:9" x14ac:dyDescent="0.3">
      <c r="A8" s="68" t="s">
        <v>30</v>
      </c>
      <c r="B8" s="53">
        <v>31000</v>
      </c>
      <c r="C8" s="53">
        <v>32000</v>
      </c>
      <c r="D8" s="53">
        <v>32500</v>
      </c>
      <c r="E8" s="9">
        <v>34500</v>
      </c>
      <c r="F8" s="9">
        <v>34500</v>
      </c>
      <c r="G8" s="9">
        <v>34000</v>
      </c>
      <c r="H8" s="9">
        <v>35000</v>
      </c>
      <c r="I8" s="9">
        <v>33900</v>
      </c>
    </row>
    <row r="9" spans="1:9" x14ac:dyDescent="0.3">
      <c r="A9" s="68" t="s">
        <v>31</v>
      </c>
      <c r="B9" s="53">
        <v>36000</v>
      </c>
      <c r="C9" s="53">
        <v>37000</v>
      </c>
      <c r="D9" s="53">
        <v>38500</v>
      </c>
      <c r="E9" s="9">
        <v>39000</v>
      </c>
      <c r="F9" s="9">
        <v>39000</v>
      </c>
      <c r="G9" s="9">
        <v>39000</v>
      </c>
      <c r="H9" s="9">
        <v>40500</v>
      </c>
      <c r="I9" s="9">
        <v>38200</v>
      </c>
    </row>
    <row r="10" spans="1:9" x14ac:dyDescent="0.3">
      <c r="A10" s="68" t="s">
        <v>32</v>
      </c>
      <c r="B10" s="53">
        <v>37500</v>
      </c>
      <c r="C10" s="53">
        <v>38000</v>
      </c>
      <c r="D10" s="53">
        <v>38500</v>
      </c>
      <c r="E10" s="9">
        <v>40000</v>
      </c>
      <c r="F10" s="9">
        <v>40000</v>
      </c>
      <c r="G10" s="9">
        <v>40500</v>
      </c>
      <c r="H10" s="9">
        <v>42500</v>
      </c>
      <c r="I10" s="9">
        <v>40200</v>
      </c>
    </row>
    <row r="11" spans="1:9" x14ac:dyDescent="0.3">
      <c r="A11" s="68" t="s">
        <v>33</v>
      </c>
      <c r="B11" s="53">
        <v>30500</v>
      </c>
      <c r="C11" s="53">
        <v>30000</v>
      </c>
      <c r="D11" s="53">
        <v>32500</v>
      </c>
      <c r="E11" s="9">
        <v>33000</v>
      </c>
      <c r="F11" s="9">
        <v>33000</v>
      </c>
      <c r="G11" s="9">
        <v>33500</v>
      </c>
      <c r="H11" s="9">
        <v>35500</v>
      </c>
      <c r="I11" s="9">
        <v>34200</v>
      </c>
    </row>
    <row r="12" spans="1:9" x14ac:dyDescent="0.3">
      <c r="A12" s="68" t="s">
        <v>34</v>
      </c>
      <c r="B12" s="53">
        <v>29500</v>
      </c>
      <c r="C12" s="53">
        <v>29000</v>
      </c>
      <c r="D12" s="53">
        <v>30500</v>
      </c>
      <c r="E12" s="9">
        <v>32500</v>
      </c>
      <c r="F12" s="9">
        <v>32000</v>
      </c>
      <c r="G12" s="9">
        <v>32000</v>
      </c>
      <c r="H12" s="9">
        <v>34000</v>
      </c>
      <c r="I12" s="9">
        <v>31500</v>
      </c>
    </row>
    <row r="13" spans="1:9" x14ac:dyDescent="0.3">
      <c r="A13" s="68" t="s">
        <v>35</v>
      </c>
      <c r="B13" s="53">
        <v>26500</v>
      </c>
      <c r="C13" s="53">
        <v>26000</v>
      </c>
      <c r="D13" s="53">
        <v>28500</v>
      </c>
      <c r="E13" s="9">
        <v>29500</v>
      </c>
      <c r="F13" s="9">
        <v>29500</v>
      </c>
      <c r="G13" s="9">
        <v>29000</v>
      </c>
      <c r="H13" s="9">
        <v>30000</v>
      </c>
      <c r="I13" s="9">
        <v>30000</v>
      </c>
    </row>
    <row r="14" spans="1:9" x14ac:dyDescent="0.3">
      <c r="A14" s="68" t="s">
        <v>36</v>
      </c>
      <c r="B14" s="53">
        <v>18000</v>
      </c>
      <c r="C14" s="53">
        <v>18000</v>
      </c>
      <c r="D14" s="53">
        <v>20500</v>
      </c>
      <c r="E14" s="9">
        <v>21500</v>
      </c>
      <c r="F14" s="9">
        <v>21000</v>
      </c>
      <c r="G14" s="9">
        <v>21500</v>
      </c>
      <c r="H14" s="9">
        <v>22500</v>
      </c>
      <c r="I14" s="9">
        <v>21700</v>
      </c>
    </row>
    <row r="15" spans="1:9" x14ac:dyDescent="0.3">
      <c r="A15" s="68" t="s">
        <v>37</v>
      </c>
      <c r="B15" s="53">
        <v>17500</v>
      </c>
      <c r="C15" s="53">
        <v>17500</v>
      </c>
      <c r="D15" s="53">
        <v>18500</v>
      </c>
      <c r="E15" s="9">
        <v>20000</v>
      </c>
      <c r="F15" s="9">
        <v>20500</v>
      </c>
      <c r="G15" s="9">
        <v>20500</v>
      </c>
      <c r="H15" s="9">
        <v>22000</v>
      </c>
      <c r="I15" s="9">
        <v>21200</v>
      </c>
    </row>
    <row r="16" spans="1:9" x14ac:dyDescent="0.3">
      <c r="A16" s="81" t="s">
        <v>86</v>
      </c>
      <c r="B16">
        <f>AVERAGE(B3:B15)</f>
        <v>26346.153846153848</v>
      </c>
      <c r="C16">
        <f t="shared" ref="C16:I16" si="0">AVERAGE(C3:C15)</f>
        <v>26576.923076923078</v>
      </c>
      <c r="D16">
        <f t="shared" si="0"/>
        <v>28000</v>
      </c>
      <c r="E16">
        <f t="shared" si="0"/>
        <v>29269.23076923077</v>
      </c>
      <c r="F16">
        <f t="shared" si="0"/>
        <v>29307.692307692309</v>
      </c>
      <c r="G16">
        <f t="shared" si="0"/>
        <v>29307.692307692309</v>
      </c>
      <c r="H16">
        <f t="shared" si="0"/>
        <v>30884.615384615383</v>
      </c>
      <c r="I16">
        <f t="shared" si="0"/>
        <v>29369.23076923077</v>
      </c>
    </row>
    <row r="18" spans="1:9" x14ac:dyDescent="0.3">
      <c r="A18" s="70" t="s">
        <v>53</v>
      </c>
      <c r="B18" s="67">
        <v>2014</v>
      </c>
      <c r="C18" s="67">
        <v>2015</v>
      </c>
      <c r="D18" s="67">
        <v>2016</v>
      </c>
      <c r="E18" s="67">
        <v>2017</v>
      </c>
      <c r="F18" s="67">
        <v>2018</v>
      </c>
      <c r="G18" s="67">
        <v>2019</v>
      </c>
      <c r="H18" s="67">
        <v>2020</v>
      </c>
      <c r="I18" s="67">
        <v>2021</v>
      </c>
    </row>
    <row r="19" spans="1:9" x14ac:dyDescent="0.3">
      <c r="A19" s="68" t="s">
        <v>25</v>
      </c>
      <c r="B19" s="53">
        <v>37500</v>
      </c>
      <c r="C19" s="53">
        <v>37500</v>
      </c>
      <c r="D19" s="53">
        <v>39000</v>
      </c>
      <c r="E19" s="9">
        <v>40500</v>
      </c>
      <c r="F19" s="9">
        <v>40500</v>
      </c>
      <c r="G19" s="9">
        <v>40000</v>
      </c>
      <c r="H19" s="9">
        <v>42500</v>
      </c>
      <c r="I19" s="9">
        <v>41000</v>
      </c>
    </row>
    <row r="20" spans="1:9" x14ac:dyDescent="0.3">
      <c r="A20" s="68" t="s">
        <v>26</v>
      </c>
      <c r="B20" s="53">
        <v>38500</v>
      </c>
      <c r="C20" s="53">
        <v>39000</v>
      </c>
      <c r="D20" s="53">
        <v>40500</v>
      </c>
      <c r="E20" s="9">
        <v>42500</v>
      </c>
      <c r="F20" s="9">
        <v>42000</v>
      </c>
      <c r="G20" s="9">
        <v>42500</v>
      </c>
      <c r="H20" s="9">
        <v>43000</v>
      </c>
      <c r="I20" s="9">
        <v>41900</v>
      </c>
    </row>
    <row r="21" spans="1:9" x14ac:dyDescent="0.3">
      <c r="A21" s="68" t="s">
        <v>27</v>
      </c>
      <c r="B21" s="53">
        <v>41500</v>
      </c>
      <c r="C21" s="53">
        <v>42000</v>
      </c>
      <c r="D21" s="53">
        <v>43000</v>
      </c>
      <c r="E21" s="9">
        <v>44000</v>
      </c>
      <c r="F21" s="9">
        <v>44500</v>
      </c>
      <c r="G21" s="9">
        <v>44000</v>
      </c>
      <c r="H21" s="9">
        <v>45500</v>
      </c>
      <c r="I21" s="9">
        <v>44300</v>
      </c>
    </row>
    <row r="22" spans="1:9" x14ac:dyDescent="0.3">
      <c r="A22" s="68" t="s">
        <v>28</v>
      </c>
      <c r="B22" s="53">
        <v>44000</v>
      </c>
      <c r="C22" s="53">
        <v>45000</v>
      </c>
      <c r="D22" s="53">
        <v>46000</v>
      </c>
      <c r="E22" s="9">
        <v>47500</v>
      </c>
      <c r="F22" s="9">
        <v>47500</v>
      </c>
      <c r="G22" s="9">
        <v>47000</v>
      </c>
      <c r="H22" s="9">
        <v>48000</v>
      </c>
      <c r="I22" s="9">
        <v>46600</v>
      </c>
    </row>
    <row r="23" spans="1:9" x14ac:dyDescent="0.3">
      <c r="A23" s="68" t="s">
        <v>29</v>
      </c>
      <c r="B23" s="53">
        <v>49000</v>
      </c>
      <c r="C23" s="53">
        <v>49000</v>
      </c>
      <c r="D23" s="53">
        <v>51500</v>
      </c>
      <c r="E23" s="9">
        <v>52000</v>
      </c>
      <c r="F23" s="9">
        <v>52000</v>
      </c>
      <c r="G23" s="9">
        <v>52000</v>
      </c>
      <c r="H23" s="9">
        <v>54500</v>
      </c>
      <c r="I23" s="9">
        <v>52600</v>
      </c>
    </row>
    <row r="24" spans="1:9" x14ac:dyDescent="0.3">
      <c r="A24" s="68" t="s">
        <v>30</v>
      </c>
      <c r="B24" s="53">
        <v>54500</v>
      </c>
      <c r="C24" s="53">
        <v>56000</v>
      </c>
      <c r="D24" s="53">
        <v>57500</v>
      </c>
      <c r="E24" s="9">
        <v>58000</v>
      </c>
      <c r="F24" s="9">
        <v>58500</v>
      </c>
      <c r="G24" s="9">
        <v>58500</v>
      </c>
      <c r="H24" s="9">
        <v>60000</v>
      </c>
      <c r="I24" s="9">
        <v>59000</v>
      </c>
    </row>
    <row r="25" spans="1:9" x14ac:dyDescent="0.3">
      <c r="A25" s="68" t="s">
        <v>31</v>
      </c>
      <c r="B25" s="53">
        <v>63000</v>
      </c>
      <c r="C25" s="53">
        <v>63000</v>
      </c>
      <c r="D25" s="53">
        <v>65000</v>
      </c>
      <c r="E25" s="9">
        <v>66000</v>
      </c>
      <c r="F25" s="9">
        <v>66000</v>
      </c>
      <c r="G25" s="9">
        <v>66500</v>
      </c>
      <c r="H25" s="9">
        <v>68500</v>
      </c>
      <c r="I25" s="9">
        <v>67500</v>
      </c>
    </row>
    <row r="26" spans="1:9" x14ac:dyDescent="0.3">
      <c r="A26" s="68" t="s">
        <v>32</v>
      </c>
      <c r="B26" s="53">
        <v>66500</v>
      </c>
      <c r="C26" s="53">
        <v>67000</v>
      </c>
      <c r="D26" s="53">
        <v>68500</v>
      </c>
      <c r="E26" s="9">
        <v>69000</v>
      </c>
      <c r="F26" s="9">
        <v>69500</v>
      </c>
      <c r="G26" s="9">
        <v>69000</v>
      </c>
      <c r="H26" s="9">
        <v>70000</v>
      </c>
      <c r="I26" s="9">
        <v>68100</v>
      </c>
    </row>
    <row r="27" spans="1:9" x14ac:dyDescent="0.3">
      <c r="A27" s="68" t="s">
        <v>33</v>
      </c>
      <c r="B27" s="53">
        <v>57500</v>
      </c>
      <c r="C27" s="53">
        <v>57500</v>
      </c>
      <c r="D27" s="53">
        <v>59000</v>
      </c>
      <c r="E27" s="9">
        <v>60000</v>
      </c>
      <c r="F27" s="9">
        <v>60000</v>
      </c>
      <c r="G27" s="9">
        <v>60000</v>
      </c>
      <c r="H27" s="9">
        <v>61000</v>
      </c>
      <c r="I27" s="9">
        <v>59000</v>
      </c>
    </row>
    <row r="28" spans="1:9" x14ac:dyDescent="0.3">
      <c r="A28" s="68" t="s">
        <v>34</v>
      </c>
      <c r="B28" s="53">
        <v>56500</v>
      </c>
      <c r="C28" s="53">
        <v>57000</v>
      </c>
      <c r="D28" s="53">
        <v>58500</v>
      </c>
      <c r="E28" s="9">
        <v>59500</v>
      </c>
      <c r="F28" s="9">
        <v>59500</v>
      </c>
      <c r="G28" s="9">
        <v>59500</v>
      </c>
      <c r="H28" s="9">
        <v>60000</v>
      </c>
      <c r="I28" s="9">
        <v>58900</v>
      </c>
    </row>
    <row r="29" spans="1:9" x14ac:dyDescent="0.3">
      <c r="A29" s="68" t="s">
        <v>35</v>
      </c>
      <c r="B29" s="53">
        <v>49500</v>
      </c>
      <c r="C29" s="53">
        <v>51000</v>
      </c>
      <c r="D29" s="53">
        <v>51500</v>
      </c>
      <c r="E29" s="9">
        <v>53500</v>
      </c>
      <c r="F29" s="9">
        <v>53500</v>
      </c>
      <c r="G29" s="9">
        <v>53000</v>
      </c>
      <c r="H29" s="9">
        <v>55000</v>
      </c>
      <c r="I29" s="9">
        <v>52200</v>
      </c>
    </row>
    <row r="30" spans="1:9" x14ac:dyDescent="0.3">
      <c r="A30" s="68" t="s">
        <v>36</v>
      </c>
      <c r="B30" s="53">
        <v>45000</v>
      </c>
      <c r="C30" s="53">
        <v>45500</v>
      </c>
      <c r="D30" s="53">
        <v>46500</v>
      </c>
      <c r="E30" s="9">
        <v>48000</v>
      </c>
      <c r="F30" s="9">
        <v>48000</v>
      </c>
      <c r="G30" s="9">
        <v>48000</v>
      </c>
      <c r="H30" s="9">
        <v>49000</v>
      </c>
      <c r="I30" s="9">
        <v>47700</v>
      </c>
    </row>
    <row r="31" spans="1:9" x14ac:dyDescent="0.3">
      <c r="A31" s="68" t="s">
        <v>37</v>
      </c>
      <c r="B31" s="53">
        <v>43500</v>
      </c>
      <c r="C31" s="53">
        <v>44000</v>
      </c>
      <c r="D31" s="53">
        <v>45000</v>
      </c>
      <c r="E31" s="9">
        <v>46000</v>
      </c>
      <c r="F31" s="9">
        <v>46000</v>
      </c>
      <c r="G31" s="9">
        <v>46000</v>
      </c>
      <c r="H31" s="9">
        <v>48000</v>
      </c>
      <c r="I31" s="9">
        <v>45700</v>
      </c>
    </row>
    <row r="32" spans="1:9" x14ac:dyDescent="0.3">
      <c r="A32" s="82" t="s">
        <v>86</v>
      </c>
      <c r="B32">
        <f>AVERAGE(B19:B31)</f>
        <v>49730.769230769234</v>
      </c>
      <c r="C32">
        <f t="shared" ref="C32:I32" si="1">AVERAGE(C19:C31)</f>
        <v>50269.230769230766</v>
      </c>
      <c r="D32">
        <f t="shared" si="1"/>
        <v>51653.846153846156</v>
      </c>
      <c r="E32">
        <f t="shared" si="1"/>
        <v>52807.692307692305</v>
      </c>
      <c r="F32">
        <f t="shared" si="1"/>
        <v>52884.615384615383</v>
      </c>
      <c r="G32">
        <f t="shared" si="1"/>
        <v>52769.230769230766</v>
      </c>
      <c r="H32">
        <f t="shared" si="1"/>
        <v>54230.769230769234</v>
      </c>
      <c r="I32">
        <f t="shared" si="1"/>
        <v>52653.846153846156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MPS</vt:lpstr>
      <vt:lpstr>MacPro Winter's </vt:lpstr>
      <vt:lpstr>MacAir Winter's</vt:lpstr>
      <vt:lpstr>MacAir Seasonal</vt:lpstr>
      <vt:lpstr>MacPro Seasonal</vt:lpstr>
      <vt:lpstr>Comparison</vt:lpstr>
      <vt:lpstr>Why 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</cp:lastModifiedBy>
  <dcterms:created xsi:type="dcterms:W3CDTF">2020-11-21T12:16:10Z</dcterms:created>
  <dcterms:modified xsi:type="dcterms:W3CDTF">2022-03-16T17:33:43Z</dcterms:modified>
</cp:coreProperties>
</file>