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fs\Areas\SGI\1-SGI_IE   Informes - Estadistica\INFORMES\03 Informe Mensual\2018\"/>
    </mc:Choice>
  </mc:AlternateContent>
  <xr:revisionPtr revIDLastSave="0" documentId="13_ncr:1_{18CEE52F-5D17-4674-AB8E-A23C2C9BACAA}" xr6:coauthVersionLast="31" xr6:coauthVersionMax="31" xr10:uidLastSave="{00000000-0000-0000-0000-000000000000}"/>
  <bookViews>
    <workbookView xWindow="0" yWindow="0" windowWidth="25185" windowHeight="10740" tabRatio="690" xr2:uid="{F2B6F377-0267-405F-92D4-AB138E6E385C}"/>
  </bookViews>
  <sheets>
    <sheet name="Portada" sheetId="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47" r:id="rId27"/>
    <sheet name="26.ANEXO III -2" sheetId="48" r:id="rId28"/>
    <sheet name="27.ANEXO III - 3" sheetId="49" r:id="rId29"/>
    <sheet name="28.ANEXO III - 4" sheetId="50" r:id="rId30"/>
    <sheet name="29.ANEXO III - 5" sheetId="51" r:id="rId31"/>
    <sheet name="30.ANEXO III -6" sheetId="52" r:id="rId32"/>
    <sheet name="31.ANEXOIII - 7" sheetId="53" r:id="rId33"/>
    <sheet name="32.ANEXOIII - 8" sheetId="60" r:id="rId34"/>
    <sheet name="Contraportada" sheetId="59" r:id="rId35"/>
  </sheets>
  <definedNames>
    <definedName name="_xlnm._FilterDatabase" localSheetId="8" hidden="1">'7. Generacion empresa'!$L$4:$N$61</definedName>
    <definedName name="_xlnm._FilterDatabase" localSheetId="10" hidden="1">'9. Pot. Empresa'!$L$6:$N$62</definedName>
    <definedName name="_xlnm.Print_Area" localSheetId="2">'1. Resumen'!$A$1:$M$50</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generación'!$A$1:$J$54</definedName>
    <definedName name="_xlnm.Print_Area" localSheetId="6">'5. RER'!$A$1:$K$61</definedName>
    <definedName name="_xlnm.Print_Area" localSheetId="7">'6. FP RER'!$A$1:$K$64</definedName>
    <definedName name="_xlnm.Print_Area" localSheetId="8">'7. Generacion empresa'!$A$1:$J$66</definedName>
    <definedName name="_xlnm.Print_Area" localSheetId="10">'9. Pot. Empresa'!$A$1:$J$67</definedName>
    <definedName name="_xlnm.Print_Area" localSheetId="1">Índice!$A$1:$L$45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9" i="18" l="1"/>
  <c r="N28" i="18"/>
  <c r="N27" i="18"/>
  <c r="N26" i="18"/>
  <c r="N25" i="18"/>
  <c r="N24" i="18"/>
  <c r="N23" i="18"/>
  <c r="N20" i="18"/>
  <c r="N19" i="18"/>
  <c r="N18" i="18"/>
  <c r="N17" i="18"/>
  <c r="N16" i="18"/>
  <c r="N15" i="18"/>
  <c r="N14" i="18"/>
  <c r="N12" i="18"/>
  <c r="N11" i="18"/>
  <c r="N10" i="18"/>
  <c r="N9" i="18"/>
  <c r="N8" i="18"/>
  <c r="G10" i="21" l="1"/>
  <c r="G11" i="21"/>
  <c r="C54" i="46" l="1"/>
  <c r="D54" i="46"/>
  <c r="D53" i="46"/>
  <c r="C53" i="46"/>
  <c r="F5" i="46"/>
  <c r="F6" i="46"/>
  <c r="F7" i="46"/>
  <c r="F8" i="46"/>
  <c r="F9" i="46"/>
  <c r="F10" i="46"/>
  <c r="F11" i="46"/>
  <c r="F12" i="46"/>
  <c r="F13" i="46"/>
  <c r="F14" i="46"/>
  <c r="F15" i="46"/>
  <c r="F16" i="46"/>
  <c r="F17" i="46"/>
  <c r="F18" i="46"/>
  <c r="F19" i="46"/>
  <c r="F20" i="46"/>
  <c r="F21" i="46"/>
  <c r="F22" i="46"/>
  <c r="F23" i="46"/>
  <c r="F24" i="46"/>
  <c r="F25" i="46"/>
  <c r="F26" i="46"/>
  <c r="F27" i="46"/>
  <c r="F28" i="46"/>
  <c r="F29" i="46"/>
  <c r="F30" i="46"/>
  <c r="F31" i="46"/>
  <c r="F32" i="46"/>
  <c r="F33" i="46"/>
  <c r="F34" i="46"/>
  <c r="F35" i="46"/>
  <c r="F36" i="46"/>
  <c r="F37" i="46"/>
  <c r="F38" i="46"/>
  <c r="F39" i="46"/>
  <c r="F40" i="46"/>
  <c r="F41" i="46"/>
  <c r="F42" i="46"/>
  <c r="F43" i="46"/>
  <c r="F44" i="46"/>
  <c r="F45" i="46"/>
  <c r="F46" i="46"/>
  <c r="F47" i="46"/>
  <c r="F48" i="46"/>
  <c r="F49" i="46"/>
  <c r="F5" i="45"/>
  <c r="F6" i="45"/>
  <c r="F7" i="45"/>
  <c r="F8" i="45"/>
  <c r="F9" i="45"/>
  <c r="F10" i="45"/>
  <c r="F11" i="45"/>
  <c r="F12" i="45"/>
  <c r="F13" i="45"/>
  <c r="F14" i="45"/>
  <c r="F15" i="45"/>
  <c r="F16" i="45"/>
  <c r="F17" i="45"/>
  <c r="F18" i="45"/>
  <c r="F19" i="45"/>
  <c r="F20" i="45"/>
  <c r="F21" i="45"/>
  <c r="F22" i="45"/>
  <c r="F23" i="45"/>
  <c r="F24" i="45"/>
  <c r="F25" i="45"/>
  <c r="F26" i="45"/>
  <c r="F27" i="45"/>
  <c r="F28" i="45"/>
  <c r="F29" i="45"/>
  <c r="F30" i="45"/>
  <c r="F31" i="45"/>
  <c r="F32" i="45"/>
  <c r="F33" i="45"/>
  <c r="F34" i="45"/>
  <c r="F35" i="45"/>
  <c r="F36" i="45"/>
  <c r="F37" i="45"/>
  <c r="F38" i="45"/>
  <c r="F39" i="45"/>
  <c r="F40" i="45"/>
  <c r="F41" i="45"/>
  <c r="F42" i="45"/>
  <c r="F43" i="45"/>
  <c r="F44" i="45"/>
  <c r="F45" i="45"/>
  <c r="F47" i="45"/>
  <c r="F48" i="45"/>
  <c r="F49" i="45"/>
  <c r="F50" i="45"/>
  <c r="F51" i="45"/>
  <c r="F52" i="45"/>
  <c r="F53" i="45"/>
  <c r="F54" i="45"/>
  <c r="F55" i="45"/>
  <c r="F56" i="45"/>
  <c r="F57" i="45"/>
  <c r="F58" i="45"/>
  <c r="F59" i="45"/>
  <c r="F60" i="45"/>
  <c r="F61" i="45"/>
  <c r="F62" i="45"/>
  <c r="F63" i="45"/>
  <c r="F64" i="45"/>
  <c r="F65" i="45"/>
  <c r="F66" i="45"/>
  <c r="F67" i="45"/>
  <c r="B12" i="22" l="1"/>
  <c r="I11" i="22"/>
  <c r="M39" i="9" l="1"/>
  <c r="D12" i="9"/>
  <c r="H47" i="4"/>
  <c r="B47" i="4"/>
  <c r="D58" i="11" l="1"/>
  <c r="D59" i="11"/>
  <c r="D60" i="11"/>
  <c r="D61" i="11"/>
  <c r="B29" i="6" l="1"/>
  <c r="M15" i="6"/>
  <c r="M16" i="6"/>
  <c r="I11" i="6" l="1"/>
  <c r="H11" i="6"/>
  <c r="A53" i="22" l="1"/>
  <c r="A57" i="21"/>
  <c r="B58" i="18"/>
  <c r="B40" i="18"/>
  <c r="B21" i="18"/>
  <c r="A58" i="12"/>
  <c r="F64" i="13"/>
  <c r="M14" i="6" l="1"/>
  <c r="B18" i="12" l="1"/>
  <c r="C18" i="12"/>
  <c r="D18" i="12"/>
  <c r="E18" i="12"/>
  <c r="G18" i="12"/>
  <c r="H18" i="12"/>
  <c r="J18" i="12"/>
  <c r="G13" i="21" l="1"/>
  <c r="H7" i="21"/>
  <c r="G7" i="21"/>
  <c r="F36" i="6" l="1"/>
  <c r="F38" i="6"/>
  <c r="F11" i="14" l="1"/>
  <c r="F54" i="46" l="1"/>
  <c r="F53" i="46"/>
  <c r="F52" i="4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F6" i="36"/>
  <c r="F37" i="6" l="1"/>
  <c r="F35" i="6"/>
  <c r="C63" i="13" l="1"/>
  <c r="B63" i="13"/>
  <c r="C62" i="11" l="1"/>
  <c r="B62" i="11"/>
  <c r="A63" i="8"/>
  <c r="J12" i="7"/>
  <c r="A58" i="7"/>
  <c r="E34" i="6"/>
  <c r="D62" i="11" l="1"/>
  <c r="E63" i="11"/>
  <c r="A63" i="11"/>
  <c r="C45" i="10"/>
  <c r="A34" i="9"/>
  <c r="D3" i="36" l="1"/>
  <c r="D2" i="45" s="1"/>
  <c r="D2" i="46" s="1"/>
  <c r="C3" i="36"/>
  <c r="C2" i="45" s="1"/>
  <c r="C2" i="46" s="1"/>
  <c r="F2" i="38"/>
  <c r="F2" i="37"/>
  <c r="F3" i="23"/>
  <c r="C2" i="23"/>
  <c r="C1" i="37" s="1"/>
  <c r="C1" i="38" s="1"/>
  <c r="A38" i="22"/>
  <c r="E17" i="22"/>
  <c r="A17" i="22"/>
  <c r="A13" i="22"/>
  <c r="A15" i="21"/>
  <c r="F6" i="21"/>
  <c r="E6" i="21"/>
  <c r="D6" i="21"/>
  <c r="B47" i="18"/>
  <c r="B28" i="18"/>
  <c r="B10" i="18"/>
  <c r="C31" i="16"/>
  <c r="E6" i="16"/>
  <c r="D6" i="16"/>
  <c r="C29" i="14"/>
  <c r="A64" i="13"/>
  <c r="B3" i="13"/>
  <c r="B5" i="11"/>
  <c r="C5" i="11" s="1"/>
  <c r="B4" i="11"/>
  <c r="A64" i="10"/>
  <c r="A43" i="10"/>
  <c r="A61" i="9"/>
  <c r="G6" i="7"/>
  <c r="G4" i="8" s="1"/>
  <c r="G4" i="9" s="1"/>
  <c r="D7" i="7"/>
  <c r="E7" i="7" s="1"/>
  <c r="A53" i="6"/>
  <c r="B40" i="6"/>
  <c r="A12" i="6"/>
  <c r="D5" i="8" l="1"/>
  <c r="C7" i="7"/>
  <c r="B7" i="7" s="1"/>
  <c r="B5" i="8" s="1"/>
  <c r="E4" i="46"/>
  <c r="D4" i="46"/>
  <c r="C4" i="46"/>
  <c r="E3" i="46"/>
  <c r="D3" i="46"/>
  <c r="C3" i="46"/>
  <c r="E4" i="45"/>
  <c r="D4" i="45"/>
  <c r="C4" i="45"/>
  <c r="E3" i="45"/>
  <c r="D3" i="45"/>
  <c r="C3" i="45"/>
  <c r="E5" i="36"/>
  <c r="E4" i="36"/>
  <c r="D4" i="36"/>
  <c r="D5" i="36"/>
  <c r="C5" i="36"/>
  <c r="C4" i="36"/>
  <c r="E14" i="21" l="1"/>
  <c r="F14" i="21"/>
  <c r="D14" i="21"/>
  <c r="G8" i="21"/>
  <c r="H8" i="21"/>
  <c r="G9" i="21"/>
  <c r="D8" i="13" l="1"/>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C6" i="13"/>
  <c r="B6" i="13"/>
  <c r="C5" i="13"/>
  <c r="B5" i="13"/>
  <c r="C5" i="8" l="1"/>
  <c r="C5" i="9" s="1"/>
  <c r="C7" i="12" s="1"/>
  <c r="D5" i="9"/>
  <c r="D7" i="12" s="1"/>
  <c r="B5" i="9"/>
  <c r="B7" i="12" s="1"/>
  <c r="B11" i="9"/>
  <c r="E19" i="8"/>
  <c r="D19" i="8"/>
  <c r="F39" i="9" s="1"/>
  <c r="C19" i="8"/>
  <c r="B19" i="8"/>
  <c r="J23" i="8"/>
  <c r="E23" i="8"/>
  <c r="D23" i="8"/>
  <c r="C23" i="8"/>
  <c r="B23" i="8"/>
  <c r="K22" i="8"/>
  <c r="F22" i="8"/>
  <c r="K21" i="8"/>
  <c r="I21" i="8"/>
  <c r="F21" i="8"/>
  <c r="F8" i="8"/>
  <c r="A2" i="8"/>
  <c r="A4" i="7"/>
  <c r="J16" i="7"/>
  <c r="H16" i="7"/>
  <c r="G16" i="7"/>
  <c r="C16" i="7"/>
  <c r="D16" i="7"/>
  <c r="E16" i="7"/>
  <c r="B16" i="7"/>
  <c r="B49" i="4"/>
  <c r="D34" i="6"/>
  <c r="E39" i="6"/>
  <c r="D39" i="6"/>
  <c r="F39" i="6" l="1"/>
  <c r="B12" i="9"/>
  <c r="G23" i="8"/>
  <c r="H23" i="8"/>
  <c r="I22" i="8"/>
  <c r="A9" i="4" l="1"/>
  <c r="I20" i="4" l="1"/>
  <c r="C20" i="4"/>
  <c r="C3" i="4"/>
  <c r="J12" i="22"/>
  <c r="H12" i="22"/>
  <c r="G12" i="22"/>
  <c r="F12" i="22"/>
  <c r="E12" i="22"/>
  <c r="D12" i="22"/>
  <c r="C12" i="22"/>
  <c r="I10" i="22"/>
  <c r="I9" i="22"/>
  <c r="I8" i="22"/>
  <c r="I7" i="22"/>
  <c r="H14" i="21"/>
  <c r="F30" i="16"/>
  <c r="F29" i="16"/>
  <c r="F28" i="16"/>
  <c r="F27" i="16"/>
  <c r="F26" i="16"/>
  <c r="F25" i="16"/>
  <c r="F24" i="16"/>
  <c r="F23" i="16"/>
  <c r="F22" i="16"/>
  <c r="F21" i="16"/>
  <c r="F20" i="16"/>
  <c r="F19" i="16"/>
  <c r="F18" i="16"/>
  <c r="F17" i="16"/>
  <c r="F16" i="16"/>
  <c r="F15" i="16"/>
  <c r="F14" i="16"/>
  <c r="F13" i="16"/>
  <c r="F12" i="16"/>
  <c r="F11" i="16"/>
  <c r="F10" i="16"/>
  <c r="F9" i="16"/>
  <c r="F8" i="16"/>
  <c r="F7" i="16"/>
  <c r="F28" i="14"/>
  <c r="F27" i="14"/>
  <c r="F26" i="14"/>
  <c r="F25" i="14"/>
  <c r="F24" i="14"/>
  <c r="F23" i="14"/>
  <c r="F22" i="14"/>
  <c r="F20" i="14"/>
  <c r="F19" i="14"/>
  <c r="F18" i="14"/>
  <c r="F17" i="14"/>
  <c r="F16" i="14"/>
  <c r="F15" i="14"/>
  <c r="F14" i="14"/>
  <c r="F13" i="14"/>
  <c r="F12" i="14"/>
  <c r="F10" i="14"/>
  <c r="F9" i="14"/>
  <c r="F8" i="14"/>
  <c r="F7" i="14"/>
  <c r="D7" i="13"/>
  <c r="K16" i="12"/>
  <c r="I16" i="12"/>
  <c r="K13" i="12"/>
  <c r="I13" i="12"/>
  <c r="F13" i="12"/>
  <c r="K12" i="12"/>
  <c r="I12" i="12"/>
  <c r="F12" i="12"/>
  <c r="K11" i="12"/>
  <c r="I11" i="12"/>
  <c r="F11" i="12"/>
  <c r="K10" i="12"/>
  <c r="I10" i="12"/>
  <c r="D14" i="12"/>
  <c r="D20" i="12" s="1"/>
  <c r="C14" i="12"/>
  <c r="C20" i="12" s="1"/>
  <c r="B14" i="12"/>
  <c r="B20" i="12" s="1"/>
  <c r="D57" i="11"/>
  <c r="D56" i="11"/>
  <c r="D55" i="11"/>
  <c r="D54" i="11"/>
  <c r="D53" i="11"/>
  <c r="D52" i="11"/>
  <c r="D51" i="11"/>
  <c r="D50" i="11"/>
  <c r="D49" i="11"/>
  <c r="D48" i="11"/>
  <c r="D47" i="11"/>
  <c r="D46" i="11"/>
  <c r="D44" i="11"/>
  <c r="D43" i="11"/>
  <c r="D42" i="11"/>
  <c r="D41" i="11"/>
  <c r="D40" i="11"/>
  <c r="D39" i="11"/>
  <c r="D38" i="11"/>
  <c r="D37" i="11"/>
  <c r="D36"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K10" i="9"/>
  <c r="I10" i="9"/>
  <c r="F10" i="9"/>
  <c r="K9" i="9"/>
  <c r="I9" i="9"/>
  <c r="F9" i="9"/>
  <c r="K8" i="9"/>
  <c r="I8" i="9"/>
  <c r="F8" i="9"/>
  <c r="I7" i="9"/>
  <c r="F7" i="9"/>
  <c r="K6" i="9"/>
  <c r="F6" i="9"/>
  <c r="K18" i="8"/>
  <c r="I18" i="8"/>
  <c r="F18" i="8"/>
  <c r="K17" i="8"/>
  <c r="I17" i="8"/>
  <c r="F17" i="8"/>
  <c r="K16" i="8"/>
  <c r="I16" i="8"/>
  <c r="F16" i="8"/>
  <c r="K15" i="8"/>
  <c r="I15" i="8"/>
  <c r="F15" i="8"/>
  <c r="K14" i="8"/>
  <c r="I14" i="8"/>
  <c r="F14" i="8"/>
  <c r="K13" i="8"/>
  <c r="I13" i="8"/>
  <c r="F13" i="8"/>
  <c r="K12" i="8"/>
  <c r="I12" i="8"/>
  <c r="F12" i="8"/>
  <c r="K11" i="8"/>
  <c r="I11" i="8"/>
  <c r="F11" i="8"/>
  <c r="K10" i="8"/>
  <c r="I10" i="8"/>
  <c r="F10" i="8"/>
  <c r="K9" i="8"/>
  <c r="I9" i="8"/>
  <c r="K8" i="8"/>
  <c r="I8" i="8"/>
  <c r="K7" i="8"/>
  <c r="I7" i="8"/>
  <c r="K6" i="8"/>
  <c r="I6" i="8"/>
  <c r="F6" i="8"/>
  <c r="K15" i="7"/>
  <c r="I15" i="7"/>
  <c r="F15" i="7"/>
  <c r="K13" i="7"/>
  <c r="K11" i="7"/>
  <c r="I11" i="7"/>
  <c r="F11" i="7"/>
  <c r="K10" i="7"/>
  <c r="I10" i="7"/>
  <c r="F10" i="7"/>
  <c r="K9" i="7"/>
  <c r="I9" i="7"/>
  <c r="F9" i="7"/>
  <c r="K8" i="7"/>
  <c r="I8" i="7"/>
  <c r="F8" i="7"/>
  <c r="G14" i="21" l="1"/>
  <c r="I12" i="22"/>
  <c r="F17" i="12"/>
  <c r="I17" i="12"/>
  <c r="K18" i="12"/>
  <c r="E14" i="12"/>
  <c r="G14" i="12"/>
  <c r="G20" i="12" s="1"/>
  <c r="H14" i="12"/>
  <c r="H20" i="12" s="1"/>
  <c r="F16" i="12"/>
  <c r="J14" i="12"/>
  <c r="J20" i="12" s="1"/>
  <c r="F10" i="12"/>
  <c r="K17" i="12"/>
  <c r="H11" i="9"/>
  <c r="D11" i="9"/>
  <c r="F40" i="9" s="1"/>
  <c r="E11" i="9"/>
  <c r="E12" i="9" s="1"/>
  <c r="G11" i="9"/>
  <c r="C11" i="9"/>
  <c r="C12" i="9" s="1"/>
  <c r="J11" i="9"/>
  <c r="K7" i="9"/>
  <c r="I6" i="9"/>
  <c r="F19" i="8"/>
  <c r="G19" i="8"/>
  <c r="F7" i="8"/>
  <c r="H19" i="8"/>
  <c r="J19" i="8"/>
  <c r="G12" i="7"/>
  <c r="C12" i="7"/>
  <c r="B12" i="7"/>
  <c r="D12" i="7"/>
  <c r="I14" i="7"/>
  <c r="H12" i="7"/>
  <c r="I12" i="7" s="1"/>
  <c r="E5" i="8"/>
  <c r="E5" i="9" s="1"/>
  <c r="E7" i="12" s="1"/>
  <c r="F14" i="7"/>
  <c r="E12" i="7"/>
  <c r="K14" i="7"/>
  <c r="F14" i="12" l="1"/>
  <c r="E20" i="12"/>
  <c r="F12" i="7"/>
  <c r="K19" i="8"/>
  <c r="J12" i="9"/>
  <c r="G12" i="9"/>
  <c r="F20" i="12"/>
  <c r="K12" i="7"/>
  <c r="I11" i="9"/>
  <c r="H12" i="9"/>
  <c r="I18" i="12"/>
  <c r="I19" i="8"/>
  <c r="K14" i="12"/>
  <c r="I14" i="12"/>
  <c r="F11" i="9"/>
  <c r="K11" i="9"/>
  <c r="I20" i="12" l="1"/>
  <c r="K20" i="12"/>
</calcChain>
</file>

<file path=xl/sharedStrings.xml><?xml version="1.0" encoding="utf-8"?>
<sst xmlns="http://schemas.openxmlformats.org/spreadsheetml/2006/main" count="1629" uniqueCount="778">
  <si>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</si>
  <si>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</si>
  <si>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</si>
  <si>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</si>
  <si>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</si>
  <si>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</si>
  <si>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</si>
  <si>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</si>
  <si>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</si>
  <si>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</si>
  <si>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</si>
  <si>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</si>
  <si>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</si>
  <si>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</si>
  <si>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</si>
  <si>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</si>
  <si>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</si>
  <si>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</si>
  <si>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</si>
  <si>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</si>
  <si>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</si>
  <si>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</si>
  <si>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</si>
  <si>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</si>
  <si>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</si>
  <si>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</si>
  <si>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</si>
  <si>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</si>
  <si>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</si>
  <si>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</si>
  <si>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</si>
  <si>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</si>
  <si>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</si>
  <si>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</si>
  <si>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</si>
  <si>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</si>
  <si>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Var (%)
2017/2016</t>
  </si>
  <si>
    <t>Hidroeléctrica</t>
  </si>
  <si>
    <t>Termoeléctrica</t>
  </si>
  <si>
    <t>Eólica</t>
  </si>
  <si>
    <t>Importación</t>
  </si>
  <si>
    <t>Exportación</t>
  </si>
  <si>
    <t>Intercambios Internacionales</t>
  </si>
  <si>
    <t>Var (%)
2018/2017</t>
  </si>
  <si>
    <t>Total</t>
  </si>
  <si>
    <t xml:space="preserve">Por tipo de Recurso Energético </t>
  </si>
  <si>
    <t>Agua</t>
  </si>
  <si>
    <t>Residual 500</t>
  </si>
  <si>
    <t>Residual 6</t>
  </si>
  <si>
    <t>Diesel 2</t>
  </si>
  <si>
    <t>Bagazo</t>
  </si>
  <si>
    <t>Biogás</t>
  </si>
  <si>
    <t>G.N. de Camisea</t>
  </si>
  <si>
    <t>G.N. de Malacas</t>
  </si>
  <si>
    <t>G.N. de Aguaytía</t>
  </si>
  <si>
    <t>G.N. de La Isla</t>
  </si>
  <si>
    <t>(*) Se denomina RER a los Recursos Energéticos Renovables (biomasa, eólica, solar, geotérmica, mareomotriz), e hidroléctricas cuya capacidad instalada no sobrepase los 20 MW, según D.L. N° 1002</t>
  </si>
  <si>
    <t>CENTRAL</t>
  </si>
  <si>
    <t>Potencia efectiva al 31/12/2017 (MW)</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</si>
  <si>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</si>
  <si>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</si>
  <si>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</si>
  <si>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</si>
  <si>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</si>
  <si>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</si>
  <si>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</si>
  <si>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</si>
  <si>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</si>
  <si>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</si>
  <si>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</si>
  <si>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</si>
  <si>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</si>
  <si>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</si>
  <si>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</si>
  <si>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</si>
  <si>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</si>
  <si>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</si>
  <si>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</si>
  <si>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</si>
  <si>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</si>
  <si>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</si>
  <si>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EOLICA</t>
  </si>
  <si>
    <t>C.E. CUPISNIQUE</t>
  </si>
  <si>
    <t>C.E. MARCONA</t>
  </si>
  <si>
    <t>C.E. TALARA</t>
  </si>
  <si>
    <t>C.S. TACNA</t>
  </si>
  <si>
    <t>SOLAR</t>
  </si>
  <si>
    <t>C.S. MOQUEGUA FV</t>
  </si>
  <si>
    <t>C.S. RUBI</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</si>
  <si>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</si>
  <si>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</si>
  <si>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</si>
  <si>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</si>
  <si>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</si>
  <si>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</si>
  <si>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</si>
  <si>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</si>
  <si>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</si>
  <si>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</si>
  <si>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</si>
  <si>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</si>
  <si>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</si>
  <si>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</si>
  <si>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</si>
  <si>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</si>
  <si>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</si>
  <si>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</si>
  <si>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</si>
  <si>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</si>
  <si>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</si>
  <si>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</si>
  <si>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HIDROMARAÑON</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</si>
  <si>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</si>
  <si>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</si>
  <si>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</si>
  <si>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</si>
  <si>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</si>
  <si>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</si>
  <si>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</si>
  <si>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</si>
  <si>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</si>
  <si>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</si>
  <si>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</si>
  <si>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</si>
  <si>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</si>
  <si>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</si>
  <si>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ECELIM</t>
  </si>
  <si>
    <t>IYEPSA</t>
  </si>
  <si>
    <t>ELECTRICA SANTA ROSA</t>
  </si>
  <si>
    <t>SHOUGESA</t>
  </si>
  <si>
    <t>AGUA AZUL</t>
  </si>
  <si>
    <t>AGROAURORA</t>
  </si>
  <si>
    <t>RIO BAÑOS</t>
  </si>
  <si>
    <t>AYEPSA</t>
  </si>
  <si>
    <t>CERRO DEL AGUILA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</si>
  <si>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</si>
  <si>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</si>
  <si>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</si>
  <si>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</si>
  <si>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</si>
  <si>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</si>
  <si>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</si>
  <si>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</si>
  <si>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</si>
  <si>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</si>
  <si>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</si>
  <si>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</si>
  <si>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</si>
  <si>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</si>
  <si>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</si>
  <si>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</si>
  <si>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</si>
  <si>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</si>
  <si>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Paron (ORAZUL)</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</si>
  <si>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</si>
  <si>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</si>
  <si>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</si>
  <si>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</si>
  <si>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</si>
  <si>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</si>
  <si>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</si>
  <si>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</si>
  <si>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</si>
  <si>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</si>
  <si>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</si>
  <si>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</si>
  <si>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</si>
  <si>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</si>
  <si>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</si>
  <si>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</si>
  <si>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</si>
  <si>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</si>
  <si>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</si>
  <si>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</si>
  <si>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</si>
  <si>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</si>
  <si>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</si>
  <si>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</si>
  <si>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</si>
  <si>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</si>
  <si>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</si>
  <si>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</si>
  <si>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</si>
  <si>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</si>
  <si>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</si>
  <si>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</si>
  <si>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</si>
  <si>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</si>
  <si>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CHAVARRIA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</si>
  <si>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</si>
  <si>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</si>
  <si>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</si>
  <si>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</si>
  <si>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</si>
  <si>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</si>
  <si>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</si>
  <si>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</si>
  <si>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</si>
  <si>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</si>
  <si>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</si>
  <si>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</si>
  <si>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</si>
  <si>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</si>
  <si>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</si>
  <si>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Var. (2017/2016)</t>
  </si>
  <si>
    <t>SUR</t>
  </si>
  <si>
    <t>L-2051 L-2052
 L-5036</t>
  </si>
  <si>
    <t>CENTRO</t>
  </si>
  <si>
    <t>L-2018</t>
  </si>
  <si>
    <t>TOTAL HORAS DE CONGESTIÓN EN EL SEIN</t>
  </si>
  <si>
    <t>7. EVENTOS Y FALLAS QUE OCASIONARON INTERRUPCIÓN Y DISMINUCIÓN DE SUMINISTRO ELÉCTRICO</t>
  </si>
  <si>
    <t>7.1. FALLAS POR TIPO DE EQUIPO Y CAUSA SEGÚN CLASIFICACION CIER</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</si>
  <si>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</si>
  <si>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</si>
  <si>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</si>
  <si>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</si>
  <si>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</si>
  <si>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</si>
  <si>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</si>
  <si>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</si>
  <si>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</si>
  <si>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</si>
  <si>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</si>
  <si>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</si>
  <si>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</si>
  <si>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</si>
  <si>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</si>
  <si>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</si>
  <si>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</si>
  <si>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</si>
  <si>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</si>
  <si>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</si>
  <si>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</si>
  <si>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</si>
  <si>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</si>
  <si>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Empresa</t>
  </si>
  <si>
    <t>Tipo de Generación</t>
  </si>
  <si>
    <t>Recurso Energético</t>
  </si>
  <si>
    <t>Tipo de Tecnologia</t>
  </si>
  <si>
    <t>Central</t>
  </si>
  <si>
    <t>Unidad</t>
  </si>
  <si>
    <t>2.1.  INGRESO EN OPERACIÓN COMERCIAL AL SEIN</t>
  </si>
  <si>
    <t>ENEL GREEN PERU</t>
  </si>
  <si>
    <t>solar</t>
  </si>
  <si>
    <t>C.S. Rubí</t>
  </si>
  <si>
    <t>30.01.2018</t>
  </si>
  <si>
    <t>HIDROELÉCTRICA</t>
  </si>
  <si>
    <t>TERMOELÉCTRICA</t>
  </si>
  <si>
    <t>EÓLICA</t>
  </si>
  <si>
    <t>fotovoltaica</t>
  </si>
  <si>
    <t>Tensión  
(kV)</t>
  </si>
  <si>
    <t>Operación Comercial</t>
  </si>
  <si>
    <t>Central Solar</t>
  </si>
  <si>
    <t>POTENCIA INSTALADA (MW)</t>
  </si>
  <si>
    <t>Potencia Instalada (MW)</t>
  </si>
  <si>
    <t>560 880 
Módulos</t>
  </si>
  <si>
    <t>VARIACIÓN
 (%)</t>
  </si>
  <si>
    <t>2.1. Ingreso en Operación Comercial al SEIN</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</si>
  <si>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</si>
  <si>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</si>
  <si>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</si>
  <si>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</si>
  <si>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</si>
  <si>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</si>
  <si>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</si>
  <si>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</si>
  <si>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</si>
  <si>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</si>
  <si>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</si>
  <si>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</si>
  <si>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</si>
  <si>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</si>
  <si>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BIOMASA</t>
  </si>
  <si>
    <t>3.4. FACTOR DE PLANTA DE LAS CENTRALES RER DEL SEIN</t>
  </si>
  <si>
    <t>3.5. PARTICIPACIÓN DE LA PRODUCCIÓN (GWh) POR EMPRESAS INTEGRANTES</t>
  </si>
  <si>
    <t>CERRO VERDE</t>
  </si>
  <si>
    <t>EMGE HUALLAGA</t>
  </si>
  <si>
    <t>EMGE HUANZA</t>
  </si>
  <si>
    <t>EMGE JUNÍN</t>
  </si>
  <si>
    <t>FENIX POWER</t>
  </si>
  <si>
    <t>HUAURA POWER</t>
  </si>
  <si>
    <t>KALLPA</t>
  </si>
  <si>
    <t>ORAZUL ENERGY PERÚ</t>
  </si>
  <si>
    <t>P.E. MARCONA</t>
  </si>
  <si>
    <t>PETRAMAS</t>
  </si>
  <si>
    <t>PLANTA  ETEN</t>
  </si>
  <si>
    <t>SAMAY I</t>
  </si>
  <si>
    <t>SANTA CRUZ</t>
  </si>
  <si>
    <t>Empresa Integrante  (GWh)</t>
  </si>
  <si>
    <t>Variación 2018/2017 (GWh)</t>
  </si>
  <si>
    <t>4. MÁXIMA POTENCIA COINCIDENTE A NIVEL DE GENERACIÓN EN EL SEIN (MW)</t>
  </si>
  <si>
    <t>Total Máxima Potencia</t>
  </si>
  <si>
    <t>Máxima Potencia Anual</t>
  </si>
  <si>
    <t>Últimos 3 meses</t>
  </si>
  <si>
    <t>EMPRESA</t>
  </si>
  <si>
    <t>Variación 2018/2017 (MW)</t>
  </si>
  <si>
    <t>4.2. PARTICIPACIÓN DE LAS EMPRESAS INTEGRANTES EN LA MÁXIMA POTENCIA COINCIDENTE (MW)</t>
  </si>
  <si>
    <t>5. HIDROLOGÍA PARA LA OPERACIÓN DEL SEIN</t>
  </si>
  <si>
    <t>5.1. VOLÚMEN UTIL DE LOS EMBALSES Y LAGUNAS (Millones de m3)</t>
  </si>
  <si>
    <t>Lagunas Rahucolta (ORAZUL)</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</si>
  <si>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</si>
  <si>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</si>
  <si>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</si>
  <si>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</si>
  <si>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</si>
  <si>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</si>
  <si>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</si>
  <si>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</si>
  <si>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</si>
  <si>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</si>
  <si>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</si>
  <si>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</si>
  <si>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</si>
  <si>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</si>
  <si>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</si>
  <si>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</si>
  <si>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</si>
  <si>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</si>
  <si>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</si>
  <si>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</si>
  <si>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</si>
  <si>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</si>
  <si>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t>
  </si>
  <si>
    <t>(*) Valor no reportado por Orazul</t>
  </si>
  <si>
    <t>Enlace Centro - Sur</t>
  </si>
  <si>
    <t>ANEXO I: PRODUCCIÓN DE ELECTRICIDAD MENSUAL POR EMPRESA Y TIPO DE GENERACIÓN EN EL SEIN</t>
  </si>
  <si>
    <t>ANUAL</t>
  </si>
  <si>
    <t>GENERACIÓN</t>
  </si>
  <si>
    <t xml:space="preserve">ACUMULADO </t>
  </si>
  <si>
    <t>RER (*)</t>
  </si>
  <si>
    <t>(MWh)</t>
  </si>
  <si>
    <t>AGROAURORA Total</t>
  </si>
  <si>
    <t>AGUA AZUL Total</t>
  </si>
  <si>
    <t>AIPSA Total</t>
  </si>
  <si>
    <t>C.H. PLATANAL</t>
  </si>
  <si>
    <t>CELEPSA Total</t>
  </si>
  <si>
    <t>C.T. RECKA</t>
  </si>
  <si>
    <t>CERRO VERDE Total</t>
  </si>
  <si>
    <t>C.H. CHIMAY</t>
  </si>
  <si>
    <t>C.H. YANANGO</t>
  </si>
  <si>
    <t>CHINANGO Total</t>
  </si>
  <si>
    <t>C.H. CHARCANI I</t>
  </si>
  <si>
    <t>C.H. CHARCANI II</t>
  </si>
  <si>
    <t>C.H. CHARCANI III</t>
  </si>
  <si>
    <t>C.H. CHARCANI IV</t>
  </si>
  <si>
    <t>C.H. CHARCANI V</t>
  </si>
  <si>
    <t>C.H. CHARCANI VI</t>
  </si>
  <si>
    <t>C.T. CHILINA DIESEL</t>
  </si>
  <si>
    <t>C.T. MOLLENDO DIESEL</t>
  </si>
  <si>
    <t>C.T. PISCO</t>
  </si>
  <si>
    <t>EGASA Total</t>
  </si>
  <si>
    <t>EGECSAC Total</t>
  </si>
  <si>
    <t>C.H. MACHUPICCHU</t>
  </si>
  <si>
    <t>EGEMSA Total</t>
  </si>
  <si>
    <t>C.H. ARICOTA I</t>
  </si>
  <si>
    <t>C.H. ARICOTA II</t>
  </si>
  <si>
    <t>C.T. INDEPENDENCIA</t>
  </si>
  <si>
    <t>EGESUR Total</t>
  </si>
  <si>
    <t>ELECTRICA SANTA ROSA Total</t>
  </si>
  <si>
    <t>ELECTRICA YANAPAMPA Total</t>
  </si>
  <si>
    <t>C.H. MANTARO</t>
  </si>
  <si>
    <t>C.H. RESTITUCION</t>
  </si>
  <si>
    <t>C.T. TUMBES</t>
  </si>
  <si>
    <t>ELECTROPERU Total</t>
  </si>
  <si>
    <t>C.H. CHAGLLA</t>
  </si>
  <si>
    <t>P.C.H CHAGLLA</t>
  </si>
  <si>
    <t>EMGE HUALLAGA Total</t>
  </si>
  <si>
    <t>C.H. HUANZA</t>
  </si>
  <si>
    <t>EMGE HUANZA Total</t>
  </si>
  <si>
    <t>EMGE JUNÍN Total</t>
  </si>
  <si>
    <t>C.H. HUAMPANI</t>
  </si>
  <si>
    <t>C.H. HUINCO</t>
  </si>
  <si>
    <t>C.H. MATUCANA</t>
  </si>
  <si>
    <t>C.H. MOYOPAMPA</t>
  </si>
  <si>
    <t>C.T. SANTA ROSA</t>
  </si>
  <si>
    <t>C.T. SANTA ROSA II</t>
  </si>
  <si>
    <t>C.T. VENTANILLA</t>
  </si>
  <si>
    <t>ENEL GENERACION PERU Total</t>
  </si>
  <si>
    <t>C.T. MALACAS 1</t>
  </si>
  <si>
    <t>C.T. MALACAS 2</t>
  </si>
  <si>
    <t>C.T. R.F. DE GENERACION TALARA</t>
  </si>
  <si>
    <t>ENEL GENERACION PIURA Total</t>
  </si>
  <si>
    <t>ENEL GREEN POWER PERU Total</t>
  </si>
  <si>
    <t>ENERGÍA EÓLICA Total</t>
  </si>
  <si>
    <t>C.H. QUITARACSA</t>
  </si>
  <si>
    <t>C.H. YUNCAN</t>
  </si>
  <si>
    <t>C.T. CHILCA 1</t>
  </si>
  <si>
    <t>C.T. CHILCA 2</t>
  </si>
  <si>
    <t>C.T. ILO 2</t>
  </si>
  <si>
    <t>C.T. NEPI</t>
  </si>
  <si>
    <t>C.T. R.F. PLANTA ILO</t>
  </si>
  <si>
    <t>ENGIE Total</t>
  </si>
  <si>
    <t>C.T. FENIX</t>
  </si>
  <si>
    <t>FENIX POWER Total</t>
  </si>
  <si>
    <t>GEPSA Total</t>
  </si>
  <si>
    <t>GTS MAJES Total</t>
  </si>
  <si>
    <t>GTS REPARTICION Total</t>
  </si>
  <si>
    <t>HIDROCAÑETE Total</t>
  </si>
  <si>
    <t>C.H. HUANCHOR</t>
  </si>
  <si>
    <t>HIDROELECTRICA HUANCHOR Total</t>
  </si>
  <si>
    <t>C.H. MARAÑON</t>
  </si>
  <si>
    <t>HUAURA POWER Total</t>
  </si>
  <si>
    <t>C.T. R.F. PTO MALDONADO</t>
  </si>
  <si>
    <t>C.T. R.F. PUCALLPA</t>
  </si>
  <si>
    <t>IYEPSA Total</t>
  </si>
  <si>
    <t>C.H. CERRO DEL AGUILA</t>
  </si>
  <si>
    <t>C.T. KALLPA</t>
  </si>
  <si>
    <t>C.T. LAS FLORES</t>
  </si>
  <si>
    <t>M.C.H. CERRO DEL AGUILA</t>
  </si>
  <si>
    <t>KALLPA Total</t>
  </si>
  <si>
    <t>MAJA ENERGIA Total</t>
  </si>
  <si>
    <t>MOQUEGUA FV Total</t>
  </si>
  <si>
    <t>C.H. CAÑON DEL PATO</t>
  </si>
  <si>
    <t>C.H. CARHUAQUERO</t>
  </si>
  <si>
    <t>ORAZUL ENERGY PERÚ Total</t>
  </si>
  <si>
    <t>P.E. MARCONA Total</t>
  </si>
  <si>
    <t>P.E. TRES HERMANAS Total</t>
  </si>
  <si>
    <t>PANAMERICANA SOLAR Total</t>
  </si>
  <si>
    <t>PETRAMAS Total</t>
  </si>
  <si>
    <t>C.T. R. F. GENERACION ETEN</t>
  </si>
  <si>
    <t>PLANTA  ETEN Total</t>
  </si>
  <si>
    <t>RIO DOBLE Total</t>
  </si>
  <si>
    <t>C.T. PUERTO BRAVO</t>
  </si>
  <si>
    <t>SAMAY I Total</t>
  </si>
  <si>
    <t>C.H. SAN GABAN II</t>
  </si>
  <si>
    <t>SAN GABAN Total</t>
  </si>
  <si>
    <t>SANTA CRUZ Total</t>
  </si>
  <si>
    <t>C.T. OQUENDO</t>
  </si>
  <si>
    <t>SDF ENERGIA Total</t>
  </si>
  <si>
    <t>C.T. SAN NICOLAS</t>
  </si>
  <si>
    <t>SHOUGESA Total</t>
  </si>
  <si>
    <t>SINERSA Total</t>
  </si>
  <si>
    <t>C.H. CAHUA</t>
  </si>
  <si>
    <t>C.H. CHEVES</t>
  </si>
  <si>
    <t>C.H. GALLITO CIEGO</t>
  </si>
  <si>
    <t>C.H. HUAYLLACHO</t>
  </si>
  <si>
    <t>C.H. MALPASO</t>
  </si>
  <si>
    <t>C.H. MISAPUQUIO</t>
  </si>
  <si>
    <t>C.H. OROYA</t>
  </si>
  <si>
    <t>C.H. PACHACHACA</t>
  </si>
  <si>
    <t>C.H. PARIAC</t>
  </si>
  <si>
    <t>C.H. SAN ANTONIO</t>
  </si>
  <si>
    <t>C.H. SAN IGNACIO</t>
  </si>
  <si>
    <t>C.H. YAUPI</t>
  </si>
  <si>
    <t>STATKRAFT Total</t>
  </si>
  <si>
    <t>TACNA SOLAR Total</t>
  </si>
  <si>
    <t>TERMOCHILCA Total</t>
  </si>
  <si>
    <t>C.T. AGUAYTIA</t>
  </si>
  <si>
    <t>TERMOSELVA Total</t>
  </si>
  <si>
    <t xml:space="preserve">TOTAL GENERACIÓN </t>
  </si>
  <si>
    <t>IMPORTACIÓN</t>
  </si>
  <si>
    <t>EXPORTACIÓN</t>
  </si>
  <si>
    <t>(*) Se denomina RER a los Recursos Energéticos Renovables tales como biomasa, eólica, solar, geotérmica, mareomotriz e hidráulicas cuya capacidad instalada no sobrepasa de los 20 MW, según D.L. N° 1002</t>
  </si>
  <si>
    <t>(1)  Ingreso a operación comercial de la C.S. RUBI propiedad de ENEL GREEN POWER PERU S.A. a partir del 30.01.2018</t>
  </si>
  <si>
    <t>Variación</t>
  </si>
  <si>
    <t>%</t>
  </si>
  <si>
    <t>C.H.  PÍAS 1</t>
  </si>
  <si>
    <t>AYEPSA Total</t>
  </si>
  <si>
    <t>CERRO DEL AGUILA Total</t>
  </si>
  <si>
    <t>ECELIM Total</t>
  </si>
  <si>
    <t>C.H. CALLAHUANCA</t>
  </si>
  <si>
    <t>C.T. ILO 1</t>
  </si>
  <si>
    <t>C.H. RUCUY</t>
  </si>
  <si>
    <t>RIO BAÑOS Total</t>
  </si>
  <si>
    <t>C.T. TAPARACHI</t>
  </si>
  <si>
    <t>C.H. CHANCAY</t>
  </si>
  <si>
    <t>2018 / 2017</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</si>
  <si>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</si>
  <si>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</si>
  <si>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</si>
  <si>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</si>
  <si>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</si>
  <si>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</si>
  <si>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</si>
  <si>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</si>
  <si>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</si>
  <si>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</si>
  <si>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</si>
  <si>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</si>
  <si>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</si>
  <si>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</si>
  <si>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</si>
  <si>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</si>
  <si>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</si>
  <si>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ETENORTE</t>
  </si>
  <si>
    <t>ELECTRO PUNO</t>
  </si>
  <si>
    <t>L. AZÁNGARO - PUTINA - LINEA L-6024</t>
  </si>
  <si>
    <t>ELECTRO SUR ESTE</t>
  </si>
  <si>
    <t>TRANSMANTARO</t>
  </si>
  <si>
    <t>MINERA ARUNTANI</t>
  </si>
  <si>
    <t>L. PUNO - TUCARI - LINEA L-6007</t>
  </si>
  <si>
    <t>HIDRANDINA</t>
  </si>
  <si>
    <t>CONENHUA</t>
  </si>
  <si>
    <t>ISA PERU</t>
  </si>
  <si>
    <t>CONCESIONARIA LINEA DE TRANSMISION CCNCM S.A.C.</t>
  </si>
  <si>
    <t>ELECTRO NOR OESTE</t>
  </si>
  <si>
    <t>RED DE ENERGIA DEL PERU</t>
  </si>
  <si>
    <t>L. CAJAMARCA NORTE - CACLIC - LINEA L-2192</t>
  </si>
  <si>
    <t>2. MODIFICACION DE LA OFERTA DE GENERACIÓN ELÉCTRICA DEL SEIN EN EL 2018</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</si>
  <si>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</si>
  <si>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</si>
  <si>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</si>
  <si>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</si>
  <si>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</si>
  <si>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</si>
  <si>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</si>
  <si>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</si>
  <si>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</si>
  <si>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</si>
  <si>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</si>
  <si>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</si>
  <si>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</si>
  <si>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</si>
  <si>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5.2. EVOLUCIÓN DE VOLUMENES DE LOS EMBALSES Y LAGUNAS</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</si>
  <si>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</si>
  <si>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</si>
  <si>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</si>
  <si>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</si>
  <si>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</si>
  <si>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</si>
  <si>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</si>
  <si>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</si>
  <si>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</si>
  <si>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7.1. HORAS DE CONGESTION POR ÁREA OPERATIVA</t>
  </si>
  <si>
    <t>4. MÁXIMA POTENCIA COINCIDENTE A NIVEL DE GENERACIÓN EN EL SEIN</t>
  </si>
  <si>
    <t>3. PRODUCCIÓN DE ENERGÍA ELÉCTRICA EN EL SEIN</t>
  </si>
  <si>
    <t>4.1 Máxima Potencia Coincidente Por tipo de generación</t>
  </si>
  <si>
    <t>4.2. Participación por Empresas Integrantes en la máxima potencia conincidente</t>
  </si>
  <si>
    <t>5.3. Promedio mensual de los caudales</t>
  </si>
  <si>
    <t xml:space="preserve">5.1. Volumen útil de los embalses y lagunas </t>
  </si>
  <si>
    <t>6.1. Costos Marginales Promedio Mensual del SEIN</t>
  </si>
  <si>
    <t>7.1. Horas de congestión por Área Operativa</t>
  </si>
  <si>
    <t>II. MÁXIMA POTENCIA COINCIDENTE MENSUAL</t>
  </si>
  <si>
    <t>LINEA DE TRANSMISION</t>
  </si>
  <si>
    <t>● Máxima Potencia calculado durante los periodos de hora punta acorde al PR-30 y PR-43, la misma que incluye la importación desde Ecuador.</t>
  </si>
  <si>
    <t>1. RESUMEN</t>
  </si>
  <si>
    <t>Var. (2018/2017)</t>
  </si>
  <si>
    <t>L. GUADALUPE - CHEPÉN - LINEA L-6645</t>
  </si>
  <si>
    <t>ELECTRO CENTRO</t>
  </si>
  <si>
    <t>L-2259</t>
  </si>
  <si>
    <t>Carhuamayo - Oroya Nueva</t>
  </si>
  <si>
    <t>SANTA ANA</t>
  </si>
  <si>
    <t>BIOCOMBUSTIBLE</t>
  </si>
  <si>
    <t>SANTA ANA Total</t>
  </si>
  <si>
    <t>(2) Se incluye la producción por pruebas de la C.E. Wayra I, propiedad de ENEL GREEN POWER PERU S.A.</t>
  </si>
  <si>
    <t>TOTAL MÁXIMA POTENCIA COINCIDENTE</t>
  </si>
  <si>
    <t>Cuadro N°7 : Máxima potencia coincidente (MW) por tipo de generación en el SEIN.</t>
  </si>
  <si>
    <t>(*) La empresa Luz del Sur S.A.A. Transfiere la titularidad de sus instalaciones de generación a la empresa Inland Energy S.A.C.</t>
  </si>
  <si>
    <t>LUZ DEL SUR / INLAND Total</t>
  </si>
  <si>
    <t>L. MALPASO - JUNÍN -CARHUAMAYO - LINEA L-6501</t>
  </si>
  <si>
    <t>KALLPA GENERACION</t>
  </si>
  <si>
    <t>L. COBRIZA I - COBRIZA II - LINEA L-6602</t>
  </si>
  <si>
    <t>25.03.2018</t>
  </si>
  <si>
    <t>C.T. Sto Domingo de los Olleros</t>
  </si>
  <si>
    <t>12:00</t>
  </si>
  <si>
    <t>19:30</t>
  </si>
  <si>
    <t>11:15</t>
  </si>
  <si>
    <t>20:30</t>
  </si>
  <si>
    <t>23:00</t>
  </si>
  <si>
    <t>15:00</t>
  </si>
  <si>
    <t>19:45</t>
  </si>
  <si>
    <t>11:45</t>
  </si>
  <si>
    <t>15:45</t>
  </si>
  <si>
    <t>19:00</t>
  </si>
  <si>
    <t>11:30</t>
  </si>
  <si>
    <t>Máxima Demanda Mensual:</t>
  </si>
  <si>
    <t>LUZ DEL SUR</t>
  </si>
  <si>
    <t>C.S. RUBI  (1)</t>
  </si>
  <si>
    <t>C.E. WAYRA I  (2)</t>
  </si>
  <si>
    <t>C.H. RENOVANDES H1  (4)</t>
  </si>
  <si>
    <t>(4) Ingreso a operación comercial de la C.H. Renovandes H1, propiedad de EMPRESA DE GENERACIÓN ELÉCTRICA SANTA ANA S.A. a partir del 20.03.2018</t>
  </si>
  <si>
    <t xml:space="preserve">SANTA ANA </t>
  </si>
  <si>
    <t>agua</t>
  </si>
  <si>
    <t xml:space="preserve">(5) Ingreso a operación comercial de la TV de la C.T. Sto. Domingo de los Olleros propiedad de TERMOCHILCA a partir del 25.03.2018
</t>
  </si>
  <si>
    <t>(6)  Ingreso a operación comercial de la de la C.S. Intipampa, propiedad de ENGIE ENERGÍA PERU S.A. a partir del 31.03.2018</t>
  </si>
  <si>
    <t>(3) La empresa LUZ DEL SUR S.A.A. Transfiere la titularidad de sus instalaciones de generación a la empresa INLAND ENERGY S.A.C.</t>
  </si>
  <si>
    <t>C.T. OLLEROS (5)</t>
  </si>
  <si>
    <t>C.S. INTIPAMPA  (6)</t>
  </si>
  <si>
    <t>C.H. RENOVANDES H1</t>
  </si>
  <si>
    <t>C.S. INTIPAMPA</t>
  </si>
  <si>
    <t>C.H. Renovandes H1</t>
  </si>
  <si>
    <t>C.S. Intipampa</t>
  </si>
  <si>
    <t>138 120 
Módulos</t>
  </si>
  <si>
    <t>31.03.2018</t>
  </si>
  <si>
    <t>20.03.2018</t>
  </si>
  <si>
    <t>G1</t>
  </si>
  <si>
    <t>Turbina Pelton</t>
  </si>
  <si>
    <t>Central Hidroeléctrica</t>
  </si>
  <si>
    <t>(7) La empresa HIDROELÉCTRICA MARAÑON S.R.L. cambia su denominación social a CELEPSA RENOVABLES S.R.L.</t>
  </si>
  <si>
    <t>CELEPSA RENOVABLES Total</t>
  </si>
  <si>
    <t>CELEPSA RENOVABLES  (7)</t>
  </si>
  <si>
    <r>
      <t>144,48</t>
    </r>
    <r>
      <rPr>
        <vertAlign val="superscript"/>
        <sz val="7"/>
        <rFont val="Arial"/>
        <family val="2"/>
      </rPr>
      <t>(1)</t>
    </r>
  </si>
  <si>
    <t>(1) El valor de potencias efectivas de la C.S. Rubí y C.S. Intipampa corresponden a la potencia instalada nominal declarada en la fecha de ingreso de operación comercial</t>
  </si>
  <si>
    <r>
      <t>44,54</t>
    </r>
    <r>
      <rPr>
        <vertAlign val="superscript"/>
        <sz val="7"/>
        <color theme="1"/>
        <rFont val="Arial"/>
        <family val="2"/>
      </rPr>
      <t>(1)</t>
    </r>
  </si>
  <si>
    <t>(**) La empresa HIDROELÉCTRICA MARAÑON S.R.L. cambia su denominación social a CELEPSA RENOVABLES S.R.L.</t>
  </si>
  <si>
    <t>CELEPSA RENOVABLES (**)</t>
  </si>
  <si>
    <t>LUZ DEL SUR / INLAND (*)</t>
  </si>
  <si>
    <t>(2) Valor referido a la potencia instalada de la Turbina de vapor de la C.T. Sto. Domingo de los Olleros.</t>
  </si>
  <si>
    <t xml:space="preserve">(3) Valor de 103,95 MW corresponde al aumento de potencia efectiva de la central Sto. Domigo de los Olleros debido al ingreso de la Turbina de Vapor, el valor de la potencia efectiva del modo ciclo combinado (TG+TV) es de 305,32 MW. </t>
  </si>
  <si>
    <r>
      <t>123,61</t>
    </r>
    <r>
      <rPr>
        <vertAlign val="superscript"/>
        <sz val="7"/>
        <rFont val="Arial"/>
        <family val="2"/>
      </rPr>
      <t>(2)</t>
    </r>
  </si>
  <si>
    <r>
      <t>103,95</t>
    </r>
    <r>
      <rPr>
        <vertAlign val="superscript"/>
        <sz val="7"/>
        <rFont val="Arial"/>
        <family val="2"/>
      </rPr>
      <t>(3)</t>
    </r>
  </si>
  <si>
    <t>Gráfico N°13: Evolución semanal del volumen de las lagunas de ENEL durante los años 2016 - 2018</t>
  </si>
  <si>
    <t>Gráfico N°14: Evolución semanal del volumen del lago JUNÍN durante los años 2016 - 2018</t>
  </si>
  <si>
    <t>Gráfico N°15: Evolución semanal del volumen de los embalses de EGASA durante los años 2016 - 2018.</t>
  </si>
  <si>
    <t>Gráfico N°16: Evolución del promedio semanal de caudales de los ríos SANTA, CHANCAY y PATIVILCA en los años 2015 - 2018.</t>
  </si>
  <si>
    <t>Gráfico N°17: Evolución del promedio semanal de caudales de los ríos RÍMAC y SANTA EULALIA en los años 2015 - 2018.</t>
  </si>
  <si>
    <t>Gráfico N°18: Evolución del promedio semanal de caudales de los ríos MANTARO, TULUMAYO y TARMA  en los años 2015 - 2018.</t>
  </si>
  <si>
    <t>Gráfico N°19: Evolución del promedio semanal de caudales de las cuencas CHILI, ARICOTA, VILCANOTA Y SAN GABÁN en los años 2015 - 2018.</t>
  </si>
  <si>
    <t>Gráfico N°24: Porcentaje de participación por tipo de causa en el número de fallas.</t>
  </si>
  <si>
    <t>Gráfico N°25: Comparación en el número de fallas por tipo de equipo.</t>
  </si>
  <si>
    <t>TV</t>
  </si>
  <si>
    <t xml:space="preserve">(*) Valor de 103,95 MW corresponde al aumento de potencia efectiva de la central Sto. Domigo de los Olleros debido al ingreso de la Turbina de Vapor, el valor de la potencia efectiva del modo ciclo combinado (TG+TV) es de 305,32 MW. </t>
  </si>
  <si>
    <t>Turbina de Vapor</t>
  </si>
  <si>
    <t>1.1. Producción de energía eléctrica en abril 2018 en comparación al mismo mes del año anterior</t>
  </si>
  <si>
    <t>abril</t>
  </si>
  <si>
    <t xml:space="preserve">El total de la producción de energía eléctrica de la empresas generadoras integrantes del COES en el mes de abril 2018 fue de 4 207,90  GWh, lo que representa un incremento de 244,16 GWh (6,16%) en comparación con el año 2017.	</t>
  </si>
  <si>
    <t>La producción de electricidad con centrales hidroeléctricas durante el mes de abril 2018 fue de 3 012,52 GWh (16,96% mayor al registrado durante abril del año 2017).</t>
  </si>
  <si>
    <t>La producción de electricidad con centrales termoeléctricas durante el mes de abril 2018 fue de 1 022,20 GWh, 19,89% menor al registrado durante abril del año 2017. La participación del gas natural de Camisea fue de 22,99%, mientras que las del gas que proviene de los yacimientos de Aguaytía y Malacas fue del 0,67%, la producción con diesel, residual, carbón, biogás y bagazo tuvieron una intervención del 0,20%, 0,00%, 0,16%, 0,09%, 0,18% respectivamente.</t>
  </si>
  <si>
    <t>La producción de energía eléctrica con centrales eólicas fue de 92,97 GWh y con centrales solares fue de 19,09 GWh, los cuales tuvieron una participación de 2,73% y 1,38% respectivamente.</t>
  </si>
  <si>
    <t>ABRIL 2018</t>
  </si>
  <si>
    <t>ABRIL 2017</t>
  </si>
  <si>
    <t xml:space="preserve">C.S. PANAMERICANA </t>
  </si>
  <si>
    <t>C.S. MOQUEGUA</t>
  </si>
  <si>
    <t>Desconectó la línea L-6501 (Carhuamayo – Junín) de 50 kV, cuya causa no fue informada por STATKRAFT, titular de la línea. El sistema de protección señalizó la activación de la función de sobre corriente direccional (67/67N). Como consecuencia se interrumpió el suministro de la S.E. Junín con un total de 0,31 MW. A las 09:51 h, se conectó la línea y se inició la normalización del suministro interrumpido.</t>
  </si>
  <si>
    <t>ELECTRO NORTE</t>
  </si>
  <si>
    <t>L. CUTERVO - NUEVA JAÉN - LINEA L-1138</t>
  </si>
  <si>
    <t>Desconectó la línea L-1138 (Cutervo - Nueva Jaén) de 138 kV, cuya causa no fue informada por ELECTRO ORIENTE, titular de la línea. El sistema de protección señalizo la activación de la función de distancia (21). Como consecuencia se interrumpió el suministro de la S.E. Nueva Jaén con un total de 15,73 MW. A las 19:01 h, se conectó la línea. A las 19:18 h, desconectó nuevamente la línea, al momento en que se realizaban las maniobras de energización del transformador de 138/60 kV de la S.E. Nueva Jaén. A las 19:35 h, se conectó la línea y se inició la normalización del suministro interrumpido.</t>
  </si>
  <si>
    <t>L. KALLPA - CHILCA - LINEA L-2097</t>
  </si>
  <si>
    <t>Desconectó las líneas L-2097 y L-2098 (Chilca REP – Kallpa) de 220 kV. Como consecuencia desconectó la C.T. Kallpa con una generación de 454,00 MW, la frecuencia del SEIN disminuyó a 59,203 Hz, activándose el Esquema de Rechazo Automático de Carga por Mínima Frecuencia (ERACMF) que interrumpió un total de 109.52 MW, aproximadamente. A las 11:04 h, sincronizó la unidad TG1 de la C.T. Pisco. A las 11:09 h, sincronizó la C.T. Las Flores. A las 11:18 h, sincronizó la unidad TG2 de la C.T. Chilca Uno. A las 11:21 h, sincronizó la unidad TG3 de la C.T. Chilca Uno. A las 11:22 h, el CCO-COES coordinó la recuperación de los suministros interrumpidos. A las 11:53 y 11:56 h, se conectó las líneas L-2097 y L-2098, respectivamente.</t>
  </si>
  <si>
    <t>L. TRUJILLO NORTE - MOTIL - LINEA L-1115</t>
  </si>
  <si>
    <t>Desconectó la línea L-1115 (Trujillo Norte - Motil) de 138 kV, por falla bifásica entre las fases “R” y “S”. De acuerdo a lo informado por HIDRANDINA, titular de la línea, la falla se produjo por perdida de aislamiento por quema de caña entre las estructuras N° 36 y 37. El sistema de protección señalizo la activación de la función de distancia (21). El sistema de protección detecto la falla a una distancia de 10,80 km de la S.E. Trujillo Norte. Como consecuencia, se interrumpió el suministro de la S.E. Motil con 2,41 MW. A las 13:20 h, se conectó la línea y se inicio la normalización del suministro interrumpido.</t>
  </si>
  <si>
    <t>L. CACHIMAYO - DOLORESPATA - LINEA L-1003</t>
  </si>
  <si>
    <t>Se produjo el recierre el exitoso de la línea L-1003 (Cachimayo - Dolorespata) de 138 kV, en la fase “R”, por falla. De acuerdo a lo informado por EGEMSA, titular de la línea, la falla se produjo por descargas atmosféricas. No se produjo interrupción de suministros en el SEIN. El usuario libre INCASA reporto la reducción de su carga en 4,10 MW. A las 15:09 h, el CCO-COES coordinó con el CC-EGM recuperar la carga del usuario libre INCASA.</t>
  </si>
  <si>
    <t>L. MACHUPICCHU - QUENCORO - LINEA L-1002</t>
  </si>
  <si>
    <t>Desconectó la línea L-1002 (Machupicchu – Quencoro) de 138 kV, por falla bifásica a tierra entre las fases “R” y “T”. De acuerdo a lo informado por EGEMSA, titular de la línea, la falla se produjo por descargas atmosféricas. El sistema de protección señalizó la activación de la función de distancia (21) y ubicó la falla a una distancia de 12,20 km de la S.E. Quencoro. Asimismo, desconectó la celda CL-1004 (Dolorespata – Quencoro) de 138 kV en la S.E. Dolorespata, cuya causa no ha sido informada por EGEMSA, titular de la celda. No se produjo interrupción de suministros en el SEIN. El usuario libre INDUSTRIAS CACHIMAYO, reporto la reducción de su carga en 21,20 MW. A las 15:33 h, el CCO-COES coordinó con el CC-EGM recuperar la carga del usuario libre INCASA. A las 16:30 h y 16:31 h, se conectaron las líneas L-1004 y L-1002, respectivamente. Cabe resaltar que para la conexión de las líneas se tuvo que bajar la generación de la C.H. Machupicchu, para conseguir condiciones de ángulo.</t>
  </si>
  <si>
    <t>Desconectó la línea L-6024 (Azángaro - Putina) de 60 kV, por monofásica a tierra en la fase “T”. De acuerdo con lo informado por ELECTRO PUNO, titular de la línea, la falla se produjo por fuertes vientos. El sistema de protección señalizó la activación de la función diferencial (87). Como consecuencia se interrumpió el suministro de las subestaciones Ananea y Huancané con un total de 7,07 MW. A las 04:11 h, se conectó la línea y se inició la normalización del suministro interrumpido.</t>
  </si>
  <si>
    <t>L. PIURA OESTE - PAITA - LINEA L-6654</t>
  </si>
  <si>
    <t>Desconectaron las líneas L-6654 (Piura Oeste – Paita), L-6659 (Paita – Tierra Colorada) y L-6660 (Tablazo – Paita) de 60 kV, por falla. De acuerdo con lo informado por ENOSA, titular de las líneas, la falla se produjo por el desprendimiento de la ménsula y desprendimiento de las fases “R”, “S” y “T” de la línea L-6659. El sistema de protección de la línea L-6659 señalizó la activación de la función de distancia (21). El sistema de protección de las líneas L-6654 y L-6660 señalizó la activación de la función de sobre corriente (50/51). Como consecuencia se interrumpió el suministro de las subestaciones Paita, Tierra Colorada y El Arenal con un total de 32,24 MW. A las 09:17 h, se conectó la línea L-6654 y se inició la normalización del suministro interrumpido.</t>
  </si>
  <si>
    <t>L. MOROCOCHA - CARLOS FRANCISCO - LINEA L-6533</t>
  </si>
  <si>
    <t>Desconectaron las líneas L-6532 y L-6533 (Morococha – Carlos Francisco) de 50 kV, por falla monofásica a tierra en la fase “T”, simultaneas. De acuerdo con lo informado por STATKRAFT, titular de las líneas, la falla se produjo por descargas atmosféricas. El sistema de protección señalizó la activación de la función de distancia (21). El sistema de protección detecto la falla a una distancia de 7,10 km de la S.E. Nueva Morococha. Como consecuencia se interrumpió el suministro de las subestaciones Casapalca, Carlos Francisco, Antuquito, Bellavista, Ticlio y San Mateo con un total de 27,27 MW. A las 12:37 h, se conectaron las líneas y se inició la normalización del suministro interrumpido.</t>
  </si>
  <si>
    <t>L. PARAGSHA II - HUÁNUCO - LINEA L-1120</t>
  </si>
  <si>
    <t>Desconectó la línea L-1120 (Amarilis - Paragsha 2) de 138 kV, por falla monofásica a tierra en la fase "R". De acuerdo con lo informado por REP, titular de la línea, la falla se produjo por descargas atmosféricas. atmosféricas. Cabe resaltar, que en el lado de la S.E. Amarillis no se activo el ciclo de recierre, quedando la línea tensionada desde el lado de la S.E. Paragsha 2. El sistema de protección señalizó la activación de la función de distancia (21) y ubicó la falla a una distancia de 21,5 km de la S.E. Paragsha II. Como consecuencia se interrumpió el suministro de la S.E. Huánuco con un total de 15,15 MW, asimismo, desconectó P.C.H. Chaglla cuando generaba 6,29 MW. A las 16:16 h, se conectó la línea L-1120. A las 16:17 h se conectó la línea L-1144 y se inició la normalización del suministro interrumpido.</t>
  </si>
  <si>
    <t>ETESELVA</t>
  </si>
  <si>
    <t>L. AGUAYTÍA - TINGO MARÍA - LINEA L-2251</t>
  </si>
  <si>
    <t>Desconectó la línea L-2251 (Aguaytía - Tingo María) de 220 KV, por falla monofásica a tierra en la fase “S”. De acuerdo con lo informado por ORAZUL ENERGY, titular de la línea, la falla se produjo por descargas atmosféricas. Como consecuencia se interrumpió el suministro de las subestaciones Pucallpa, Yarinacocha, Parque Industrial y Aguaytía con un total de 44,57 MW. A las 22:45 h, se conectó la línea L-2251 y se inició la normalización del suministro interrumpido.</t>
  </si>
  <si>
    <t>Desconectó la línea L-6602 (Cobriza I - Cobriza II) de 69 kV, por falla monofásica a tierra en la fase “R”. De acuerdo con lo informado por STATKRAFT, titular de la línea, la falla se produjo por descargas atmosféricas. El sistema de protección señalizo la activación de la función de distancia (21). Seguidamente a los 34 segundos, desconectó la línea L-6603 (Mollepata - Huanta) por actuación de su protección de sobrecorriente en el extremo de Mollepata. Como consecuencia se interrumpió el suministro de la S.E. Cobriza II con 10,24 MW y los suministros de las subestaciones Machahuay y Huanta con 1,88 MW. A las 00:10 h, se conectó la línea L-6602 y se inició la normalización del suministro interrumpido en la S.E. Cobriza II. A las 00:10 h, se conectó la línea L-6061 y se inició la normalización del suministro interrumpido de la S.E. Machahuay y Huanta.
Electrocentro informo que el ajuste de sobrecorriente de la línea L-6603 no estaba de acuerdo al Estudio, se corrigió el ajuste.</t>
  </si>
  <si>
    <t>Desconectó la línea L-6602 (Cobriza I - Cobriza II) de 69 kV, por falla monofásica a tierra en la fase “S”. De acuerdo con lo informado por STATKRAFT, titular de la línea, la falla se produjo por descargas atmosféricas. El sistema de protección señalizo la activación de la función de sobrecorriente direccional a tierra (67N). Seguidamente a los 12 segundos, desconectó la línea L-6603 (Mollepata - Huanta) por actuación de su protección de sobrecorriente en el extremo de Mollepata. Como consecuencia se interrumpió el suministro de la S.E. Cobriza II con 10,24 MW y los suministros de las subestaciones Machahuay y Huanta con 1,88 MW. A las 23:37 h, se conectó la línea L-6602 y se inició la normalización del suministro interrumpido en la S.E. Cobriza II. A las 23:40 h, se conectó la línea L-6061 y se inició la normalización del suministro interrumpido de la S.E. Machahuay y Huanta. Electrocentro informo que el ajuste de sobrecorriente de la línea L-6603 no estaba de acuerdo al Estudio, se corrigió el ajuste.</t>
  </si>
  <si>
    <t>L. CAMPO ARMIÑO - POMACOCHA - LINEA L-2201</t>
  </si>
  <si>
    <t>Se produjo el recierre exitoso en las líneas L-2201 y L-2202 (Pomacocha – Campo Armiño) de 220 kV, en la fase “R”, por fallas monofásicas simultaneas. De acuerdo con lo informado por REP, titular de la línea, la falla se produjo por descargas atmosféricas. El sistema de protección señalizó la activación de la función de distancia (21). No se produjo interrupción de suministros en el SEIN. El usuario libre Minera las Bambas reporto la reducción de carga en 15,00 MW. A las 01:27 h, el CCO-COES coordinó con el CC-BAM recuperar su carga reducida.</t>
  </si>
  <si>
    <t>EMPRESA DE GENERACION ELECTRICA SANTA ANA</t>
  </si>
  <si>
    <t>S.E. LA VIRGEN - TRAFO TE4</t>
  </si>
  <si>
    <t>Desconectó el transformador TE4 de 138/60 kV de la S.E. La Virgen, por falla. De acuerdo con lo informado por EMPRESA DE GENERACIÓN ELÉCTRICA SANTA ANA, titular del equipo, la falla se produjo por sobrepresión en el transformador. Como consecuencia, desconectó el grupo G2 de la C.H. Simsa y la carga de la S.E. Chanchamayo y San Vicente 2, fue asumida por las CC.HH. Renovandes H1 y el grupo G1 de la C.H. Simsa. A las 13:55 h, desconectó la C.H. Renovandes H1 y el grupo G1 de la C.H. Simsa por la activación de la función de mínima potencia (37) y se interrumpió el suministro de la S.E. Chanchamayo y San Vicente con un total de 3,71 MW. A las 14:20 h, se conectó el transformador y se inició la normalización del suministro interrumpido. A las 14:51 h y 15:13 h, sincronizaron las centrales Renovandes H1 y Simsa con el SEIN, respectivamente.</t>
  </si>
  <si>
    <t>Desconectó la línea L-2192 (Cajamarca Norte - Caclic) de 220 kV, por falla bifásica a tierra en las fases "S” y "T”. De acuerdo con lo informado por CONCESIONARIA LÍNEA DE TRANSMISIÓN CCNCM, titular de la línea, la falla se produjo por acercamiento de árbol a la línea. El sistema de protección señalizó la activación de la función diferencial de línea (87) y ubicó la falla a una distancia de 93,4 km de la S.E. Cajamarca Norte, asimismo, desconectó la línea L-2194 (Caclic – Belaunde Terry) de 220 kV y el autotransformador AT3201 de la S.E. Caclic. Como consecuencia desconectó la línea L-6091 (Moyobamba – Rioja) de 60 kV por actuación de su esquema de mínima tensión y se interrumpió el suministro de la S.E. Rioja, Cementos Selva y Nueva Cajamarca con un total de 4,40 MW. Asimismo, el usuario libre Minera Yanacocha redujo su carga en 13,38 MW. A las 14:23 h, el CCO-COES coordinó con el CC-EOR normalizar el total de suministros interrumpidos. A las 14:25 h, el CCO-COES coordinó con el CC-YAN recuperar el total de su carga reducida. A las 14:30 h, 14:36 y 14:40 h, se conectaron las líneas L-2192, L-2194 y el autotransformador AT-4201 de la S.E. Belaunde Terry, respectivamente, cerrando el anillo Cajamarca Norte - Caclic - Belaunde Terry.</t>
  </si>
  <si>
    <t>Se produjo el recierre exitoso en las líneas L-2192 (Cajamarca Norte - Caclic) de 220 kV, en la fase “R”, por falla. De acuerdo con lo informado por CONCESIONARIA LÍNEA DE TRANSMISIÓN CCNCM, titular de la línea, la falla se produjo por acercamiento de vegetación a la línea. El sistema de protección señalizó la activación de la función diferencial de línea (87). Asimismo, desconectó el autotransformador AT-3201 de la S.E. Cáclic por la actuación de su protección diferencial (87). Como consecuencia desconectó la línea L-6091 (Moyobamba – Rioja) de 60 kV por actuación de su esquema de mina tensión y se interrumpió el suministro de la S.E. Rioja, Cementos Selva y Nueva Cajamarca con un total con un total de 10,73 MW. El usuario libre Minera Yanacocha redujo su carga en 12,88 MW. A las 15:39 h, el CCO-COES coordinó con el CC-YAN recuperar el total de su carga reducida. A las 15:39 h, se conectó la línea L-6091 y se inició la normalización del suministro interrumpido. A las 15:50 h, se conectó el autotransformador AT-3201 de la S.E. Caclic.</t>
  </si>
  <si>
    <t xml:space="preserve">Desconectó el transformador TE4 de 138/60 kV de la S.E. La Virgen, por falla. De acuerdo con lo informado por EMPRESA DE GENERACIÓN ELÉCTRICA SANTA ANA, titular del equipo, la falla se produjo por sobrepresión en el transformador. Como consecuencia, desconectó el grupo G2 de la C.H. Simsa y la carga de la S.E. Chanchamayo y San Vicente 2, fue asumida por las CC.HH. Renovandes y el grupo G1 de la C.H. Simsa. A las 00:12 h del 07.04.2018, se desconectó manualmente la carga de la S.E. Chanchamayo con un total de 3,41 MW, como maniobra para la conexión del transformador TE4 de la S.E. La Virgen, la carga de Simsa quedo operando con su generación. A las 00:13 h del 07.04.2018, se conectó el transformador y se inició la normalización del suministro interrumpido. </t>
  </si>
  <si>
    <t>Desconectaron las líneas L-6532 y L-6533 (Morococha – Carlos Francisco) de 50 kV, por falla monofásica a tierra en la fase “S”. De acuerdo con lo informado por STATKRAFT, titular de la línea, la falla se produjo por descargas atmosféricas. El sistema de protección señalizó la activación de la función de distancia (21). El sistema de protección detecto la falla a una distancia de 7,10 km de la S.E. Nueva Morococha. Como consecuencia se interrumpió el suministro de la S.E. Ticlio con 3,80 MW. A las 17:22 h, se conectó la línea y se inició la normalización del suministro interrumpido.</t>
  </si>
  <si>
    <t>L. COBRIZA I - PAMPAS - LINEA L-6066</t>
  </si>
  <si>
    <t>Desconectó la línea L-6066 (Cobriza I - Pampas) de 69 kV, por falla monofásica a tierra en la fase “T”. De acuerdo con lo informado por ELECTROCENTRO, titular de la línea, la falla se produjo por descargas atmosféricas en la zona. El sistema de protección señalizó la activación de la función de sobre corriente de fase a tierra (51N). Como consecuencia se interrumpió el suministro de la S.E. Pampas con un total de 1,04 MW. A las 17:49 h, se conectó la línea y se inició la normalización del suministro interrumpido.</t>
  </si>
  <si>
    <t>Desconectó la línea L-6066 (Cobriza I - Pampas) de 69 kV, por falla. De acuerdo con lo informado por ELECTROCENTRO, titular de la línea, la falla se produjo por descargas atmosféricas en la zona. El sistema de protección señalizó la activación de la función de sobre corriente de fase a tierra (51N). Como consecuencia se interrumpió el suministro de la S.E. Pampas con un total de 1,50 MW. A las 18:31 h, se conectó la línea y se inició la normalización del suministro interrumpido.</t>
  </si>
  <si>
    <t>L. CHIMBOTE SUR - NEPEÑA - LINEA L-1112</t>
  </si>
  <si>
    <t>Desconectó la línea L-1112 (Chimbote Sur - Nepeña) de 138 kV, por falla bifásica a tierra en las fases “S” y “T”. De acuerdo con lo informado por HIDRANDINA, titular de la línea, la falla se produjo por el desprendimiento y contacto del cable de telefonía con la línea. El sistema de protección señalizó la activación de la función de distancia (21) y ubicó la falla a una distancia de 2,3 km de la S.E. Chimbote Sur. Como consecuencia se interrumpió el suministro de las subestaciones Nepeña, Casma y San Jacinto con un total de 10,40 MW. A las 15:14 h, se conectó la línea y se inició la normalización del suministro interrumpido.</t>
  </si>
  <si>
    <t>SEAL</t>
  </si>
  <si>
    <t>L. MARCONA - BELLA UNIÓN - LINEA L-6672</t>
  </si>
  <si>
    <t>Desconectó la línea L-6672 (Marcona - Bella Unión) de 60 kV por falla monofásica a tierra en la fase “R”, cuya causa no fue informada por SEAL, titular de la línea. El sistema de protección señalizó la activación de la función de distancia (21). Como consecuencia se interrumpió el suministro de la S.E. Bella Unión con un total de 8,10 MW. A las 12:04 h, se conectó la línea y se inició la normalización del suministro interrumpido.</t>
  </si>
  <si>
    <t>S.E. TOCACHE - BARRA BARRA22.9</t>
  </si>
  <si>
    <t>Se produjo la desconexión de la barra de 22,9 kV de la S.E. Tocache, por falla en el alimentador L-1043 de 22,9 kV de la empresa Industrias el Espino, de acuerdo a lo informado por REP, titular de la subestación. Como consecuencia se interrumpió el suministro de la S.E. Tocache con 3,00 MW. A las 17:50 h, se energizó la barra de 22,9 kV, con lo cual se inicio la normalización del suministro interrumpido.</t>
  </si>
  <si>
    <t>Desconectó la línea L-2251 (Aguaytía - Tingo María) de 220 kV, por falla monofásica a tierra en la fase “S”. De acuerdo con lo informado por ETESELVA, titular de la línea, la falla se produjo por descargas atmosféricas. El sistema de protección señalizó la activación de la función de distancia (21) y ubicó la falla a una distancia de 28,5 km de la S.E. Aguaytía. Como consecuencia se interrumpió el suministro de las subestaciones Aguaytía y Pucallpa con un total de 27,13 MW. A las 03:49 h, se conectó la línea L-2251 y se inició la normalización del suministro interrumpido en la S.E. Aguaytía. A las 03:53 h, se conectó la línea L-1125 y se inició la normalización del suministro interrumpido en la S.E. Pucallpa.</t>
  </si>
  <si>
    <t>L. PACHACHACA - MAHR TÚNEL - LINEA L-6526</t>
  </si>
  <si>
    <t>Desconectó la línea L-6526 (Pachachaca - Mahr Túnel) de 50 kV, por falla monofásica a tierra en la fase “T”. De acuerdo con lo informado por STATKRAFT, titular de la línea, la falla se produjo por acercamiento de grúa a la línea. El sistema de protección señalizó la activación de la función de sobre corriente direccional de tierra (67N). Como consecuencia se interrumpió el suministro de la S.E. Mahr Túnel con un total de 0.41 MW. A las 16:25 h, se conectó la línea y se inició la normalización del suministro interrumpido.</t>
  </si>
  <si>
    <t>Desconectó la línea L-6646 (Guadalupe - Chepén) de 60 kV, por falla monofásica a tierra en la fase “R”. De acuerdo con lo informado por HIDRANDINA, titular de la línea, la falla se produjo por contacto de ave. El sistema de protección señalizó la activación de la función diferencial (87) y ubicó la falla a una distancia de 5,18 km de la S.E. Chepén. Como consecuencia se interrumpió el suministro de la S.E. Chepén con un total de 8,28 MW, el usuario libre Cementos Pacasmayo reporto la reducción de su carga en 2,49 MW. A las 15:12 h, el CCO-COES coordinó con el CC-CNP, recuperar su carga reducida. A las 15:18 h, se conectó la línea y se inició la normalización del suministro interrumpido.</t>
  </si>
  <si>
    <t>Desconectó la línea L-2251 (Aguaytía - Tingo María) de 220 kV, por falla. De acuerdo con lo informado por ETESELVA, titular de la línea, la falla se produjo por la caída de la torre T-49 debido a actos vandálicos. Como consecuencia se interrumpió el suministro de las subestaciones Aguaytía y Pucallpa con un total de 26,78 MW. A las 00:21 h, sincronizó la C.T.R.F. de Pucallpa para operar en sistema aislado, con lo cual se inició la normalización del suministro interrumpido en la S.E. Pucallpa. A las 09:48 h, el CCO-COES coordinó con el CC-EUC el rechazo de 1,20 MW de carga en la S.E. Pucallpa debido a la falta de capacidad de generación de la C.T.R.F. de Pucallpa. A las 11:11 h, el CCO-COES coordinó con el CC-EUC normalizar el total del suministro interrumpido. A las 13:06 h, se energiza la línea L-1125 en serie con el reactor R-11 desde la SE Pucallpa. A las 13:35 h, se normalizó el suministro interrumpido de la SE Aguaytía. A las 17:51 h, sincronizó la unidad TG1 de la C.T. Aguaytía con una generación de 6,50 MW con el sistema aislado.</t>
  </si>
  <si>
    <t>L. CHILCA - OLLEROS 500 - LINEA L-5013</t>
  </si>
  <si>
    <t>Desconectó la línea L-5013 (Chilca – C.T. Olleros) de 500 kV, por falla. De acuerdo con lo informado por TRANSMANTARO, titular de la línea, la falla se produjo por error en la conexión de los circuitos secundarios del TC de la protección de respaldo. El sistema de protección señalizó la activación de la función diferencial de línea (87). Como consecuencia desconectó la C.T. Santo Domingo de Olleros, cuando generaba 289,70 MW y la frecuencia del SEIN descendió de 60,09 Hz a 59,18 Hz, activando el Esquema de Rechazo Automático de Carga por Mínima Frecuencia (ERACMF), rechazando un total de 170,99 MW. Cabe resaltar que la central se encontraba operando en ciclo combinado por pruebas de confiabilidad. A las 11:00 h, se inició la normalización del suministro interrumpido. A las 13:36 h, se conectó la línea.</t>
  </si>
  <si>
    <t>ELECTRO UCAYALI</t>
  </si>
  <si>
    <t>S.E. PUCALLPA - SSEE SS.EE.</t>
  </si>
  <si>
    <t>A las 10:40 h y 10:41 h, el CCO-COES coordinó con el CC-KAL y CC-EDG, respectivamente, ejecutar el rechazo manual de carga de 4,00 MW de sus usuarios libres, en las subestaciones Pucallpa y Aguaytía, debido al déficit de generación que se presentó en el sistema aislado. A las 10:44 h, el CCO-COES coordinó con el CC-EUC ejecutar el rechazo de 0,50 MW de sus usuarios regulados en la S.E. Pucallpa. A las 10:49 h, el CC-EUC ejecutó un total 0,88 MW de rechazo manual de carga. A las 11:01 h, el CCO-COES coordinó con el CC-EUC abrir el alimentador del usuario libre Real Plaza, debido a la demora en el RMC. A las 11:03 h, el CCO-COES coordinó con el CC-EUC normalizar el total de la carga correspondiente a sus usuarios regulados. A las 11:14 h, el CCO-COES coordinó con el CC-EUC abrir los alimentadores de los usuarios libres Open Plaza y Tottus por demora en el RMC. A las 12:02 h, el CCO-COES coordinó con el CC-EUC reconectar el alimentador del usuario libre Real Plaza. A las 12:14 h, se coordinó con el CC-EUC reconectar los alimentadores de los usuarios libres Open Plaza y Tottus.</t>
  </si>
  <si>
    <t>C.T. AGUAYTÍA - GT TG1</t>
  </si>
  <si>
    <t xml:space="preserve">Desconectó la unidad TG1 de la C.T. Aguaytía cuando generaba 6,50 MW, por falla debido a pérdida de flama durante el incremento de generación a 14,50 MW, de acuerdo con lo informado por TERMOSELVA, titular de la unidad. Cabe resaltar que, durante el proceso de subida de generación, se presentaron oscilaciones de potencia. Como consecuencia se interrumpió el suministro de la S.E. Parque Industrial, Yarinacocha y Pucallpa EUC con un total de 8,88 MW por ERACMF. A las 16:38 h, el CCO-COES coordinó con el CC-EUC recuperar un total de 2,00 MW de sus suministros interrumpidos. A las 17:05 h, sincronizó la unidad TG1 de Aguaytía con una generación de 6,50 MW. A las 17:09 h, el CCO-COES coordinó con el CC-EUC normalizar el total de sus suministros interrumpidos. </t>
  </si>
  <si>
    <t>A las 09:15 h, el CCO-COES coordinó con el CC-KAL y CC-ENEL ejecutar el rechazo manual de carga de 4,89 MW de sus usuarios libres, en las subestaciones Pucallpa y Aguaytía, debido al déficit de generación que se presentó en el sistema aislado debido a la desconexión de la línea L-2251 (Tingo María – Aguaytía) de 220 kV. A las 09:28 h, el CC-EUC ejecutó un total 2,10 MW de rechazo manual de carga al usuario libre Cervecería San Juan. A las 10:38 h el CCO-COES coordinó con el CC-EUC desconectar gradualmente las cargas de los usuarios libres. A las 12:17 h, se normalizó el total de suministros interrumpidos.</t>
  </si>
  <si>
    <t>A las 14:02 h, el CCO-COES coordinó con el CC-KAL y CC-EDG ejecutar el rechazo manual de carga de 2,90 MW de sus usuarios libres en las subestaciones Pucallpa y Aguaytía, debido al déficit de generación que se presentó en el sistema aislado por la desconexión de la línea L-2251 (Tingo María – Aguaytía) de 220 kV. A las 14:28 h, el CCO-COES coordinó con el CC-EUC normalizar el suministro de los usuarios regulados. A las 15:23 h, el CC-IEP informó al CCO-COES que desconectaron 2 unidades de la C.T.R.F. de Pucallpa y solicitó rechazar carga adicional. A las 15:25 h, el CCO-COES coordinó con el CC-EUC rechazar el 100% de carga de los usuarios libres. A las 15:33 h, el CC-IEP informó al CCO-COES que desconectaron 2 unidades adicionales de la C.T.R.F. de Pucallpa y solicitó rechazar carga con urgencia por sobrecarga de sus unidades. A las 15:37 h, en coordinación CC-EUC y CC-IEP se rechazó 1,40 MW de carga de usuarios regulados. A las 17:18 h, el CCO-COES coordinó con el CC-EUC recuperar el 100% de la carga de usuarios regulados. A las 17:42 h, el CCO-COES coordinó con CC-KAL y CC-EDG recuperar el 100% de carga de usuarios libres.</t>
  </si>
  <si>
    <t>A las 18:03 h, el CCO-COES coordinó con el CC-KAL y CC-EDG ejecutar el rechazo manual de carga de 5,38 MW de sus usuarios libres en las subestaciones Pucallpa y Aguaytía debido al déficit de generación que se presentó en el sistema aislado por la desconexión de la línea L-2251 (Tingo María – Aguaytía) de 220 kV. A las 18:07 h, el CCO-COES coordinó con CC-ELU desconectar los alimentadores de todos los clientes libres de la S.E. Pucallpa que no ejecutaron el rechazo manual de carga. A las 18:08 h, CC-EUC confirmó que abrió todos los alimentadores de usuarios libres. A las 18:09 h, el CCO-COES coordinó con el CC-EUC ejecutar el rechazo de 4,20 MW de sus usuarios regulados en la S.E. Pucallpa. A las 18:11 h, el CC-EUC ejecutó un total 4,20 MW de rechazo manual de carga. A las 20:59 h, el CCO-COES coordinó con el CC-EUC normalizar el total de la carga correspondiente a sus usuarios regulados. A las 22:00 h, el CCO-COES coordinó con el CC-EUC recuperar el 100% de carga de los usuarios libres.</t>
  </si>
  <si>
    <t xml:space="preserve">Desconectó la línea L-6024 (Azángaro - Putina) de 60 kV, por falla. De acuerdo con lo informado por ELECTROPUNO, titular de la línea, la falla se produjo por fuertes vientos en la zona. El sistema de protección señalizó la activación de la función de diferencial de línea (87). Como consecuencia se interrumpió el suministro de las subestaciones Ananea y Huancané con un total de 6,04 MW. A las 04:01 h, se conectó la línea y se inició la normalización del suministro interrumpido. </t>
  </si>
  <si>
    <t>L. CARAZ - SANTA CRUZ - LINEA L-6690</t>
  </si>
  <si>
    <t>Desconectó la línea L-6690 (Caraz – Santa Cruz) de 66 kV, por falla monofásica a tierra en la fase “T”, cuya causa no fue informada por HIDRANDINA, titular de la línea. El sistema de protección señalizó la activación de la función de sobre corriente direccional a tierra (67N). Como consecuencia se interrumpió el suministro de las subestaciones Caraz y Carhuaz con un total de 3,62 MW. A las 04:26 h, se conectó la línea y se inició la normalización del suministro interrumpido.</t>
  </si>
  <si>
    <t>L. SIHUAS - TAYABAMBA - LINEA L-1133</t>
  </si>
  <si>
    <t>Desconectó la línea L-1133 (Sihuas - Tayabamba) de 138 kV, por falla. De acuerdo con lo informado por HIDRANDINA, titular de la línea, la falla se produjo por la desconexión de la línea L-1104 (Huallanca – Chimbote 1) de 138 kV. El sistema de protección señalizó la activación de la función de distancia (21). Como consecuencia se interrumpió el suministro de la S.E. Tayabamba con un total de 1,21 MW. A las 00:31 h, se conectó la línea y se inició la normalización del suministro interrumpido.</t>
  </si>
  <si>
    <t>L. CHIMBOTE 1 - HUALLANCA - LINEA L-1104</t>
  </si>
  <si>
    <t xml:space="preserve">Desconectó la línea L-1104 (Chimbote 1 - Huallanca) de 138 kV. por falla bifasica en las fases “S” y “T”. De acuerdo a lo informado por ETENORTE, titular de la línea, la falla se produjo por desprendimiento de la cadena de aisladores de la fase “T”, en la estructura E-187. El sistema de protección señalizó la activación de la función de distancia (21) y ubicó la falla a una distancia de 78,40 km de la S.E Huallanca. Como consecuencia el usuario libre SIDER PERÚ redujo su carga en 4,00 MW. A las 00:28 h, el CCO-COES coordinó con el CC-SID recuperar su carga reducida. No se produjo interrupción de suministros en el SEIN. A las 17:16 h, se conectó la línea. </t>
  </si>
  <si>
    <t>L. TRUJILLO NORTE - TRUJILLO NOROESTE - LINEA L-1139</t>
  </si>
  <si>
    <t>Desconectó la línea L-1139 (Trujillo Norte – Trujillo Noroeste) de 138 kV en el lado de la S.E. Trujillo Noroeste. De acuerdo a lo informado por Hidrandina, titular de la línea, la falla se produjo en la línea L-1150 (Trujillo Noroeste – Trujillo Sur) de 138 kV. El sistema de protección señalizó la activación de la función de distancia (21). Asimismo, desconectó la celda de la línea L-1150 (Trujillo Noroeste – Trujillo Sur) de 138 kV en la S.E. Trujillo Sur. Como consecuencia se interrumpió el suministro de las subestaciones Trujillo Noroeste, Trujillo Sur, Huaca del Sol, Virú y Chao con un total de 82,02 MW. A las 12:08 h, se conectó la línea L-1128 (Porvenir – Trujillo Sur) de 138 kV y se inició la normalización del suministro interrumpido. A las 12:47 h, se conectó la línea L-1139.</t>
  </si>
  <si>
    <t>S.E. COBRIZA II - SSEE SSEE</t>
  </si>
  <si>
    <t>Desconectó la S.E. Cobriza II de 69 kV. De acuerdo a lo informado por STATKRAFT, titular de la subestación, se activo el relé de bloqueo 86 por error humano, cuando se realizaba el seguimiento del cableado de protección de la celda de la línea L-6602. Como consecuencia se interrumpió el suministro de la S.E. Cobriza II con un total de 10,36 MW. A las 18:18 h, se conectó la subestación desde el lado de la S.E. Machahuay y se inicio la normalización del suministro interrumpido.</t>
  </si>
  <si>
    <t>Desconectó la línea L-2251 (Aguaytía – Tingo María) de 220 kV, por falla monofásica a tierra en la fase “T”. De acuerdo con lo informado por ETESELVA, titular de la línea, la falla se produjo por acercamiento de vegetación. El sistema de protección señalizó la activación de la función de distancia y ubicó la falla a una distancia de 21,80 km de la S.E. Aguaytía. Como consecuencia se interrumpió el suministro de las subestaciones Pucallpa EUC, Yarinacocha, Parque Industrial y Aguaytía con un total de 45,90 MW y desconectó la unidad TG2 de la C.T. Aguaytía cuando generaba 61,87 MW. A las 09:52 h, se conectó la línea y se inició la normalización del suministro interrumpido. A las 10:08 h, sincronizó la unidad con el SEIN.</t>
  </si>
  <si>
    <t>L. GUADALUPE - PACASMAYO PUEBLO - LINEA L-6653</t>
  </si>
  <si>
    <t>Desconectó la línea L-6653 (Guadalupe – Pacasmayo) de 60 kV, por falla. De acuerdo con lo informado por HIDRANDINA, titular de la línea, la falla se produjo por quema de montículos de paja de arroz en las inmediaciones de las torres T-29 y T-30. El sistema de protección señalizó la activación de la función de distancia (21) y ubicó la falla a una distancia de 8,18 km de la S.E. Guadalupe. Como consecuencia se interrumpió el suministro de la S.E. Pacasmayo con un total de 4,30 MW. A las 12:36 h, se conectó la línea y se inició la normalización del suministro interrumpido.</t>
  </si>
  <si>
    <t>L. INGENIO - CAUDALOSA - LINEA L-6644</t>
  </si>
  <si>
    <t>Desconectó la línea L-6644 (Ingenio - Caudalosa) de 60 kV, por falla bifásica entre las fases “S” y “T”. De acuerdo a lo informado por CONENHUA, titular de la línea, la falla se produjo por trabajos de explosiones por parte de la empresa MINERA KOLPA. El sistema de protección señalizó la activación de la función de distancia (21). El sistema de protección detecto la falla a una distancia de 18,15 km de la S.E. Ingenio. Como consecuencia se interrumpió el suministro de la S.E. Caudalosa con un total de 0,43 MW. A las 13:47 h, se conectó la línea y se normalizó el suministro interrumpido.</t>
  </si>
  <si>
    <t>Desconectó la línea L-6024 (Azángaro - Putina) de 60 kV, por falla monofásica a tierra en la fase “R”. De acuerdo con lo informado por ELECTRO PUNO, titular de la línea, la falla se produjo por fuertes vientos en la zona. El sistema de protección señalizó la activación de la función de sobre corriente (51). Como consecuencia se interrumpió el suministro de la S.E. Ananea y Huancané con un total de 4,68 MW. A las 20:49 h, se conectó la línea y se inició la normalización del suministro interrumpido.</t>
  </si>
  <si>
    <t>L. Derv. PUNTAYACU - LA VIRGEN - LINEA L-6089</t>
  </si>
  <si>
    <t>Desconectó la línea L-6089 (La Virgen - Chanchamayo) de 60 kV, por falla monofásica a tierra en la fase “R”, cuya causa no fue informada por EMPRESA DE GENERACIÓN ELÉCTRICA SANTA ANA y ELECTROCENTRO, titulares de la línea. El sistema de protección señalizo la activación de la función de distancia (21). El sistema de protección detecto la falla a una distancia de 10,80 km de la S.E. La Virgen. Como consecuencia desconectó la C.H. Renovandes con 19,95 MW y se interrumpió el suministro de la S.E. Chanchamayo con un total de 4,64 MW. A las 22:25 h, se conectó la línea y se inició la normalización del suministro interrumpido. A las 22:41 h, sincronizó la C.H. Renovandes con el SEIN.</t>
  </si>
  <si>
    <t>Desconectó la línea L-6024 (Azángaro - Putina) de 60 kV, por falla monofásica a tierra en la fase “R”. De acuerdo con lo informado por ELECTRO PUNO, titular de la línea, la falla se produjo por descargas atmosféricas. El sistema de protección señalizó la activación de la función de sobre corriente (51). Como consecuencia se interrumpió el suministro de la S.E. Ananea y Huancané con un total de 3,48 MW. A las 07:13 h, se conectó la línea y se inició la normalización del suministro interrumpido.</t>
  </si>
  <si>
    <t>Desconectó la línea L-6007 (Puno - Tucari) de 60 kV, por falla bifasica entre las fases “R” y “S”. De acuerdo con lo informado por MINERA ARUNTANI, titular de la línea, la falla se produjo por descargas atmosféricas. El sistema de protección señalizó la activación de la función de distancia (21). El sistema de protección detecto la falla a una distancia de 47,80 km de la S.E. Puno. Como consecuencia se interrumpió el suministro de la S.E. Tucari con un total de 4,98 MW aproximadamente. A las 18:55 h, se conectó la línea y se inició la normalización del suministro interrumpido.</t>
  </si>
  <si>
    <t>Desconectó la línea L-6645 (Guadalupe - Chepén) de 60 kV, por falla bifásica entre las fases “R” y “S”. De acuerdo a lo informado por HIDRANDINA, titular de la línea, la falla se produjo por actos vandálicos. Como consecuencia se interrumpió el suministro de la S.E. Chepén con 7,66 MW, asimismo el usuario libre Cementos Pacasmayo reporto la reduccion de su carga en 2,83 MW.A las 21:05 h y 22:51 h, el CC-HID realizo intentos de conexión de la línea L-6645, sin éxito, durante estas maniobras el usuario libre Cementos Pacasmayo redujo su carga nuevamente en 1,22 MW y 2,79 MW, respectivamente. La línea quedó fuera de servicio para su inspección. A las 00:12 h del 25.04.2018, se conectó la línea y se inicio la normalización del suministro interrumpido.</t>
  </si>
  <si>
    <t>Desconectó la línea L-6644 (Ingenio - Caudalosa) de 60 kV, por falla bifásica entre las fases “S” y “T”. De acuerdo a lo informado por CONENHUA, titular de la línea, la falla se produjo intensas nevadas en la zona. El sistema de protección señalizó la activación de la función de distancia (21). El sistema de protección detecto la falla a una distancia de 40,44 km de la S.E. Ingenio. Como consecuencia se interrumpió el suministro de la S.E. Caudalosa con un total de 0,67 MW. A las 07:41 h, se conectó la línea y se normalizó el suministro interrumpido.</t>
  </si>
  <si>
    <t>Desconectó la línea L-6007 (Puno - Tucari) de 60 kV, por falla monofásica a tierra en la fase “T” De acuerdo con lo informado por MINERA ARUNTANI, titular de la línea, la falla se produjo por nevadas en la zona. El sistema de protección señalizó la activación de la función de distancia (21). El sistema de protección detecto la falla a una distancia de 59,10 km de la S.E. Puno. Como consecuencia se interrumpió el suministro de la S.E. Tucari con un total de 4,91 MW aproximadamente. A las 07:25 h, se conectó la línea y se inició la normalización del suministro interrumpido.</t>
  </si>
  <si>
    <t>L. PUNO - POMATA - ILAVE - LINEA L-6027</t>
  </si>
  <si>
    <t>Desconectó la línea L-6027 (Puno – Pomata – Ilave) de 60 kV, por falla monofásica a tierra en la fase “S”. De acuerdo con lo informado por ELECTROPUNO, titular de la línea, la falla se produjo por descargas atmosféricas. El sistema de protección señalizó la activación de la función de sobre corriente de fase a tierra (51N). Como consecuencia se interrumpió el suministro de las subestaciones Ilave y Pomata con un total de 2.50 MW. A las 05:57 h, se conectó la línea y se inició la normalización del suministro interrumpido.</t>
  </si>
  <si>
    <t>L. SURIRAY - COTARUSE - LINEA L-2059</t>
  </si>
  <si>
    <t>Desconectaron las líneas L-2059 (Cotaruse - Suriray) y L-2060 (Cotaruse - Abancay Nueva) de 220 kV, por falla bifásica a tierra en las fases “R” y “T” y falla bifásica a tierra en las fases “R” y “S”, respectivamente. De acuerdo con lo informado por TRANSMANTARO, titular de las líneas, la falla se produjo por descargas atmosféricas. El sistema de protección señalizo la activación de la función diferencial (87). El sistema de protección detecto la falla a una distancia de 3,59 km y 4,10 kM de la S.E. Cotaruse, respectivamente. Como consecuencia los usuarios libres Minera Las Bambas, Minera Cerro Verde, Industrias Cachimayo, Southern PERU y Minera Ares (Inmaculada) redujeron su carga en 129,00 MW, 204,61 MW, 3,30 MW, 2,00 y 2,80 MW. Asimismo, desconectaron el grupo G2 de la C.H. Machupicchu y los generadores G1 y G2 de la C.H. Santa Teresa cuando generaban 22,24 MW, 56,82 MW y 33,07 MW, respectivamente, tambein desconectaron los reactores R-22 de la S.E. Suriray y R-23 de la S.E. Abancay Nueva, por actuación del esquema de desconexión de generación y reactores. No se produjo interrupción de suministros en el SEIN. A las 15:23 h, se sincronizó el grupo G2 de la C.H. de la C.H. Machupicchu con el SEIN. A las 15:16 h, sincronizaron los grupos G1 y G2 de la C.H. Santa Teresa con el SEIN. A las 15:27 h y 15:41 h, se conectaron las líneas L-2060 y L-2059, respectivamente. A las 15:27 h y 15:29 h, se conectaron los reactores R-23 y R-22, respectivamente.</t>
  </si>
  <si>
    <t>L. MOROCOCHA - CARLOS FRANCISCO - LINEA L-6532</t>
  </si>
  <si>
    <t>Desconectaron las líneas L-6532 y L-6533 (Nueva Morococha – Carlos Francisco) de 50 kV, por falla monofásica a tierra en la fase “T”. De acuerdo con lo informado por STATKRAFT, titular de la línea, la falla se produjo por descargas atmosféricas. El sistema de protección señalizo la activación de la función de distancia (21). Como consecuencia se interrumpió el suministro de las subestaciones Casapalca Norte, Carlos Francisco, Antuquito, Bellavista y San Mateo con un total de 20,07 MW. Asimismo, desconectó la C.H. Huanchor cuando generaba 19,59 MW. A las 15:18 h, conectó las líneas y se inició la normalización del suministro interrumpido. A las 15:54 h, sincronizó la central con el SEIN.</t>
  </si>
  <si>
    <t>Desconectó la línea L-6007 (Puno - Tucari) de 60 kV, por falla monofásica a tierra en la fase “S” De acuerdo con lo informado por MINERA ARUNTANI, titular de la línea, la falla se produjo por actos vandálicos. El sistema de protección señalizó la activación de la función de distancia (21). Como consecuencia se interrumpió el suministro de la S.E. Tucari con un total de 5,01 MW aproximadamente. A las 11:10 h, se conectó la línea y se inició la normalización del suministro interrumpido.</t>
  </si>
  <si>
    <t>Desconectó la línea L-6007 (Puno - Tucari) de 60 kV, por falla monofásica a tierra en la fase “S” De acuerdo con lo informado por MINERA ARUNTANI, titular de la línea, la falla se produjo por actos vandalicos. El sistema de protección señalizó la activación de la función de distancia (21). El sistema de protección detecto la falla a una distancia de 86,80 km de la S.E. Puno. Como consecuencia se interrumpió el suministro de la S.E. Tucari con un total de 5,05 MW aproximadamente. A las 20:18 h, se conectó la línea y se inició la normalización del suministro interrumpido.</t>
  </si>
  <si>
    <t>L. CAJAMARCA - GALLITO CIEGO - LINEA L-6045</t>
  </si>
  <si>
    <t>Desconectó la línea L-6042 (Gallito Ciego -Tembladera) y L-6045 (Cajamarca – Gallito Ciego) de 60 kV. De acuerdo a lo informado por HIDRANDINA, titular de la línea, la falla se produjo por sobrecarga en la línea L-6042. Como consecuencia se interrumpió el suministro de las subestaciones Cajamarca, Tembladera, Chilete, Cajabamba, Celendín y San Marcos con un total de 42,36 MW. Asimismo, desconectó la C.H. Potrero. A las 19:15 h y 19:16 h, se conectaron las líneas L-6045 y L-6042, respectivamente, y se inició la normalización del suministro interrumpido.</t>
  </si>
  <si>
    <t>L. COMBAPATA - SICUANI - LINEA L-6001</t>
  </si>
  <si>
    <t>Desconectó la línea L-6001 (Combapata - Sicuani) de 66 kV, por falla monofásica a tierra en la fase “S”. De acuerdo con lo informado por ELECTRO SUR ESTE, titular de la línea, la falla se produjo por descargas atmosféricas. El sistema de protección ubicó la falla a una distancia de 5,00 km de la S.E. Combapata. Como consecuencia se interrumpió el suministro de la S.E. Sicuani con un total de 2,22 MW. A las 14:59 h, se conectó la línea y se inició la normalización del suministro interrumpido.</t>
  </si>
  <si>
    <t>SUBESTACION</t>
  </si>
  <si>
    <t>TRANSFORMADOR</t>
  </si>
  <si>
    <t>GENERADOR 
TERMOELÉCTRICO</t>
  </si>
  <si>
    <t>4 eventos corresponde a rechazo manual de carga en la S.S.E.E. Pucallpa por deficit de generación (74,15 MWh)</t>
  </si>
  <si>
    <t>(*) La empresa LUZ DEL SUR S.A.A. Transfiere la titularidad de sus instalaciones de generación a la empresa INLAND ENERGYS.A.C.</t>
  </si>
  <si>
    <t>C.H. SANTA TERESA</t>
  </si>
  <si>
    <t>C.H. RENOVANDES H1 (4)</t>
  </si>
  <si>
    <t>CELEPSA RENOVABLES (7)</t>
  </si>
  <si>
    <t xml:space="preserve">C.H. SANTA TERESA </t>
  </si>
  <si>
    <t>LUZ DEL SUR / INLAND  (3)</t>
  </si>
  <si>
    <t>LUZ DEL SUR / INLAND (3)</t>
  </si>
  <si>
    <t>01/04/2018</t>
  </si>
  <si>
    <t>20:00</t>
  </si>
  <si>
    <t>02/04/2018</t>
  </si>
  <si>
    <t>16:30</t>
  </si>
  <si>
    <t>18:45</t>
  </si>
  <si>
    <t>03/04/2018</t>
  </si>
  <si>
    <t>04/04/2018</t>
  </si>
  <si>
    <t>16:00</t>
  </si>
  <si>
    <t>05/04/2018</t>
  </si>
  <si>
    <t>06/04/2018</t>
  </si>
  <si>
    <t>07/04/2018</t>
  </si>
  <si>
    <t>08/04/2018</t>
  </si>
  <si>
    <t>09/04/2018</t>
  </si>
  <si>
    <t>15:15</t>
  </si>
  <si>
    <t>10/04/2018</t>
  </si>
  <si>
    <t>11/04/2018</t>
  </si>
  <si>
    <t>12/04/2018</t>
  </si>
  <si>
    <t>13/04/2018</t>
  </si>
  <si>
    <t>14/04/2018</t>
  </si>
  <si>
    <t>15/04/2018</t>
  </si>
  <si>
    <t>16/04/2018</t>
  </si>
  <si>
    <t>17/04/2018</t>
  </si>
  <si>
    <t>18/04/2018</t>
  </si>
  <si>
    <t>19/04/2018</t>
  </si>
  <si>
    <t>20/04/2018</t>
  </si>
  <si>
    <t>11:00</t>
  </si>
  <si>
    <t>21/04/2018</t>
  </si>
  <si>
    <t>22/04/2018</t>
  </si>
  <si>
    <t>23/04/2018</t>
  </si>
  <si>
    <t>24/04/2018</t>
  </si>
  <si>
    <t>25/04/2018</t>
  </si>
  <si>
    <t>26/04/2018</t>
  </si>
  <si>
    <t>27/04/2018</t>
  </si>
  <si>
    <t>28/04/2018</t>
  </si>
  <si>
    <t>29/04/2018</t>
  </si>
  <si>
    <t>00:15</t>
  </si>
  <si>
    <t>30/04/2018</t>
  </si>
  <si>
    <t>L-2203  L-2204</t>
  </si>
  <si>
    <t>T-30  T3-261  T4-261</t>
  </si>
  <si>
    <t>L-2110</t>
  </si>
  <si>
    <t>L-2205  L-2206</t>
  </si>
  <si>
    <t>San Juan - Los Industriales</t>
  </si>
  <si>
    <t>Campo Armiño - Huancavelica</t>
  </si>
  <si>
    <t>Independencia</t>
  </si>
  <si>
    <t>Huanza-Carabayllo</t>
  </si>
  <si>
    <t>Pomacocha - San Juan</t>
  </si>
  <si>
    <t>VOLUMEN  UTIL
30-04-2018</t>
  </si>
  <si>
    <t>VOLUMEN UTIL
30-04-2017</t>
  </si>
  <si>
    <t>6 710,67 MW</t>
  </si>
  <si>
    <t xml:space="preserve">Potencia Efectiva  (MW)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</si>
</sst>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0.0;\-0.0;\-"/>
    <numFmt numFmtId="165" formatCode="0.0"/>
    <numFmt numFmtId="166" formatCode="0.0%"/>
    <numFmt numFmtId="167" formatCode="###\ ###\ ##0.0"/>
    <numFmt numFmtId="168" formatCode="[$-409]mmmmm/yy;@"/>
    <numFmt numFmtId="169" formatCode="#,##0.0"/>
    <numFmt numFmtId="170" formatCode="_ [$€]* #,##0.00_ ;_ [$€]* \-#,##0.00_ ;_ [$€]* &quot;-&quot;??_ ;_ @_ "/>
    <numFmt numFmtId="171" formatCode="#,##0_ ;\-#,##0\ "/>
    <numFmt numFmtId="172" formatCode="[$-F400]h:mm:ss\ AM/PM"/>
    <numFmt numFmtId="173" formatCode="#,##0.000"/>
    <numFmt numFmtId="174" formatCode="_-* #,##0.0_-;\-* #,##0.0_-;_-* &quot;-&quot;??_-;_-@_-"/>
    <numFmt numFmtId="175" formatCode="0.000"/>
  </numFmts>
  <fonts count="76">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8"/>
      <color indexed="1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sz val="7"/>
      <color theme="0"/>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5"/>
      <color theme="1"/>
      <name val="Arial"/>
      <family val="2"/>
    </font>
    <font>
      <b/>
      <sz val="5"/>
      <color theme="1"/>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8"/>
      <color theme="4"/>
      <name val="Arial"/>
      <family val="2"/>
    </font>
    <font>
      <b/>
      <sz val="10"/>
      <color theme="4"/>
      <name val="Tahoma"/>
      <family val="2"/>
    </font>
    <font>
      <b/>
      <sz val="8.5"/>
      <color theme="4"/>
      <name val="Tahoma"/>
      <family val="2"/>
    </font>
    <font>
      <sz val="8.5"/>
      <color theme="4"/>
      <name val="Tahoma"/>
      <family val="2"/>
    </font>
    <font>
      <sz val="8"/>
      <color theme="4"/>
      <name val="Helvetica"/>
      <family val="2"/>
    </font>
    <font>
      <sz val="8"/>
      <color theme="4"/>
      <name val="Arial Narrow"/>
      <family val="2"/>
    </font>
    <font>
      <sz val="5.5"/>
      <color theme="1"/>
      <name val="Arial"/>
      <family val="2"/>
    </font>
    <font>
      <b/>
      <sz val="6"/>
      <name val="Arial"/>
      <family val="2"/>
    </font>
    <font>
      <sz val="6"/>
      <name val="Arial"/>
      <family val="2"/>
    </font>
    <font>
      <vertAlign val="superscript"/>
      <sz val="7"/>
      <name val="Arial"/>
      <family val="2"/>
    </font>
    <font>
      <vertAlign val="superscript"/>
      <sz val="7"/>
      <color theme="1"/>
      <name val="Arial"/>
      <family val="2"/>
    </font>
    <font>
      <b/>
      <sz val="5"/>
      <name val="Arial"/>
      <family val="2"/>
    </font>
  </fonts>
  <fills count="11">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4"/>
        <bgColor theme="4" tint="-0.249977111117893"/>
      </patternFill>
    </fill>
    <fill>
      <patternFill patternType="solid">
        <fgColor theme="4" tint="0.59999389629810485"/>
        <bgColor indexed="64"/>
      </patternFill>
    </fill>
    <fill>
      <patternFill patternType="solid">
        <fgColor indexed="13"/>
        <bgColor indexed="64"/>
      </patternFill>
    </fill>
    <fill>
      <patternFill patternType="solid">
        <fgColor theme="4" tint="-0.249977111117893"/>
        <bgColor indexed="64"/>
      </patternFill>
    </fill>
    <fill>
      <patternFill patternType="solid">
        <fgColor theme="4" tint="-0.249977111117893"/>
        <bgColor theme="4"/>
      </patternFill>
    </fill>
  </fills>
  <borders count="144">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top/>
      <bottom style="hair">
        <color theme="3" tint="0.39991454817346722"/>
      </bottom>
      <diagonal/>
    </border>
    <border>
      <left style="hair">
        <color theme="3" tint="0.39988402966399123"/>
      </left>
      <right style="hair">
        <color theme="3" tint="0.39988402966399123"/>
      </right>
      <top/>
      <bottom style="hair">
        <color theme="3" tint="0.39988402966399123"/>
      </bottom>
      <diagonal/>
    </border>
    <border>
      <left/>
      <right style="thin">
        <color theme="3" tint="0.39991454817346722"/>
      </right>
      <top/>
      <bottom style="hair">
        <color theme="3" tint="0.39991454817346722"/>
      </bottom>
      <diagonal/>
    </border>
    <border>
      <left style="thin">
        <color theme="3" tint="0.39994506668294322"/>
      </left>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88402966399123"/>
      </top>
      <bottom style="hair">
        <color theme="3" tint="0.39988402966399123"/>
      </bottom>
      <diagonal/>
    </border>
    <border>
      <left/>
      <right style="thin">
        <color theme="3" tint="0.39991454817346722"/>
      </right>
      <top style="hair">
        <color theme="3" tint="0.39991454817346722"/>
      </top>
      <bottom style="hair">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3" tint="0.39994506668294322"/>
      </left>
      <right/>
      <top style="hair">
        <color theme="3" tint="0.39991454817346722"/>
      </top>
      <bottom style="thin">
        <color theme="3" tint="0.39991454817346722"/>
      </bottom>
      <diagonal/>
    </border>
    <border>
      <left style="hair">
        <color theme="3" tint="0.39988402966399123"/>
      </left>
      <right style="hair">
        <color theme="3" tint="0.39988402966399123"/>
      </right>
      <top style="hair">
        <color theme="3" tint="0.39988402966399123"/>
      </top>
      <bottom style="thin">
        <color theme="3" tint="0.39991454817346722"/>
      </bottom>
      <diagonal/>
    </border>
    <border>
      <left/>
      <right style="thin">
        <color theme="3" tint="0.39991454817346722"/>
      </right>
      <top style="hair">
        <color theme="3" tint="0.399914548173467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style="hair">
        <color theme="3" tint="0.39991454817346722"/>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hair">
        <color theme="3" tint="0.39991454817346722"/>
      </left>
      <right style="hair">
        <color theme="3" tint="0.39991454817346722"/>
      </right>
      <top style="hair">
        <color theme="3" tint="0.39991454817346722"/>
      </top>
      <bottom/>
      <diagonal/>
    </border>
    <border>
      <left style="hair">
        <color theme="3" tint="0.39991454817346722"/>
      </left>
      <right style="hair">
        <color theme="3" tint="0.39991454817346722"/>
      </right>
      <top/>
      <bottom style="hair">
        <color theme="3" tint="0.39991454817346722"/>
      </bottom>
      <diagonal/>
    </border>
    <border>
      <left/>
      <right/>
      <top/>
      <bottom style="hair">
        <color theme="3" tint="0.39991454817346722"/>
      </bottom>
      <diagonal/>
    </border>
    <border>
      <left/>
      <right/>
      <top style="hair">
        <color theme="3" tint="0.39991454817346722"/>
      </top>
      <bottom/>
      <diagonal/>
    </border>
    <border>
      <left style="hair">
        <color theme="4"/>
      </left>
      <right style="hair">
        <color theme="4"/>
      </right>
      <top style="hair">
        <color theme="4"/>
      </top>
      <bottom/>
      <diagonal/>
    </border>
    <border>
      <left style="hair">
        <color theme="4"/>
      </left>
      <right style="hair">
        <color theme="4"/>
      </right>
      <top/>
      <bottom/>
      <diagonal/>
    </border>
    <border>
      <left style="hair">
        <color theme="4"/>
      </left>
      <right style="hair">
        <color theme="4"/>
      </right>
      <top/>
      <bottom style="hair">
        <color theme="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right/>
      <top style="thin">
        <color theme="4"/>
      </top>
      <bottom/>
      <diagonal/>
    </border>
    <border>
      <left/>
      <right style="thin">
        <color theme="4"/>
      </right>
      <top style="thin">
        <color theme="4"/>
      </top>
      <bottom/>
      <diagonal/>
    </border>
    <border>
      <left style="thin">
        <color theme="4"/>
      </left>
      <right/>
      <top/>
      <bottom style="thin">
        <color theme="4" tint="0.39997558519241921"/>
      </bottom>
      <diagonal/>
    </border>
    <border>
      <left/>
      <right style="thin">
        <color theme="4"/>
      </right>
      <top/>
      <bottom/>
      <diagonal/>
    </border>
    <border>
      <left style="thin">
        <color theme="4"/>
      </left>
      <right/>
      <top/>
      <bottom/>
      <diagonal/>
    </border>
    <border>
      <left style="thin">
        <color theme="4"/>
      </left>
      <right/>
      <top style="thin">
        <color theme="4"/>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style="thin">
        <color theme="4"/>
      </left>
      <right style="thin">
        <color theme="0"/>
      </right>
      <top style="thin">
        <color theme="4"/>
      </top>
      <bottom style="thin">
        <color theme="0"/>
      </bottom>
      <diagonal/>
    </border>
    <border>
      <left style="thin">
        <color theme="0"/>
      </left>
      <right style="thin">
        <color theme="0"/>
      </right>
      <top style="thin">
        <color theme="4"/>
      </top>
      <bottom style="thin">
        <color theme="0"/>
      </bottom>
      <diagonal/>
    </border>
    <border>
      <left style="thin">
        <color theme="0"/>
      </left>
      <right style="thin">
        <color theme="4"/>
      </right>
      <top style="thin">
        <color theme="4"/>
      </top>
      <bottom style="thin">
        <color theme="0"/>
      </bottom>
      <diagonal/>
    </border>
    <border>
      <left style="thin">
        <color theme="4"/>
      </left>
      <right style="thin">
        <color theme="0"/>
      </right>
      <top style="thin">
        <color theme="0"/>
      </top>
      <bottom style="thin">
        <color theme="0"/>
      </bottom>
      <diagonal/>
    </border>
    <border>
      <left style="thin">
        <color theme="0"/>
      </left>
      <right style="thin">
        <color theme="4"/>
      </right>
      <top style="thin">
        <color theme="0"/>
      </top>
      <bottom style="thin">
        <color theme="0"/>
      </bottom>
      <diagonal/>
    </border>
    <border>
      <left style="thin">
        <color theme="4"/>
      </left>
      <right style="thin">
        <color theme="0"/>
      </right>
      <top style="thin">
        <color theme="0"/>
      </top>
      <bottom style="thin">
        <color theme="4"/>
      </bottom>
      <diagonal/>
    </border>
    <border>
      <left style="thin">
        <color theme="0"/>
      </left>
      <right style="thin">
        <color theme="0"/>
      </right>
      <top style="thin">
        <color theme="0"/>
      </top>
      <bottom style="thin">
        <color theme="4"/>
      </bottom>
      <diagonal/>
    </border>
    <border>
      <left style="thin">
        <color theme="0"/>
      </left>
      <right style="thin">
        <color theme="4"/>
      </right>
      <top style="thin">
        <color theme="0"/>
      </top>
      <bottom style="thin">
        <color theme="4"/>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style="thin">
        <color theme="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4"/>
      </right>
      <top style="thin">
        <color theme="0" tint="-0.14996795556505021"/>
      </top>
      <bottom style="thin">
        <color theme="0" tint="-0.14996795556505021"/>
      </bottom>
      <diagonal/>
    </border>
    <border>
      <left style="thin">
        <color theme="4"/>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4"/>
      </right>
      <top style="thin">
        <color theme="0" tint="-0.14996795556505021"/>
      </top>
      <bottom/>
      <diagonal/>
    </border>
    <border>
      <left style="thin">
        <color theme="4"/>
      </left>
      <right style="thin">
        <color theme="0" tint="-0.14996795556505021"/>
      </right>
      <top style="thin">
        <color theme="4"/>
      </top>
      <bottom style="thin">
        <color theme="0" tint="-0.14996795556505021"/>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theme="0" tint="-0.14996795556505021"/>
      </left>
      <right style="thin">
        <color theme="4"/>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right/>
      <top style="thin">
        <color theme="0" tint="-0.14996795556505021"/>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170" fontId="5" fillId="0" borderId="0"/>
    <xf numFmtId="172" fontId="36" fillId="0" borderId="0"/>
    <xf numFmtId="0" fontId="40" fillId="0" borderId="0"/>
    <xf numFmtId="0" fontId="40" fillId="0" borderId="0"/>
  </cellStyleXfs>
  <cellXfs count="976">
    <xf numFmtId="0" fontId="0" fillId="0" borderId="0" xfId="0"/>
    <xf numFmtId="0" fontId="0" fillId="0" borderId="0" xfId="0" applyBorder="1"/>
    <xf numFmtId="0" fontId="5" fillId="0" borderId="0" xfId="0" quotePrefix="1" applyNumberFormat="1" applyFont="1" applyFill="1" applyBorder="1" applyAlignment="1">
      <alignment horizontal="left" vertical="center"/>
    </xf>
    <xf numFmtId="0" fontId="0" fillId="0" borderId="0" xfId="0" applyFont="1"/>
    <xf numFmtId="1" fontId="7" fillId="0" borderId="0" xfId="0" applyNumberFormat="1" applyFont="1" applyFill="1" applyBorder="1" applyAlignment="1">
      <alignment horizontal="centerContinuous"/>
    </xf>
    <xf numFmtId="0" fontId="7" fillId="0" borderId="0" xfId="0" applyFont="1" applyBorder="1"/>
    <xf numFmtId="1" fontId="7" fillId="0" borderId="0" xfId="0" applyNumberFormat="1" applyFont="1" applyFill="1" applyBorder="1"/>
    <xf numFmtId="1" fontId="7" fillId="0" borderId="0" xfId="0" applyNumberFormat="1" applyFont="1" applyFill="1" applyBorder="1" applyAlignment="1">
      <alignment horizontal="right"/>
    </xf>
    <xf numFmtId="164" fontId="7" fillId="0" borderId="0" xfId="0" applyNumberFormat="1" applyFont="1" applyFill="1" applyBorder="1" applyAlignment="1">
      <alignment horizontal="right"/>
    </xf>
    <xf numFmtId="166" fontId="7" fillId="0" borderId="0" xfId="2" applyNumberFormat="1" applyFont="1" applyFill="1" applyBorder="1" applyAlignment="1">
      <alignment horizontal="right"/>
    </xf>
    <xf numFmtId="49" fontId="7" fillId="0" borderId="0" xfId="0" applyNumberFormat="1" applyFont="1" applyBorder="1" applyAlignment="1">
      <alignment horizontal="right"/>
    </xf>
    <xf numFmtId="0" fontId="7" fillId="0" borderId="0" xfId="0" quotePrefix="1" applyFont="1" applyFill="1" applyBorder="1" applyAlignment="1">
      <alignment horizontal="left" vertical="center"/>
    </xf>
    <xf numFmtId="49" fontId="7" fillId="0" borderId="0" xfId="0" applyNumberFormat="1" applyFont="1" applyFill="1" applyBorder="1" applyAlignment="1">
      <alignment horizontal="right"/>
    </xf>
    <xf numFmtId="165" fontId="7" fillId="0" borderId="0" xfId="0" applyNumberFormat="1" applyFont="1" applyFill="1" applyBorder="1" applyAlignment="1">
      <alignment horizontal="right"/>
    </xf>
    <xf numFmtId="0" fontId="8" fillId="0" borderId="0" xfId="0" applyFont="1"/>
    <xf numFmtId="0" fontId="8" fillId="0" borderId="0" xfId="0" applyFont="1" applyBorder="1"/>
    <xf numFmtId="1" fontId="7" fillId="0" borderId="0" xfId="0" applyNumberFormat="1" applyFont="1" applyFill="1" applyBorder="1" applyAlignment="1">
      <alignment horizontal="center"/>
    </xf>
    <xf numFmtId="1" fontId="7" fillId="0" borderId="0" xfId="0" applyNumberFormat="1" applyFont="1" applyFill="1" applyBorder="1" applyAlignment="1">
      <alignment horizontal="left"/>
    </xf>
    <xf numFmtId="49" fontId="7" fillId="0" borderId="0" xfId="0" applyNumberFormat="1" applyFont="1" applyFill="1" applyBorder="1" applyAlignment="1">
      <alignment horizontal="left"/>
    </xf>
    <xf numFmtId="49" fontId="7" fillId="0" borderId="0" xfId="0" applyNumberFormat="1" applyFont="1" applyBorder="1" applyAlignment="1">
      <alignment horizontal="left"/>
    </xf>
    <xf numFmtId="49" fontId="7" fillId="0" borderId="0" xfId="0" applyNumberFormat="1" applyFont="1" applyFill="1" applyBorder="1" applyAlignment="1">
      <alignment horizontal="center"/>
    </xf>
    <xf numFmtId="49" fontId="7" fillId="0" borderId="0" xfId="0" applyNumberFormat="1" applyFont="1" applyBorder="1" applyAlignment="1">
      <alignment horizontal="center"/>
    </xf>
    <xf numFmtId="164" fontId="7" fillId="0" borderId="0" xfId="0" applyNumberFormat="1" applyFont="1" applyFill="1" applyBorder="1" applyAlignment="1">
      <alignment horizontal="center"/>
    </xf>
    <xf numFmtId="0" fontId="5" fillId="2" borderId="0" xfId="0" applyFont="1" applyFill="1" applyBorder="1"/>
    <xf numFmtId="0" fontId="4" fillId="2" borderId="0" xfId="0" applyNumberFormat="1" applyFont="1" applyFill="1" applyBorder="1" applyAlignment="1">
      <alignment horizontal="center"/>
    </xf>
    <xf numFmtId="0" fontId="5" fillId="2" borderId="0" xfId="0" applyNumberFormat="1" applyFont="1" applyFill="1" applyBorder="1"/>
    <xf numFmtId="1" fontId="13" fillId="0" borderId="0" xfId="0" applyNumberFormat="1" applyFont="1" applyFill="1" applyBorder="1" applyAlignment="1">
      <alignment horizontal="right"/>
    </xf>
    <xf numFmtId="0" fontId="13" fillId="0" borderId="0" xfId="0" quotePrefix="1" applyFont="1" applyFill="1" applyBorder="1" applyAlignment="1">
      <alignment horizontal="left"/>
    </xf>
    <xf numFmtId="0" fontId="13" fillId="0" borderId="1" xfId="0" applyFont="1" applyBorder="1"/>
    <xf numFmtId="49" fontId="13" fillId="0" borderId="0" xfId="0" applyNumberFormat="1" applyFont="1" applyFill="1" applyBorder="1" applyAlignment="1">
      <alignment horizontal="center"/>
    </xf>
    <xf numFmtId="1" fontId="13" fillId="0" borderId="0" xfId="0" applyNumberFormat="1" applyFont="1" applyFill="1" applyBorder="1"/>
    <xf numFmtId="1" fontId="13" fillId="0" borderId="0" xfId="0" applyNumberFormat="1" applyFont="1" applyFill="1" applyBorder="1" applyAlignment="1">
      <alignment horizontal="center"/>
    </xf>
    <xf numFmtId="0" fontId="13" fillId="0" borderId="0" xfId="0" applyFont="1" applyBorder="1"/>
    <xf numFmtId="164" fontId="13" fillId="0" borderId="0" xfId="0" applyNumberFormat="1" applyFont="1" applyFill="1" applyBorder="1" applyAlignment="1">
      <alignment horizontal="right"/>
    </xf>
    <xf numFmtId="49" fontId="13" fillId="0" borderId="0" xfId="0" applyNumberFormat="1" applyFont="1" applyBorder="1" applyAlignment="1">
      <alignment horizontal="center"/>
    </xf>
    <xf numFmtId="0" fontId="14" fillId="0" borderId="0" xfId="0" quotePrefix="1" applyFont="1" applyFill="1" applyBorder="1" applyAlignment="1">
      <alignment horizontal="right"/>
    </xf>
    <xf numFmtId="164" fontId="13" fillId="0" borderId="1" xfId="0" applyNumberFormat="1" applyFont="1" applyFill="1" applyBorder="1" applyAlignment="1">
      <alignment horizontal="right"/>
    </xf>
    <xf numFmtId="0" fontId="13" fillId="0" borderId="0" xfId="0" applyFont="1" applyBorder="1" applyAlignment="1"/>
    <xf numFmtId="166" fontId="13" fillId="0" borderId="0" xfId="2" applyNumberFormat="1" applyFont="1" applyFill="1" applyBorder="1" applyAlignment="1">
      <alignment horizontal="right"/>
    </xf>
    <xf numFmtId="164" fontId="13" fillId="0" borderId="0" xfId="0" applyNumberFormat="1" applyFont="1" applyFill="1" applyBorder="1" applyAlignment="1">
      <alignment horizontal="center"/>
    </xf>
    <xf numFmtId="0" fontId="13" fillId="0" borderId="0" xfId="0" quotePrefix="1" applyFont="1" applyFill="1" applyBorder="1" applyAlignment="1">
      <alignment horizontal="left" vertical="center"/>
    </xf>
    <xf numFmtId="164" fontId="13" fillId="0" borderId="0" xfId="0" applyNumberFormat="1" applyFont="1" applyFill="1" applyBorder="1" applyAlignment="1">
      <alignment horizontal="left"/>
    </xf>
    <xf numFmtId="1" fontId="13" fillId="0" borderId="1" xfId="0" applyNumberFormat="1" applyFont="1" applyFill="1" applyBorder="1"/>
    <xf numFmtId="165" fontId="13" fillId="0" borderId="0" xfId="0" applyNumberFormat="1" applyFont="1" applyFill="1" applyBorder="1" applyAlignment="1">
      <alignment horizontal="right"/>
    </xf>
    <xf numFmtId="1" fontId="13" fillId="0" borderId="0" xfId="0" applyNumberFormat="1" applyFont="1" applyFill="1" applyBorder="1" applyAlignment="1">
      <alignment horizontal="left"/>
    </xf>
    <xf numFmtId="0" fontId="11" fillId="0" borderId="0" xfId="0" applyFont="1" applyBorder="1" applyAlignment="1">
      <alignment vertical="center"/>
    </xf>
    <xf numFmtId="0" fontId="7" fillId="0" borderId="0" xfId="0" applyFont="1" applyFill="1" applyBorder="1"/>
    <xf numFmtId="0" fontId="7" fillId="0" borderId="0" xfId="0" applyFont="1" applyFill="1" applyBorder="1" applyAlignment="1">
      <alignment horizontal="left"/>
    </xf>
    <xf numFmtId="0" fontId="0" fillId="0" borderId="0" xfId="0" applyFont="1" applyBorder="1" applyAlignment="1">
      <alignment horizontal="center"/>
    </xf>
    <xf numFmtId="0" fontId="9" fillId="2" borderId="0" xfId="0" applyFont="1" applyFill="1" applyBorder="1"/>
    <xf numFmtId="0" fontId="0" fillId="0" borderId="0" xfId="0" applyFont="1" applyFill="1"/>
    <xf numFmtId="0" fontId="15" fillId="0" borderId="0" xfId="0" applyFont="1" applyFill="1" applyBorder="1" applyAlignment="1">
      <alignment vertical="center"/>
    </xf>
    <xf numFmtId="17" fontId="15" fillId="0" borderId="0" xfId="0" applyNumberFormat="1" applyFont="1" applyFill="1" applyBorder="1" applyAlignment="1">
      <alignment vertical="center"/>
    </xf>
    <xf numFmtId="0" fontId="15" fillId="0" borderId="0" xfId="0" applyNumberFormat="1" applyFont="1" applyFill="1" applyBorder="1" applyAlignment="1">
      <alignment vertical="center"/>
    </xf>
    <xf numFmtId="43" fontId="15" fillId="0" borderId="0" xfId="1" applyFont="1" applyFill="1" applyBorder="1" applyAlignment="1">
      <alignment vertical="center"/>
    </xf>
    <xf numFmtId="0" fontId="15" fillId="0" borderId="0" xfId="0" applyFont="1" applyFill="1" applyBorder="1" applyAlignment="1">
      <alignment horizontal="center" vertical="center"/>
    </xf>
    <xf numFmtId="0" fontId="9" fillId="0" borderId="0" xfId="0" applyFont="1" applyFill="1" applyBorder="1" applyAlignment="1">
      <alignment vertical="center"/>
    </xf>
    <xf numFmtId="0" fontId="5" fillId="0" borderId="0" xfId="0" applyFont="1" applyFill="1" applyBorder="1" applyAlignment="1">
      <alignment horizontal="center" vertical="center"/>
    </xf>
    <xf numFmtId="0" fontId="8" fillId="0" borderId="0" xfId="0" applyFont="1" applyFill="1" applyBorder="1"/>
    <xf numFmtId="0" fontId="8" fillId="0" borderId="0" xfId="0" applyFont="1" applyFill="1"/>
    <xf numFmtId="0" fontId="15" fillId="0" borderId="0" xfId="0" applyNumberFormat="1" applyFont="1" applyFill="1" applyBorder="1" applyAlignment="1">
      <alignment horizontal="center" vertical="center"/>
    </xf>
    <xf numFmtId="0" fontId="0" fillId="0" borderId="0" xfId="0" applyFont="1" applyFill="1" applyAlignment="1">
      <alignment vertical="center"/>
    </xf>
    <xf numFmtId="0" fontId="9" fillId="0" borderId="0" xfId="0" applyFont="1" applyFill="1" applyBorder="1" applyAlignment="1">
      <alignment vertical="center" wrapText="1"/>
    </xf>
    <xf numFmtId="43" fontId="9" fillId="0" borderId="0" xfId="1" applyFont="1" applyFill="1" applyBorder="1" applyAlignment="1">
      <alignment vertical="center" wrapText="1"/>
    </xf>
    <xf numFmtId="0" fontId="15" fillId="0" borderId="0" xfId="0" applyFont="1" applyFill="1" applyBorder="1" applyAlignment="1">
      <alignment vertical="center" wrapText="1"/>
    </xf>
    <xf numFmtId="0" fontId="9" fillId="0" borderId="0" xfId="0" applyFont="1" applyFill="1" applyBorder="1" applyAlignment="1">
      <alignment horizontal="justify" vertical="center"/>
    </xf>
    <xf numFmtId="0" fontId="9" fillId="0" borderId="0" xfId="0" quotePrefix="1" applyFont="1" applyFill="1" applyBorder="1" applyAlignment="1">
      <alignment horizontal="left" vertical="center"/>
    </xf>
    <xf numFmtId="0" fontId="9" fillId="0" borderId="0" xfId="0" quotePrefix="1" applyNumberFormat="1" applyFont="1" applyFill="1" applyBorder="1" applyAlignment="1">
      <alignment vertical="center" wrapText="1"/>
    </xf>
    <xf numFmtId="0" fontId="9" fillId="0" borderId="0" xfId="0" applyNumberFormat="1" applyFont="1" applyFill="1" applyBorder="1" applyAlignment="1">
      <alignment vertical="center"/>
    </xf>
    <xf numFmtId="0" fontId="16" fillId="0" borderId="0" xfId="0" applyFont="1" applyFill="1" applyBorder="1" applyAlignment="1">
      <alignment horizontal="left" vertical="center" wrapText="1"/>
    </xf>
    <xf numFmtId="0" fontId="5" fillId="0" borderId="0" xfId="0" applyFont="1" applyFill="1" applyBorder="1" applyAlignment="1">
      <alignment vertical="center"/>
    </xf>
    <xf numFmtId="0" fontId="10" fillId="0" borderId="0" xfId="0" applyFont="1" applyFill="1" applyBorder="1" applyAlignment="1">
      <alignment horizontal="left" vertical="center" wrapText="1"/>
    </xf>
    <xf numFmtId="0" fontId="7" fillId="0" borderId="0" xfId="0" applyFont="1" applyFill="1" applyBorder="1" applyAlignment="1">
      <alignment vertical="center"/>
    </xf>
    <xf numFmtId="165"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center" vertical="center"/>
    </xf>
    <xf numFmtId="0" fontId="8" fillId="0" borderId="0" xfId="0" applyFont="1" applyFill="1" applyBorder="1" applyAlignment="1">
      <alignment vertical="center"/>
    </xf>
    <xf numFmtId="0" fontId="8" fillId="0" borderId="0" xfId="0" applyFont="1" applyFill="1" applyAlignment="1">
      <alignment vertical="center"/>
    </xf>
    <xf numFmtId="0" fontId="17" fillId="0" borderId="0" xfId="0" applyFont="1" applyFill="1" applyBorder="1" applyAlignment="1">
      <alignment vertical="center"/>
    </xf>
    <xf numFmtId="0" fontId="9" fillId="0" borderId="0" xfId="0" quotePrefix="1" applyFont="1" applyFill="1" applyBorder="1" applyAlignment="1">
      <alignment horizontal="right" vertical="top"/>
    </xf>
    <xf numFmtId="0" fontId="15" fillId="0" borderId="0" xfId="0" quotePrefix="1" applyFont="1" applyFill="1" applyBorder="1" applyAlignment="1">
      <alignment horizontal="right" vertical="top"/>
    </xf>
    <xf numFmtId="0" fontId="15" fillId="0" borderId="0" xfId="0" applyFont="1" applyFill="1" applyBorder="1" applyAlignment="1">
      <alignment vertical="top"/>
    </xf>
    <xf numFmtId="0" fontId="8" fillId="0" borderId="0" xfId="0" applyFont="1" applyFill="1" applyBorder="1" applyAlignment="1">
      <alignment horizontal="left" vertical="center" wrapText="1"/>
    </xf>
    <xf numFmtId="0" fontId="18" fillId="0" borderId="0" xfId="0" applyNumberFormat="1" applyFont="1" applyFill="1" applyBorder="1" applyAlignment="1">
      <alignment vertical="center"/>
    </xf>
    <xf numFmtId="0" fontId="5" fillId="2" borderId="0" xfId="0" applyNumberFormat="1" applyFont="1" applyFill="1" applyAlignment="1">
      <alignment horizontal="left"/>
    </xf>
    <xf numFmtId="0" fontId="5" fillId="2" borderId="0" xfId="0" applyNumberFormat="1" applyFont="1" applyFill="1"/>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NumberFormat="1" applyFont="1" applyFill="1" applyAlignment="1">
      <alignment horizontal="centerContinuous"/>
    </xf>
    <xf numFmtId="0" fontId="5" fillId="2" borderId="0" xfId="0" applyNumberFormat="1" applyFont="1" applyFill="1" applyAlignment="1">
      <alignment horizontal="centerContinuous"/>
    </xf>
    <xf numFmtId="0" fontId="10" fillId="2" borderId="0" xfId="0" applyNumberFormat="1" applyFont="1" applyFill="1" applyBorder="1" applyAlignment="1">
      <alignment horizontal="right"/>
    </xf>
    <xf numFmtId="167" fontId="5" fillId="0" borderId="0" xfId="0" applyNumberFormat="1" applyFont="1" applyFill="1" applyBorder="1" applyAlignment="1">
      <alignment horizontal="right" vertical="center"/>
    </xf>
    <xf numFmtId="0" fontId="5" fillId="2" borderId="0" xfId="0" applyNumberFormat="1" applyFont="1" applyFill="1" applyBorder="1" applyAlignment="1">
      <alignment horizontal="right"/>
    </xf>
    <xf numFmtId="0" fontId="5" fillId="2" borderId="0" xfId="0" quotePrefix="1" applyNumberFormat="1" applyFont="1" applyFill="1" applyBorder="1" applyAlignment="1">
      <alignment horizontal="left" vertical="top"/>
    </xf>
    <xf numFmtId="0" fontId="5" fillId="0" borderId="0" xfId="0" applyNumberFormat="1" applyFont="1" applyFill="1" applyAlignment="1">
      <alignment vertical="center"/>
    </xf>
    <xf numFmtId="0" fontId="5" fillId="2" borderId="0" xfId="0" quotePrefix="1" applyNumberFormat="1" applyFont="1" applyFill="1" applyBorder="1" applyAlignment="1">
      <alignment horizontal="left" vertical="center"/>
    </xf>
    <xf numFmtId="0" fontId="0" fillId="0" borderId="0" xfId="0" applyFont="1" applyAlignment="1">
      <alignment vertical="center"/>
    </xf>
    <xf numFmtId="0" fontId="5" fillId="2" borderId="0" xfId="0" applyNumberFormat="1" applyFont="1" applyFill="1" applyAlignment="1">
      <alignment horizontal="left" vertical="center"/>
    </xf>
    <xf numFmtId="0" fontId="5" fillId="2" borderId="0" xfId="0" applyNumberFormat="1" applyFont="1" applyFill="1" applyAlignment="1">
      <alignment vertical="center"/>
    </xf>
    <xf numFmtId="17" fontId="5" fillId="2" borderId="0" xfId="0" applyNumberFormat="1" applyFont="1" applyFill="1" applyAlignment="1">
      <alignment horizontal="centerContinuous" vertical="center"/>
    </xf>
    <xf numFmtId="0" fontId="4" fillId="2" borderId="0" xfId="0" applyNumberFormat="1" applyFont="1" applyFill="1" applyAlignment="1">
      <alignment horizontal="centerContinuous" vertical="center"/>
    </xf>
    <xf numFmtId="0" fontId="5" fillId="2" borderId="0" xfId="0" applyNumberFormat="1" applyFont="1" applyFill="1" applyAlignment="1">
      <alignment horizontal="centerContinuous" vertical="center"/>
    </xf>
    <xf numFmtId="0" fontId="10" fillId="2" borderId="0" xfId="0" applyNumberFormat="1" applyFont="1" applyFill="1" applyBorder="1" applyAlignment="1">
      <alignment horizontal="right" vertical="center"/>
    </xf>
    <xf numFmtId="0" fontId="5" fillId="2" borderId="0" xfId="0" applyNumberFormat="1" applyFont="1" applyFill="1" applyBorder="1" applyAlignment="1">
      <alignment horizontal="right" vertical="center"/>
    </xf>
    <xf numFmtId="0" fontId="5" fillId="0" borderId="0" xfId="0" applyNumberFormat="1" applyFont="1" applyFill="1" applyAlignment="1">
      <alignment horizontal="left" vertical="center"/>
    </xf>
    <xf numFmtId="17" fontId="4" fillId="0" borderId="0" xfId="0" quotePrefix="1" applyNumberFormat="1" applyFont="1" applyFill="1" applyAlignment="1">
      <alignment horizontal="left" vertical="center"/>
    </xf>
    <xf numFmtId="17" fontId="5" fillId="0" borderId="0" xfId="0" applyNumberFormat="1" applyFont="1" applyFill="1" applyAlignment="1">
      <alignment horizontal="left" vertical="center"/>
    </xf>
    <xf numFmtId="0" fontId="4" fillId="0" borderId="0" xfId="0" applyNumberFormat="1" applyFont="1" applyFill="1" applyAlignment="1">
      <alignment horizontal="left" vertical="center"/>
    </xf>
    <xf numFmtId="0" fontId="10" fillId="0" borderId="0" xfId="0" applyNumberFormat="1" applyFont="1" applyFill="1" applyBorder="1" applyAlignment="1">
      <alignment horizontal="left" vertical="center"/>
    </xf>
    <xf numFmtId="43" fontId="4" fillId="0" borderId="0" xfId="1" quotePrefix="1" applyFont="1" applyFill="1" applyAlignment="1">
      <alignment horizontal="center" vertical="center"/>
    </xf>
    <xf numFmtId="17" fontId="5" fillId="0" borderId="0" xfId="0" applyNumberFormat="1" applyFont="1" applyFill="1" applyAlignment="1">
      <alignment horizontal="centerContinuous" vertical="center"/>
    </xf>
    <xf numFmtId="0" fontId="4" fillId="0" borderId="0" xfId="0" applyNumberFormat="1" applyFont="1" applyFill="1" applyAlignment="1">
      <alignment horizontal="centerContinuous" vertical="center"/>
    </xf>
    <xf numFmtId="0" fontId="5" fillId="0" borderId="0" xfId="0" applyNumberFormat="1" applyFont="1" applyFill="1" applyAlignment="1">
      <alignment horizontal="centerContinuous" vertical="center"/>
    </xf>
    <xf numFmtId="0" fontId="10" fillId="0" borderId="0" xfId="0" applyNumberFormat="1" applyFont="1" applyFill="1" applyBorder="1" applyAlignment="1">
      <alignment horizontal="right" vertical="center"/>
    </xf>
    <xf numFmtId="17" fontId="20" fillId="0" borderId="0"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xf>
    <xf numFmtId="0" fontId="5" fillId="0" borderId="0" xfId="0" applyNumberFormat="1" applyFont="1" applyFill="1" applyBorder="1" applyAlignment="1">
      <alignment horizontal="right" vertical="center"/>
    </xf>
    <xf numFmtId="0" fontId="20" fillId="0" borderId="0" xfId="0" quotePrefix="1" applyNumberFormat="1" applyFont="1" applyFill="1" applyBorder="1" applyAlignment="1">
      <alignment horizontal="left" vertical="center"/>
    </xf>
    <xf numFmtId="0" fontId="19" fillId="0" borderId="0" xfId="0" quotePrefix="1" applyNumberFormat="1" applyFont="1" applyFill="1" applyBorder="1" applyAlignment="1">
      <alignment horizontal="left" vertical="center"/>
    </xf>
    <xf numFmtId="17" fontId="19" fillId="0" borderId="0"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wrapText="1"/>
    </xf>
    <xf numFmtId="168" fontId="19" fillId="0" borderId="0" xfId="0" applyNumberFormat="1" applyFont="1" applyFill="1" applyBorder="1" applyAlignment="1">
      <alignment horizontal="center" vertical="center"/>
    </xf>
    <xf numFmtId="0" fontId="19" fillId="0" borderId="0" xfId="0" quotePrefix="1" applyNumberFormat="1" applyFont="1" applyFill="1" applyBorder="1" applyAlignment="1">
      <alignment horizontal="center" vertical="center"/>
    </xf>
    <xf numFmtId="166" fontId="4" fillId="0" borderId="0" xfId="2" applyNumberFormat="1" applyFont="1" applyFill="1" applyBorder="1" applyAlignment="1">
      <alignment horizontal="right" vertical="center"/>
    </xf>
    <xf numFmtId="166" fontId="4" fillId="0" borderId="0" xfId="0" applyNumberFormat="1" applyFont="1" applyFill="1" applyBorder="1" applyAlignment="1">
      <alignment horizontal="right" vertical="center"/>
    </xf>
    <xf numFmtId="0" fontId="4" fillId="0" borderId="0" xfId="0" quotePrefix="1" applyNumberFormat="1" applyFont="1" applyFill="1" applyBorder="1" applyAlignment="1">
      <alignment horizontal="left" vertical="center"/>
    </xf>
    <xf numFmtId="167" fontId="4" fillId="0" borderId="0" xfId="0" applyNumberFormat="1" applyFont="1" applyFill="1" applyBorder="1" applyAlignment="1">
      <alignment horizontal="right" vertical="center"/>
    </xf>
    <xf numFmtId="166" fontId="5" fillId="0" borderId="0" xfId="0" applyNumberFormat="1" applyFont="1" applyFill="1" applyBorder="1" applyAlignment="1">
      <alignment horizontal="right" vertical="center"/>
    </xf>
    <xf numFmtId="9" fontId="4" fillId="0" borderId="0" xfId="2" applyFont="1" applyFill="1" applyBorder="1" applyAlignment="1">
      <alignment horizontal="right" vertical="center"/>
    </xf>
    <xf numFmtId="166" fontId="5" fillId="0" borderId="0" xfId="2" applyNumberFormat="1" applyFont="1" applyFill="1" applyBorder="1" applyAlignment="1">
      <alignment horizontal="right" vertical="center"/>
    </xf>
    <xf numFmtId="169" fontId="4" fillId="0" borderId="0" xfId="2" applyNumberFormat="1" applyFont="1" applyFill="1" applyBorder="1" applyAlignment="1">
      <alignment horizontal="right" vertical="center"/>
    </xf>
    <xf numFmtId="0" fontId="13" fillId="0" borderId="0" xfId="0" applyNumberFormat="1" applyFont="1" applyFill="1" applyBorder="1" applyAlignment="1">
      <alignment horizontal="right" vertical="center"/>
    </xf>
    <xf numFmtId="0" fontId="13" fillId="0" borderId="0" xfId="0" quotePrefix="1" applyNumberFormat="1" applyFont="1" applyFill="1" applyBorder="1" applyAlignment="1">
      <alignment horizontal="left" vertical="center"/>
    </xf>
    <xf numFmtId="0" fontId="13" fillId="0" borderId="0" xfId="0" applyNumberFormat="1" applyFont="1" applyFill="1" applyAlignment="1">
      <alignment vertical="center"/>
    </xf>
    <xf numFmtId="0" fontId="21" fillId="0" borderId="0" xfId="0" quotePrefix="1" applyNumberFormat="1" applyFont="1" applyFill="1" applyBorder="1" applyAlignment="1">
      <alignment horizontal="left" vertical="center"/>
    </xf>
    <xf numFmtId="167" fontId="21" fillId="0" borderId="0" xfId="0" applyNumberFormat="1" applyFont="1" applyFill="1" applyBorder="1" applyAlignment="1">
      <alignment horizontal="right" vertical="center"/>
    </xf>
    <xf numFmtId="166" fontId="21" fillId="0" borderId="0" xfId="2" quotePrefix="1" applyNumberFormat="1" applyFont="1" applyFill="1" applyBorder="1" applyAlignment="1">
      <alignment horizontal="left" vertical="center"/>
    </xf>
    <xf numFmtId="166" fontId="13" fillId="0" borderId="0" xfId="2" applyNumberFormat="1" applyFont="1" applyFill="1" applyBorder="1" applyAlignment="1">
      <alignment horizontal="right" vertical="center"/>
    </xf>
    <xf numFmtId="0" fontId="13" fillId="0" borderId="6" xfId="0" quotePrefix="1" applyNumberFormat="1" applyFont="1" applyFill="1" applyBorder="1" applyAlignment="1">
      <alignment horizontal="left" vertical="center"/>
    </xf>
    <xf numFmtId="0" fontId="13" fillId="4" borderId="7" xfId="0" quotePrefix="1" applyNumberFormat="1" applyFont="1" applyFill="1" applyBorder="1" applyAlignment="1">
      <alignment horizontal="left" vertical="center"/>
    </xf>
    <xf numFmtId="0" fontId="13" fillId="0" borderId="7" xfId="0" quotePrefix="1" applyNumberFormat="1" applyFont="1" applyFill="1" applyBorder="1" applyAlignment="1">
      <alignment horizontal="left" vertical="center"/>
    </xf>
    <xf numFmtId="0" fontId="13" fillId="4" borderId="6" xfId="0" quotePrefix="1" applyNumberFormat="1" applyFont="1" applyFill="1" applyBorder="1" applyAlignment="1">
      <alignment horizontal="left" vertical="center"/>
    </xf>
    <xf numFmtId="166" fontId="13" fillId="4" borderId="11" xfId="2" applyNumberFormat="1" applyFont="1" applyFill="1" applyBorder="1" applyAlignment="1">
      <alignment horizontal="right" vertical="center"/>
    </xf>
    <xf numFmtId="166" fontId="13" fillId="0" borderId="13" xfId="2" applyNumberFormat="1" applyFont="1" applyFill="1" applyBorder="1" applyAlignment="1">
      <alignment horizontal="right" vertical="center"/>
    </xf>
    <xf numFmtId="166" fontId="21" fillId="4" borderId="16" xfId="2" applyNumberFormat="1" applyFont="1" applyFill="1" applyBorder="1" applyAlignment="1">
      <alignment horizontal="right" vertical="center"/>
    </xf>
    <xf numFmtId="166" fontId="13" fillId="4" borderId="10" xfId="2" applyNumberFormat="1" applyFont="1" applyFill="1" applyBorder="1" applyAlignment="1">
      <alignment horizontal="right" vertical="center"/>
    </xf>
    <xf numFmtId="166" fontId="21" fillId="4" borderId="15" xfId="2" applyNumberFormat="1" applyFont="1" applyFill="1" applyBorder="1" applyAlignment="1">
      <alignment horizontal="right" vertical="center"/>
    </xf>
    <xf numFmtId="0" fontId="21" fillId="4" borderId="8" xfId="0" quotePrefix="1" applyNumberFormat="1" applyFont="1" applyFill="1" applyBorder="1" applyAlignment="1">
      <alignment horizontal="left" vertical="center" wrapText="1"/>
    </xf>
    <xf numFmtId="0" fontId="19" fillId="2" borderId="0" xfId="0" applyNumberFormat="1" applyFont="1" applyFill="1" applyBorder="1"/>
    <xf numFmtId="0" fontId="20" fillId="2" borderId="0" xfId="0" quotePrefix="1" applyNumberFormat="1" applyFont="1" applyFill="1" applyBorder="1" applyAlignment="1">
      <alignment horizontal="centerContinuous"/>
    </xf>
    <xf numFmtId="0" fontId="19" fillId="2" borderId="0" xfId="0" applyNumberFormat="1" applyFont="1" applyFill="1" applyBorder="1" applyAlignment="1">
      <alignment horizontal="centerContinuous"/>
    </xf>
    <xf numFmtId="0" fontId="20" fillId="2" borderId="0" xfId="0" applyNumberFormat="1" applyFont="1" applyFill="1" applyBorder="1" applyAlignment="1">
      <alignment horizontal="centerContinuous"/>
    </xf>
    <xf numFmtId="0" fontId="19" fillId="2" borderId="0" xfId="0" applyNumberFormat="1" applyFont="1" applyFill="1" applyBorder="1" applyAlignment="1">
      <alignment horizontal="right"/>
    </xf>
    <xf numFmtId="49" fontId="13" fillId="0" borderId="0" xfId="0" applyNumberFormat="1" applyFont="1" applyBorder="1" applyAlignment="1">
      <alignment horizontal="right"/>
    </xf>
    <xf numFmtId="0" fontId="13" fillId="2" borderId="0" xfId="0" applyNumberFormat="1" applyFont="1" applyFill="1"/>
    <xf numFmtId="167" fontId="21" fillId="2" borderId="0" xfId="0" applyNumberFormat="1" applyFont="1" applyFill="1" applyBorder="1" applyAlignment="1">
      <alignment horizontal="right" vertical="center"/>
    </xf>
    <xf numFmtId="166" fontId="21" fillId="2" borderId="0" xfId="2" applyNumberFormat="1" applyFont="1" applyFill="1" applyBorder="1" applyAlignment="1">
      <alignment horizontal="right" vertical="center"/>
    </xf>
    <xf numFmtId="166" fontId="21" fillId="2" borderId="0" xfId="0" applyNumberFormat="1" applyFont="1" applyFill="1" applyBorder="1" applyAlignment="1">
      <alignment horizontal="right" vertical="center"/>
    </xf>
    <xf numFmtId="0" fontId="13" fillId="2" borderId="0" xfId="0" quotePrefix="1" applyNumberFormat="1" applyFont="1" applyFill="1" applyBorder="1" applyAlignment="1">
      <alignment horizontal="left" vertical="top"/>
    </xf>
    <xf numFmtId="0" fontId="13" fillId="2" borderId="0" xfId="0" applyNumberFormat="1" applyFont="1" applyFill="1" applyAlignment="1">
      <alignment vertical="center"/>
    </xf>
    <xf numFmtId="0" fontId="13" fillId="2" borderId="0" xfId="0" applyNumberFormat="1" applyFont="1" applyFill="1" applyBorder="1" applyAlignment="1">
      <alignment horizontal="right"/>
    </xf>
    <xf numFmtId="0" fontId="0" fillId="0" borderId="0" xfId="0" applyFont="1" applyBorder="1"/>
    <xf numFmtId="17" fontId="2" fillId="3" borderId="21" xfId="0" applyNumberFormat="1" applyFont="1" applyFill="1" applyBorder="1" applyAlignment="1">
      <alignment horizontal="center" vertical="center"/>
    </xf>
    <xf numFmtId="17" fontId="2" fillId="3" borderId="21" xfId="0" applyNumberFormat="1" applyFont="1" applyFill="1" applyBorder="1" applyAlignment="1">
      <alignment horizontal="center" vertical="center" wrapText="1"/>
    </xf>
    <xf numFmtId="0" fontId="2" fillId="3" borderId="21" xfId="0" applyNumberFormat="1" applyFont="1" applyFill="1" applyBorder="1" applyAlignment="1">
      <alignment horizontal="center" vertical="center" wrapText="1"/>
    </xf>
    <xf numFmtId="17" fontId="2" fillId="3" borderId="22" xfId="0" applyNumberFormat="1" applyFont="1" applyFill="1" applyBorder="1" applyAlignment="1">
      <alignment horizontal="center" vertical="center" wrapText="1"/>
    </xf>
    <xf numFmtId="167" fontId="13" fillId="0" borderId="24" xfId="0" applyNumberFormat="1" applyFont="1" applyFill="1" applyBorder="1" applyAlignment="1">
      <alignment horizontal="left"/>
    </xf>
    <xf numFmtId="167" fontId="13" fillId="4" borderId="25" xfId="0" applyNumberFormat="1" applyFont="1" applyFill="1" applyBorder="1" applyAlignment="1">
      <alignment horizontal="left" vertical="center"/>
    </xf>
    <xf numFmtId="167" fontId="13" fillId="0" borderId="25" xfId="0" applyNumberFormat="1" applyFont="1" applyFill="1" applyBorder="1" applyAlignment="1">
      <alignment horizontal="left" vertical="center"/>
    </xf>
    <xf numFmtId="166" fontId="21" fillId="0" borderId="31" xfId="2" applyNumberFormat="1" applyFont="1" applyFill="1" applyBorder="1" applyAlignment="1">
      <alignment horizontal="right" vertical="center"/>
    </xf>
    <xf numFmtId="0" fontId="13" fillId="4" borderId="24" xfId="0" quotePrefix="1" applyNumberFormat="1" applyFont="1" applyFill="1" applyBorder="1" applyAlignment="1">
      <alignment horizontal="left" vertical="center"/>
    </xf>
    <xf numFmtId="0" fontId="13" fillId="0" borderId="25" xfId="0" quotePrefix="1" applyNumberFormat="1" applyFont="1" applyFill="1" applyBorder="1" applyAlignment="1">
      <alignment horizontal="left" vertical="center"/>
    </xf>
    <xf numFmtId="0" fontId="21" fillId="4" borderId="26" xfId="0" quotePrefix="1" applyNumberFormat="1" applyFont="1" applyFill="1" applyBorder="1" applyAlignment="1">
      <alignment horizontal="left" vertical="center" wrapText="1"/>
    </xf>
    <xf numFmtId="0" fontId="21" fillId="0" borderId="5" xfId="0" quotePrefix="1" applyNumberFormat="1" applyFont="1" applyFill="1" applyBorder="1" applyAlignment="1">
      <alignment horizontal="left" vertical="center"/>
    </xf>
    <xf numFmtId="167" fontId="21" fillId="4" borderId="23" xfId="0" applyNumberFormat="1" applyFont="1" applyFill="1" applyBorder="1" applyAlignment="1">
      <alignment horizontal="left" vertical="center"/>
    </xf>
    <xf numFmtId="0" fontId="13" fillId="2" borderId="0" xfId="0" quotePrefix="1" applyNumberFormat="1" applyFont="1" applyFill="1" applyBorder="1" applyAlignment="1">
      <alignment horizontal="left" vertical="top" wrapText="1"/>
    </xf>
    <xf numFmtId="0" fontId="21" fillId="0" borderId="0" xfId="0" applyFont="1" applyBorder="1" applyAlignment="1">
      <alignment vertical="center"/>
    </xf>
    <xf numFmtId="0" fontId="22" fillId="2" borderId="0" xfId="0" quotePrefix="1" applyNumberFormat="1" applyFont="1" applyFill="1" applyBorder="1" applyAlignment="1">
      <alignment horizontal="left" vertical="top"/>
    </xf>
    <xf numFmtId="0" fontId="2" fillId="3" borderId="46" xfId="1" applyNumberFormat="1" applyFont="1" applyFill="1" applyBorder="1" applyAlignment="1">
      <alignment horizontal="center" vertical="center"/>
    </xf>
    <xf numFmtId="0" fontId="2" fillId="3" borderId="46" xfId="0" applyFont="1" applyFill="1" applyBorder="1" applyAlignment="1">
      <alignment horizontal="center" vertical="center"/>
    </xf>
    <xf numFmtId="0" fontId="13" fillId="2" borderId="0" xfId="0" applyFont="1" applyFill="1" applyBorder="1"/>
    <xf numFmtId="0" fontId="13" fillId="2" borderId="0" xfId="0" applyNumberFormat="1" applyFont="1" applyFill="1" applyBorder="1" applyAlignment="1">
      <alignment vertical="center" wrapText="1"/>
    </xf>
    <xf numFmtId="4" fontId="5" fillId="2" borderId="0" xfId="0" applyNumberFormat="1" applyFont="1" applyFill="1" applyBorder="1"/>
    <xf numFmtId="166" fontId="4" fillId="2" borderId="0" xfId="2" applyNumberFormat="1" applyFont="1" applyFill="1" applyBorder="1"/>
    <xf numFmtId="166" fontId="21" fillId="4" borderId="4" xfId="2" applyNumberFormat="1" applyFont="1" applyFill="1" applyBorder="1" applyAlignment="1">
      <alignment horizontal="right" vertical="center"/>
    </xf>
    <xf numFmtId="166" fontId="21" fillId="0" borderId="4" xfId="2" applyNumberFormat="1" applyFont="1" applyFill="1" applyBorder="1" applyAlignment="1">
      <alignment horizontal="right" vertical="center"/>
    </xf>
    <xf numFmtId="166" fontId="21" fillId="4" borderId="43" xfId="2" applyNumberFormat="1" applyFont="1" applyFill="1" applyBorder="1" applyAlignment="1">
      <alignment horizontal="right" vertical="center"/>
    </xf>
    <xf numFmtId="166" fontId="21" fillId="0" borderId="57" xfId="2" applyNumberFormat="1" applyFont="1" applyFill="1" applyBorder="1" applyAlignment="1">
      <alignment horizontal="right" vertical="center"/>
    </xf>
    <xf numFmtId="0" fontId="13" fillId="2" borderId="0" xfId="0" quotePrefix="1" applyNumberFormat="1" applyFont="1" applyFill="1" applyAlignment="1">
      <alignment vertical="center" wrapText="1"/>
    </xf>
    <xf numFmtId="0" fontId="13" fillId="2" borderId="0" xfId="0" quotePrefix="1" applyNumberFormat="1" applyFont="1" applyFill="1" applyBorder="1" applyAlignment="1">
      <alignment vertical="top" wrapText="1"/>
    </xf>
    <xf numFmtId="0" fontId="0" fillId="2" borderId="0" xfId="0" quotePrefix="1" applyNumberFormat="1" applyFont="1" applyFill="1" applyBorder="1" applyAlignment="1">
      <alignment horizontal="left" vertical="top"/>
    </xf>
    <xf numFmtId="0" fontId="2" fillId="2" borderId="0" xfId="0" applyFont="1" applyFill="1" applyBorder="1" applyAlignment="1">
      <alignment horizontal="center"/>
    </xf>
    <xf numFmtId="4" fontId="13" fillId="2" borderId="0" xfId="0" applyNumberFormat="1" applyFont="1" applyFill="1" applyBorder="1"/>
    <xf numFmtId="166" fontId="21" fillId="2" borderId="0" xfId="2" applyNumberFormat="1" applyFont="1" applyFill="1" applyBorder="1"/>
    <xf numFmtId="169" fontId="13" fillId="4" borderId="3" xfId="0" applyNumberFormat="1" applyFont="1" applyFill="1" applyBorder="1" applyAlignment="1">
      <alignment horizontal="left" vertical="center"/>
    </xf>
    <xf numFmtId="169" fontId="13" fillId="0" borderId="3" xfId="0" applyNumberFormat="1" applyFont="1" applyFill="1" applyBorder="1" applyAlignment="1">
      <alignment horizontal="left" vertical="center"/>
    </xf>
    <xf numFmtId="169" fontId="13" fillId="4" borderId="41" xfId="0" applyNumberFormat="1" applyFont="1" applyFill="1" applyBorder="1" applyAlignment="1">
      <alignment horizontal="left" vertical="center"/>
    </xf>
    <xf numFmtId="169" fontId="21" fillId="0" borderId="55" xfId="0" applyNumberFormat="1" applyFont="1" applyFill="1" applyBorder="1" applyAlignment="1">
      <alignment horizontal="left" vertical="center"/>
    </xf>
    <xf numFmtId="0" fontId="2" fillId="3" borderId="58" xfId="1" applyNumberFormat="1" applyFont="1" applyFill="1" applyBorder="1" applyAlignment="1">
      <alignment horizontal="center" vertical="center"/>
    </xf>
    <xf numFmtId="0" fontId="2" fillId="3" borderId="58" xfId="0" applyNumberFormat="1" applyFont="1" applyFill="1" applyBorder="1" applyAlignment="1">
      <alignment horizontal="center" vertical="center"/>
    </xf>
    <xf numFmtId="14" fontId="2" fillId="3" borderId="58" xfId="0" applyNumberFormat="1" applyFont="1" applyFill="1" applyBorder="1" applyAlignment="1">
      <alignment horizontal="center" vertical="center" wrapText="1"/>
    </xf>
    <xf numFmtId="0" fontId="13" fillId="2" borderId="0" xfId="0" applyNumberFormat="1" applyFont="1" applyFill="1" applyBorder="1"/>
    <xf numFmtId="0" fontId="21" fillId="2" borderId="0" xfId="0" applyNumberFormat="1" applyFont="1" applyFill="1" applyBorder="1" applyAlignment="1">
      <alignment horizontal="right"/>
    </xf>
    <xf numFmtId="17" fontId="4" fillId="2" borderId="0" xfId="0" quotePrefix="1" applyNumberFormat="1" applyFont="1" applyFill="1" applyAlignment="1">
      <alignment horizontal="center"/>
    </xf>
    <xf numFmtId="0" fontId="20" fillId="2" borderId="0" xfId="0" applyFont="1" applyFill="1" applyBorder="1" applyAlignment="1">
      <alignment horizontal="center" vertical="center" wrapText="1"/>
    </xf>
    <xf numFmtId="43" fontId="9" fillId="2" borderId="0" xfId="1" applyFont="1" applyFill="1" applyBorder="1"/>
    <xf numFmtId="4" fontId="9" fillId="2" borderId="0" xfId="0" applyNumberFormat="1" applyFont="1" applyFill="1" applyBorder="1"/>
    <xf numFmtId="0" fontId="5" fillId="0" borderId="0" xfId="0" applyNumberFormat="1" applyFont="1" applyFill="1"/>
    <xf numFmtId="0" fontId="5" fillId="2" borderId="0" xfId="0" applyNumberFormat="1" applyFont="1" applyFill="1" applyBorder="1" applyAlignment="1">
      <alignment vertical="center"/>
    </xf>
    <xf numFmtId="17" fontId="4" fillId="2" borderId="0" xfId="0" quotePrefix="1" applyNumberFormat="1" applyFont="1" applyFill="1" applyAlignment="1">
      <alignment horizontal="center" vertical="center"/>
    </xf>
    <xf numFmtId="1" fontId="7" fillId="0" borderId="0" xfId="0" applyNumberFormat="1" applyFont="1" applyFill="1" applyBorder="1" applyAlignment="1">
      <alignment horizontal="center" vertical="center"/>
    </xf>
    <xf numFmtId="1" fontId="7" fillId="0" borderId="0" xfId="0" applyNumberFormat="1" applyFont="1" applyFill="1" applyBorder="1" applyAlignment="1">
      <alignment horizontal="right" vertical="center"/>
    </xf>
    <xf numFmtId="0" fontId="7" fillId="0" borderId="0" xfId="0" applyFont="1" applyBorder="1" applyAlignment="1">
      <alignment vertical="center"/>
    </xf>
    <xf numFmtId="1" fontId="7" fillId="0" borderId="0" xfId="0" applyNumberFormat="1" applyFont="1" applyFill="1" applyBorder="1" applyAlignment="1">
      <alignment vertical="center"/>
    </xf>
    <xf numFmtId="164" fontId="7" fillId="0" borderId="0" xfId="0" applyNumberFormat="1" applyFont="1" applyFill="1" applyBorder="1" applyAlignment="1">
      <alignment horizontal="right" vertical="center"/>
    </xf>
    <xf numFmtId="164" fontId="7" fillId="0" borderId="0" xfId="0" applyNumberFormat="1" applyFont="1" applyFill="1" applyBorder="1" applyAlignment="1">
      <alignment horizontal="center" vertical="center"/>
    </xf>
    <xf numFmtId="0" fontId="8" fillId="0" borderId="0" xfId="0" applyFont="1" applyBorder="1" applyAlignment="1">
      <alignment vertical="center"/>
    </xf>
    <xf numFmtId="0" fontId="8" fillId="0" borderId="0" xfId="0" applyFont="1" applyAlignment="1">
      <alignment vertical="center"/>
    </xf>
    <xf numFmtId="0" fontId="2" fillId="3" borderId="66"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8" xfId="0" applyFont="1" applyFill="1" applyBorder="1" applyAlignment="1">
      <alignment horizontal="center" vertical="center" wrapText="1"/>
    </xf>
    <xf numFmtId="0" fontId="13" fillId="2" borderId="0" xfId="0" applyNumberFormat="1" applyFont="1" applyFill="1" applyAlignment="1">
      <alignment horizontal="left" vertical="center"/>
    </xf>
    <xf numFmtId="0" fontId="23" fillId="2" borderId="0" xfId="0" applyNumberFormat="1" applyFont="1" applyFill="1" applyBorder="1" applyAlignment="1">
      <alignment horizontal="right" vertical="center"/>
    </xf>
    <xf numFmtId="4" fontId="0" fillId="0" borderId="69" xfId="0" applyNumberFormat="1" applyFont="1" applyBorder="1" applyAlignment="1">
      <alignment vertical="center"/>
    </xf>
    <xf numFmtId="4" fontId="0" fillId="0" borderId="70" xfId="0" applyNumberFormat="1" applyFont="1" applyBorder="1" applyAlignment="1">
      <alignment vertical="center"/>
    </xf>
    <xf numFmtId="166" fontId="0" fillId="0" borderId="71" xfId="2" applyNumberFormat="1" applyFont="1" applyBorder="1" applyAlignment="1">
      <alignment vertical="center"/>
    </xf>
    <xf numFmtId="4" fontId="0" fillId="4" borderId="72" xfId="0" applyNumberFormat="1" applyFont="1" applyFill="1" applyBorder="1" applyAlignment="1">
      <alignment vertical="center"/>
    </xf>
    <xf numFmtId="4" fontId="0" fillId="4" borderId="73" xfId="0" applyNumberFormat="1" applyFont="1" applyFill="1" applyBorder="1" applyAlignment="1">
      <alignment vertical="center"/>
    </xf>
    <xf numFmtId="166" fontId="0" fillId="4" borderId="74" xfId="2" applyNumberFormat="1" applyFont="1" applyFill="1" applyBorder="1" applyAlignment="1">
      <alignment vertical="center"/>
    </xf>
    <xf numFmtId="0" fontId="13" fillId="2" borderId="0" xfId="0" applyNumberFormat="1" applyFont="1" applyFill="1" applyBorder="1" applyAlignment="1">
      <alignment horizontal="right" vertical="center"/>
    </xf>
    <xf numFmtId="0" fontId="24" fillId="2" borderId="0" xfId="0" applyNumberFormat="1" applyFont="1" applyFill="1" applyBorder="1" applyAlignment="1">
      <alignment horizontal="right" vertical="center"/>
    </xf>
    <xf numFmtId="0" fontId="0" fillId="0" borderId="0" xfId="0" applyNumberFormat="1" applyFont="1" applyFill="1" applyBorder="1" applyAlignment="1">
      <alignment horizontal="left" vertical="center" wrapText="1"/>
    </xf>
    <xf numFmtId="17" fontId="2" fillId="3" borderId="67" xfId="0" quotePrefix="1" applyNumberFormat="1" applyFont="1" applyFill="1" applyBorder="1" applyAlignment="1">
      <alignment horizontal="center" vertical="center" wrapText="1"/>
    </xf>
    <xf numFmtId="17" fontId="2" fillId="3" borderId="68" xfId="0" quotePrefix="1" applyNumberFormat="1" applyFont="1" applyFill="1" applyBorder="1" applyAlignment="1">
      <alignment horizontal="center" vertical="center" wrapText="1"/>
    </xf>
    <xf numFmtId="0" fontId="2" fillId="3" borderId="75" xfId="0" applyFont="1" applyFill="1" applyBorder="1" applyAlignment="1">
      <alignment horizontal="center" vertical="center" wrapText="1"/>
    </xf>
    <xf numFmtId="0" fontId="13" fillId="2" borderId="0" xfId="0" quotePrefix="1" applyNumberFormat="1" applyFont="1" applyFill="1" applyBorder="1" applyAlignment="1">
      <alignment horizontal="right" vertical="top"/>
    </xf>
    <xf numFmtId="4" fontId="0" fillId="0" borderId="70" xfId="0" applyNumberFormat="1" applyFont="1" applyBorder="1" applyAlignment="1">
      <alignment horizontal="right"/>
    </xf>
    <xf numFmtId="166" fontId="0" fillId="0" borderId="71" xfId="2" applyNumberFormat="1" applyFont="1" applyBorder="1"/>
    <xf numFmtId="4" fontId="0" fillId="4" borderId="73" xfId="0" applyNumberFormat="1" applyFont="1" applyFill="1" applyBorder="1" applyAlignment="1">
      <alignment horizontal="right"/>
    </xf>
    <xf numFmtId="166" fontId="0" fillId="4" borderId="74" xfId="2" applyNumberFormat="1" applyFont="1" applyFill="1" applyBorder="1"/>
    <xf numFmtId="4" fontId="0" fillId="4" borderId="72" xfId="0" applyNumberFormat="1" applyFont="1" applyFill="1" applyBorder="1"/>
    <xf numFmtId="4" fontId="0" fillId="0" borderId="69" xfId="0" applyNumberFormat="1" applyFont="1" applyBorder="1"/>
    <xf numFmtId="0" fontId="13" fillId="2" borderId="0" xfId="0" applyFont="1" applyFill="1" applyBorder="1" applyAlignment="1">
      <alignment horizontal="right"/>
    </xf>
    <xf numFmtId="0" fontId="13" fillId="2" borderId="0" xfId="0" quotePrefix="1" applyNumberFormat="1" applyFont="1" applyFill="1" applyBorder="1" applyAlignment="1">
      <alignment horizontal="right"/>
    </xf>
    <xf numFmtId="0" fontId="21" fillId="2" borderId="0" xfId="0" applyNumberFormat="1" applyFont="1" applyFill="1" applyBorder="1"/>
    <xf numFmtId="4" fontId="0" fillId="4" borderId="76" xfId="0" applyNumberFormat="1" applyFont="1" applyFill="1" applyBorder="1"/>
    <xf numFmtId="4" fontId="0" fillId="4" borderId="77" xfId="0" applyNumberFormat="1" applyFont="1" applyFill="1" applyBorder="1" applyAlignment="1">
      <alignment horizontal="right"/>
    </xf>
    <xf numFmtId="166" fontId="0" fillId="4" borderId="78" xfId="2" applyNumberFormat="1" applyFont="1" applyFill="1" applyBorder="1"/>
    <xf numFmtId="0" fontId="13" fillId="2" borderId="0" xfId="0" applyNumberFormat="1" applyFont="1" applyFill="1" applyAlignment="1">
      <alignment horizontal="centerContinuous"/>
    </xf>
    <xf numFmtId="0" fontId="13" fillId="2" borderId="0" xfId="0" applyNumberFormat="1" applyFont="1" applyFill="1" applyAlignment="1">
      <alignment horizontal="left"/>
    </xf>
    <xf numFmtId="0" fontId="23" fillId="2" borderId="0" xfId="0" applyNumberFormat="1" applyFont="1" applyFill="1" applyBorder="1" applyAlignment="1">
      <alignment horizontal="right"/>
    </xf>
    <xf numFmtId="0" fontId="21" fillId="2" borderId="0" xfId="0" applyFont="1" applyFill="1" applyBorder="1" applyAlignment="1">
      <alignment vertical="center" wrapText="1"/>
    </xf>
    <xf numFmtId="0" fontId="21" fillId="2" borderId="0" xfId="0" applyFont="1" applyFill="1" applyBorder="1" applyAlignment="1">
      <alignment horizontal="center" vertical="center" wrapText="1"/>
    </xf>
    <xf numFmtId="43" fontId="13" fillId="2" borderId="0" xfId="1" applyFont="1" applyFill="1" applyBorder="1"/>
    <xf numFmtId="0" fontId="13" fillId="0" borderId="0" xfId="0" applyNumberFormat="1" applyFont="1" applyFill="1"/>
    <xf numFmtId="0" fontId="4" fillId="2" borderId="0" xfId="0" applyNumberFormat="1" applyFont="1" applyFill="1" applyAlignment="1">
      <alignment horizontal="center"/>
    </xf>
    <xf numFmtId="0" fontId="4" fillId="2" borderId="0" xfId="0" applyNumberFormat="1" applyFont="1" applyFill="1" applyAlignment="1">
      <alignment horizontal="left" vertical="center" wrapText="1"/>
    </xf>
    <xf numFmtId="0" fontId="4" fillId="2" borderId="0" xfId="0" applyNumberFormat="1"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NumberFormat="1" applyFont="1" applyFill="1" applyAlignment="1">
      <alignment vertical="center"/>
    </xf>
    <xf numFmtId="43" fontId="6" fillId="2" borderId="0" xfId="1" applyFont="1" applyFill="1" applyAlignment="1">
      <alignment vertical="center"/>
    </xf>
    <xf numFmtId="0" fontId="6" fillId="2" borderId="0" xfId="0" applyNumberFormat="1" applyFont="1" applyFill="1" applyAlignment="1">
      <alignment vertical="center"/>
    </xf>
    <xf numFmtId="0" fontId="21" fillId="2" borderId="0" xfId="0" applyNumberFormat="1" applyFont="1" applyFill="1" applyBorder="1" applyAlignment="1">
      <alignment horizontal="center" vertical="center" wrapText="1"/>
    </xf>
    <xf numFmtId="2" fontId="21" fillId="2" borderId="0" xfId="0" applyNumberFormat="1" applyFont="1" applyFill="1" applyAlignment="1">
      <alignment vertical="center" wrapText="1"/>
    </xf>
    <xf numFmtId="2" fontId="13" fillId="2" borderId="0" xfId="0" applyNumberFormat="1" applyFont="1" applyFill="1" applyBorder="1" applyAlignment="1">
      <alignment horizontal="center" vertical="center" wrapText="1"/>
    </xf>
    <xf numFmtId="0" fontId="21" fillId="2" borderId="0" xfId="0" applyNumberFormat="1" applyFont="1" applyFill="1" applyAlignment="1">
      <alignment vertical="center" wrapText="1"/>
    </xf>
    <xf numFmtId="2" fontId="21" fillId="2" borderId="0" xfId="0" applyNumberFormat="1" applyFont="1" applyFill="1" applyAlignment="1"/>
    <xf numFmtId="0" fontId="5" fillId="2" borderId="0" xfId="0" applyNumberFormat="1" applyFont="1" applyFill="1" applyAlignment="1">
      <alignment horizontal="center"/>
    </xf>
    <xf numFmtId="0" fontId="5" fillId="2" borderId="0" xfId="0" applyNumberFormat="1" applyFont="1" applyFill="1" applyAlignment="1">
      <alignment vertical="center" wrapText="1"/>
    </xf>
    <xf numFmtId="0" fontId="4" fillId="0" borderId="0" xfId="0" applyNumberFormat="1" applyFont="1" applyFill="1" applyAlignment="1">
      <alignment horizontal="center"/>
    </xf>
    <xf numFmtId="0" fontId="11" fillId="0" borderId="0" xfId="0" applyFont="1" applyFill="1" applyBorder="1" applyAlignment="1">
      <alignment vertical="center"/>
    </xf>
    <xf numFmtId="0" fontId="4" fillId="0" borderId="0" xfId="0" applyNumberFormat="1" applyFont="1" applyFill="1" applyAlignment="1">
      <alignment horizontal="left" vertical="center" wrapText="1"/>
    </xf>
    <xf numFmtId="0" fontId="4" fillId="0" borderId="0" xfId="0" applyNumberFormat="1" applyFont="1" applyFill="1" applyAlignment="1">
      <alignment vertical="center" wrapText="1"/>
    </xf>
    <xf numFmtId="0" fontId="21" fillId="0" borderId="0" xfId="0" applyNumberFormat="1" applyFont="1" applyFill="1" applyAlignment="1">
      <alignment vertical="center" wrapText="1"/>
    </xf>
    <xf numFmtId="2" fontId="21" fillId="0" borderId="0" xfId="0" applyNumberFormat="1" applyFont="1" applyFill="1" applyAlignment="1">
      <alignment vertical="center" wrapText="1"/>
    </xf>
    <xf numFmtId="0" fontId="0" fillId="0" borderId="0" xfId="0" applyFont="1" applyFill="1" applyBorder="1" applyAlignment="1">
      <alignment horizontal="center"/>
    </xf>
    <xf numFmtId="2" fontId="4" fillId="0" borderId="0" xfId="0" applyNumberFormat="1" applyFont="1" applyFill="1" applyAlignment="1">
      <alignment vertical="center" wrapText="1"/>
    </xf>
    <xf numFmtId="2" fontId="13" fillId="0" borderId="0" xfId="0" applyNumberFormat="1" applyFont="1" applyFill="1" applyAlignment="1"/>
    <xf numFmtId="0" fontId="5" fillId="0" borderId="0" xfId="0" quotePrefix="1" applyNumberFormat="1" applyFont="1" applyFill="1" applyBorder="1" applyAlignment="1">
      <alignment horizontal="left" vertical="top"/>
    </xf>
    <xf numFmtId="0" fontId="13" fillId="0" borderId="0" xfId="0" quotePrefix="1" applyNumberFormat="1" applyFont="1" applyFill="1" applyBorder="1" applyAlignment="1">
      <alignment horizontal="left" vertical="top"/>
    </xf>
    <xf numFmtId="0" fontId="12" fillId="0" borderId="0" xfId="0" applyNumberFormat="1" applyFont="1" applyFill="1" applyAlignment="1">
      <alignment vertical="center"/>
    </xf>
    <xf numFmtId="0" fontId="4" fillId="0" borderId="0" xfId="0" applyNumberFormat="1" applyFont="1" applyFill="1" applyAlignment="1">
      <alignment horizontal="center" vertical="center"/>
    </xf>
    <xf numFmtId="49" fontId="7" fillId="0" borderId="0" xfId="0" applyNumberFormat="1" applyFont="1" applyFill="1" applyBorder="1" applyAlignment="1">
      <alignment horizontal="right" vertical="center"/>
    </xf>
    <xf numFmtId="49" fontId="13" fillId="0" borderId="0" xfId="0" applyNumberFormat="1" applyFont="1" applyFill="1" applyBorder="1" applyAlignment="1">
      <alignment horizontal="center" vertical="center"/>
    </xf>
    <xf numFmtId="164" fontId="13"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2" fontId="13" fillId="0" borderId="0" xfId="0" applyNumberFormat="1" applyFont="1" applyFill="1" applyAlignment="1">
      <alignment vertical="center"/>
    </xf>
    <xf numFmtId="0" fontId="2" fillId="3" borderId="85" xfId="0" applyFont="1" applyFill="1" applyBorder="1" applyAlignment="1">
      <alignment horizontal="center" vertical="center" wrapText="1"/>
    </xf>
    <xf numFmtId="0" fontId="2" fillId="3" borderId="86" xfId="0" applyFont="1" applyFill="1" applyBorder="1" applyAlignment="1">
      <alignment horizontal="center" vertical="center" wrapText="1"/>
    </xf>
    <xf numFmtId="4" fontId="13" fillId="0" borderId="88" xfId="0" applyNumberFormat="1" applyFont="1" applyBorder="1" applyAlignment="1">
      <alignment horizontal="center" vertical="center"/>
    </xf>
    <xf numFmtId="4" fontId="13" fillId="2" borderId="88" xfId="0" applyNumberFormat="1" applyFont="1" applyFill="1" applyBorder="1" applyAlignment="1">
      <alignment horizontal="center" vertical="center"/>
    </xf>
    <xf numFmtId="4" fontId="13" fillId="0" borderId="88" xfId="0" applyNumberFormat="1" applyFont="1" applyFill="1" applyBorder="1" applyAlignment="1">
      <alignment horizontal="center" vertical="center"/>
    </xf>
    <xf numFmtId="0" fontId="21" fillId="7" borderId="89" xfId="0" applyFont="1" applyFill="1" applyBorder="1" applyAlignment="1">
      <alignment vertical="center"/>
    </xf>
    <xf numFmtId="0" fontId="21" fillId="7" borderId="90" xfId="0" applyFont="1" applyFill="1" applyBorder="1" applyAlignment="1">
      <alignment vertical="center"/>
    </xf>
    <xf numFmtId="0" fontId="21" fillId="7" borderId="91" xfId="0" applyFont="1" applyFill="1" applyBorder="1" applyAlignment="1">
      <alignment vertical="center"/>
    </xf>
    <xf numFmtId="4" fontId="21" fillId="7" borderId="88" xfId="0" applyNumberFormat="1" applyFont="1" applyFill="1" applyBorder="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NumberFormat="1" applyFont="1" applyFill="1" applyAlignment="1">
      <alignment horizontal="centerContinuous" vertical="center"/>
    </xf>
    <xf numFmtId="0" fontId="13" fillId="2" borderId="0" xfId="0" applyNumberFormat="1" applyFont="1" applyFill="1" applyAlignment="1">
      <alignment horizontal="centerContinuous" vertical="center"/>
    </xf>
    <xf numFmtId="17" fontId="4" fillId="2" borderId="0" xfId="0" quotePrefix="1" applyNumberFormat="1" applyFont="1" applyFill="1" applyBorder="1" applyAlignment="1">
      <alignment horizontal="center"/>
    </xf>
    <xf numFmtId="17" fontId="5" fillId="2" borderId="0" xfId="0" applyNumberFormat="1" applyFont="1" applyFill="1" applyBorder="1" applyAlignment="1">
      <alignment horizontal="center"/>
    </xf>
    <xf numFmtId="0" fontId="5" fillId="2" borderId="0" xfId="0" applyNumberFormat="1" applyFont="1" applyFill="1" applyBorder="1" applyAlignment="1">
      <alignment horizontal="center"/>
    </xf>
    <xf numFmtId="49" fontId="13" fillId="0" borderId="0" xfId="0" applyNumberFormat="1" applyFont="1" applyFill="1" applyBorder="1" applyAlignment="1">
      <alignment horizontal="right"/>
    </xf>
    <xf numFmtId="0" fontId="13" fillId="2" borderId="0" xfId="0" quotePrefix="1" applyNumberFormat="1" applyFont="1" applyFill="1" applyBorder="1" applyAlignment="1">
      <alignment horizontal="left"/>
    </xf>
    <xf numFmtId="0" fontId="13" fillId="2" borderId="0" xfId="0" applyNumberFormat="1" applyFont="1" applyFill="1" applyBorder="1" applyAlignment="1">
      <alignment horizontal="center"/>
    </xf>
    <xf numFmtId="0" fontId="13" fillId="2" borderId="0" xfId="0" quotePrefix="1" applyNumberFormat="1" applyFont="1" applyFill="1" applyBorder="1" applyAlignment="1">
      <alignment horizontal="center"/>
    </xf>
    <xf numFmtId="0" fontId="13" fillId="0" borderId="0" xfId="0" applyNumberFormat="1" applyFont="1"/>
    <xf numFmtId="0" fontId="1" fillId="0" borderId="0" xfId="0" applyFont="1" applyFill="1" applyBorder="1"/>
    <xf numFmtId="0" fontId="1" fillId="0" borderId="0" xfId="0" applyFont="1" applyFill="1"/>
    <xf numFmtId="1" fontId="7" fillId="0" borderId="0" xfId="0" quotePrefix="1" applyNumberFormat="1" applyFont="1" applyFill="1" applyBorder="1" applyAlignment="1">
      <alignment horizontal="centerContinuous"/>
    </xf>
    <xf numFmtId="43" fontId="13" fillId="0" borderId="0" xfId="1" applyFont="1" applyBorder="1"/>
    <xf numFmtId="0" fontId="13" fillId="0" borderId="0" xfId="0" applyFont="1" applyFill="1" applyBorder="1"/>
    <xf numFmtId="43" fontId="13" fillId="0" borderId="0" xfId="1" applyFont="1" applyBorder="1" applyAlignment="1"/>
    <xf numFmtId="0" fontId="13" fillId="0" borderId="0" xfId="0" applyFont="1" applyFill="1" applyBorder="1" applyAlignment="1"/>
    <xf numFmtId="17" fontId="26" fillId="2" borderId="0" xfId="0" applyNumberFormat="1" applyFont="1" applyFill="1" applyAlignment="1">
      <alignment horizontal="centerContinuous" vertical="center"/>
    </xf>
    <xf numFmtId="0" fontId="11" fillId="2" borderId="0" xfId="0" applyNumberFormat="1" applyFont="1" applyFill="1" applyAlignment="1">
      <alignment horizontal="centerContinuous" vertical="center"/>
    </xf>
    <xf numFmtId="0" fontId="26" fillId="2" borderId="0" xfId="0" applyNumberFormat="1" applyFont="1" applyFill="1" applyAlignment="1">
      <alignment horizontal="centerContinuous" vertical="center"/>
    </xf>
    <xf numFmtId="0" fontId="26" fillId="2" borderId="0" xfId="0" applyNumberFormat="1" applyFont="1" applyFill="1" applyAlignment="1">
      <alignment horizontal="left" vertical="center"/>
    </xf>
    <xf numFmtId="0" fontId="0" fillId="0" borderId="0" xfId="0" applyFont="1" applyAlignment="1">
      <alignment vertical="center" wrapText="1"/>
    </xf>
    <xf numFmtId="49" fontId="13" fillId="0" borderId="0" xfId="0" applyNumberFormat="1" applyFont="1" applyBorder="1" applyAlignment="1">
      <alignment horizontal="right" vertical="center"/>
    </xf>
    <xf numFmtId="0" fontId="13" fillId="2" borderId="0" xfId="0" quotePrefix="1" applyNumberFormat="1" applyFont="1" applyFill="1" applyBorder="1" applyAlignment="1">
      <alignment horizontal="left" vertical="center"/>
    </xf>
    <xf numFmtId="0" fontId="13" fillId="2" borderId="0" xfId="0" applyNumberFormat="1" applyFont="1" applyFill="1" applyBorder="1" applyAlignment="1">
      <alignment horizontal="left" vertical="center"/>
    </xf>
    <xf numFmtId="0" fontId="29" fillId="2" borderId="0" xfId="0" quotePrefix="1" applyNumberFormat="1" applyFont="1" applyFill="1" applyBorder="1" applyAlignment="1">
      <alignment horizontal="left" vertical="center"/>
    </xf>
    <xf numFmtId="0" fontId="13" fillId="2" borderId="0" xfId="0" quotePrefix="1" applyNumberFormat="1" applyFont="1" applyFill="1" applyAlignment="1">
      <alignment horizontal="left" vertical="center"/>
    </xf>
    <xf numFmtId="0" fontId="21" fillId="2" borderId="0" xfId="0" quotePrefix="1" applyNumberFormat="1" applyFont="1" applyFill="1" applyBorder="1" applyAlignment="1">
      <alignment horizontal="left" vertical="center"/>
    </xf>
    <xf numFmtId="0" fontId="21" fillId="2" borderId="0" xfId="0" applyNumberFormat="1" applyFont="1" applyFill="1"/>
    <xf numFmtId="169" fontId="13" fillId="2" borderId="0" xfId="0" applyNumberFormat="1" applyFont="1" applyFill="1"/>
    <xf numFmtId="0" fontId="13" fillId="2" borderId="0" xfId="0" applyNumberFormat="1" applyFont="1" applyFill="1" applyAlignment="1">
      <alignment horizontal="right"/>
    </xf>
    <xf numFmtId="1" fontId="13" fillId="0" borderId="0" xfId="0" applyNumberFormat="1" applyFont="1" applyFill="1" applyBorder="1" applyAlignment="1">
      <alignment horizontal="right" vertical="center" wrapText="1"/>
    </xf>
    <xf numFmtId="0" fontId="12" fillId="2" borderId="0" xfId="0" applyNumberFormat="1" applyFont="1" applyFill="1" applyAlignment="1">
      <alignment vertical="center" wrapText="1"/>
    </xf>
    <xf numFmtId="0" fontId="13" fillId="2" borderId="0" xfId="2" applyNumberFormat="1" applyFont="1" applyFill="1" applyBorder="1" applyAlignment="1">
      <alignment horizontal="right"/>
    </xf>
    <xf numFmtId="0" fontId="13" fillId="2" borderId="0" xfId="0" quotePrefix="1" applyNumberFormat="1" applyFont="1" applyFill="1" applyBorder="1" applyAlignment="1">
      <alignment horizontal="left" vertical="center" indent="3"/>
    </xf>
    <xf numFmtId="0" fontId="21" fillId="2" borderId="0" xfId="2" applyNumberFormat="1" applyFont="1" applyFill="1" applyBorder="1" applyAlignment="1">
      <alignment horizontal="right"/>
    </xf>
    <xf numFmtId="0" fontId="0" fillId="2" borderId="0" xfId="0" quotePrefix="1" applyNumberFormat="1" applyFont="1" applyFill="1" applyBorder="1" applyAlignment="1">
      <alignment horizontal="left" vertical="center" indent="3"/>
    </xf>
    <xf numFmtId="0" fontId="13" fillId="2" borderId="0" xfId="0" quotePrefix="1" applyNumberFormat="1" applyFont="1" applyFill="1" applyBorder="1" applyAlignment="1">
      <alignment vertical="center" wrapText="1"/>
    </xf>
    <xf numFmtId="0" fontId="30" fillId="2" borderId="0" xfId="0" applyNumberFormat="1" applyFont="1" applyFill="1" applyBorder="1" applyAlignment="1">
      <alignment horizontal="right"/>
    </xf>
    <xf numFmtId="0" fontId="21" fillId="2" borderId="0" xfId="0" quotePrefix="1" applyNumberFormat="1" applyFont="1" applyFill="1" applyBorder="1" applyAlignment="1">
      <alignment horizontal="left"/>
    </xf>
    <xf numFmtId="0" fontId="13" fillId="2" borderId="0" xfId="0" quotePrefix="1" applyNumberFormat="1" applyFont="1" applyFill="1" applyAlignment="1">
      <alignment vertical="top" wrapText="1"/>
    </xf>
    <xf numFmtId="0" fontId="13" fillId="2" borderId="0" xfId="0" applyNumberFormat="1" applyFont="1" applyFill="1" applyAlignment="1">
      <alignment horizontal="center" vertical="center"/>
    </xf>
    <xf numFmtId="0" fontId="13" fillId="2" borderId="0" xfId="0" applyNumberFormat="1" applyFont="1" applyFill="1" applyBorder="1" applyAlignment="1">
      <alignment horizontal="center" vertical="center"/>
    </xf>
    <xf numFmtId="0" fontId="0" fillId="0" borderId="0" xfId="0" applyFont="1" applyAlignment="1">
      <alignment horizontal="center" vertical="center"/>
    </xf>
    <xf numFmtId="0" fontId="23" fillId="2" borderId="0" xfId="0" applyNumberFormat="1" applyFont="1" applyFill="1"/>
    <xf numFmtId="0" fontId="23" fillId="0" borderId="0" xfId="0" applyFont="1" applyFill="1" applyBorder="1" applyAlignment="1">
      <alignment vertical="center"/>
    </xf>
    <xf numFmtId="2" fontId="13" fillId="0" borderId="12" xfId="0" applyNumberFormat="1" applyFont="1" applyFill="1" applyBorder="1" applyAlignment="1">
      <alignment horizontal="right" vertical="center"/>
    </xf>
    <xf numFmtId="2" fontId="13" fillId="0" borderId="0" xfId="0" applyNumberFormat="1" applyFont="1" applyFill="1" applyBorder="1" applyAlignment="1">
      <alignment horizontal="right" vertical="center"/>
    </xf>
    <xf numFmtId="2" fontId="13" fillId="0" borderId="13"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Fill="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Fill="1" applyBorder="1" applyAlignment="1">
      <alignment horizontal="right" vertical="center"/>
    </xf>
    <xf numFmtId="10" fontId="21" fillId="0" borderId="37" xfId="2" applyNumberFormat="1" applyFont="1" applyFill="1" applyBorder="1" applyAlignment="1">
      <alignment horizontal="right" vertical="center"/>
    </xf>
    <xf numFmtId="10" fontId="21" fillId="0" borderId="10" xfId="2" applyNumberFormat="1" applyFont="1" applyFill="1" applyBorder="1" applyAlignment="1">
      <alignment horizontal="right" vertical="center"/>
    </xf>
    <xf numFmtId="10" fontId="21" fillId="4" borderId="0" xfId="2" applyNumberFormat="1" applyFont="1" applyFill="1" applyBorder="1" applyAlignment="1">
      <alignment horizontal="right" vertical="center"/>
    </xf>
    <xf numFmtId="10" fontId="21" fillId="0" borderId="0" xfId="2" applyNumberFormat="1" applyFont="1" applyFill="1" applyBorder="1" applyAlignment="1">
      <alignment horizontal="right" vertical="center"/>
    </xf>
    <xf numFmtId="10" fontId="21" fillId="0" borderId="36" xfId="2"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3" fillId="0" borderId="0" xfId="0" applyNumberFormat="1" applyFont="1" applyFill="1" applyBorder="1" applyAlignment="1">
      <alignment vertical="center"/>
    </xf>
    <xf numFmtId="0" fontId="23" fillId="0" borderId="0" xfId="0" applyNumberFormat="1" applyFont="1" applyFill="1" applyAlignment="1">
      <alignment vertical="center"/>
    </xf>
    <xf numFmtId="43" fontId="13" fillId="4" borderId="0" xfId="1" applyFont="1" applyFill="1" applyBorder="1" applyAlignment="1">
      <alignment horizontal="right" vertical="center"/>
    </xf>
    <xf numFmtId="43" fontId="13" fillId="0" borderId="0" xfId="1" applyFont="1" applyFill="1" applyBorder="1" applyAlignment="1">
      <alignment horizontal="right" vertical="center"/>
    </xf>
    <xf numFmtId="2" fontId="13" fillId="0" borderId="30" xfId="0" applyNumberFormat="1" applyFont="1" applyFill="1" applyBorder="1" applyAlignment="1">
      <alignment horizontal="right" vertical="center"/>
    </xf>
    <xf numFmtId="2" fontId="13" fillId="0" borderId="31" xfId="0" applyNumberFormat="1" applyFont="1" applyFill="1" applyBorder="1" applyAlignment="1">
      <alignment horizontal="right" vertical="center"/>
    </xf>
    <xf numFmtId="17" fontId="2" fillId="3" borderId="23" xfId="0" applyNumberFormat="1" applyFont="1" applyFill="1" applyBorder="1" applyAlignment="1">
      <alignment horizontal="center" vertical="center"/>
    </xf>
    <xf numFmtId="17" fontId="2" fillId="3" borderId="23" xfId="0" applyNumberFormat="1" applyFont="1" applyFill="1" applyBorder="1" applyAlignment="1">
      <alignment horizontal="center" vertical="center" wrapText="1"/>
    </xf>
    <xf numFmtId="0" fontId="2" fillId="3" borderId="23" xfId="0" applyNumberFormat="1" applyFont="1" applyFill="1" applyBorder="1" applyAlignment="1">
      <alignment horizontal="center" vertical="center" wrapText="1"/>
    </xf>
    <xf numFmtId="49" fontId="13" fillId="0" borderId="0" xfId="0" applyNumberFormat="1" applyFont="1" applyFill="1" applyBorder="1" applyAlignment="1">
      <alignment horizontal="left"/>
    </xf>
    <xf numFmtId="49" fontId="13" fillId="0" borderId="0" xfId="0" applyNumberFormat="1" applyFont="1" applyBorder="1" applyAlignment="1">
      <alignment horizontal="left"/>
    </xf>
    <xf numFmtId="0" fontId="13" fillId="0" borderId="0" xfId="0" applyNumberFormat="1" applyFont="1" applyFill="1" applyBorder="1" applyAlignment="1">
      <alignment horizontal="right"/>
    </xf>
    <xf numFmtId="10" fontId="21" fillId="0" borderId="0" xfId="2" applyNumberFormat="1" applyFont="1" applyFill="1" applyBorder="1" applyAlignment="1">
      <alignment horizontal="right"/>
    </xf>
    <xf numFmtId="167" fontId="13" fillId="0" borderId="25" xfId="0" applyNumberFormat="1" applyFont="1" applyFill="1" applyBorder="1" applyAlignment="1">
      <alignment horizontal="left"/>
    </xf>
    <xf numFmtId="167" fontId="13" fillId="0" borderId="26" xfId="0" applyNumberFormat="1" applyFont="1" applyFill="1" applyBorder="1" applyAlignment="1">
      <alignment horizontal="left"/>
    </xf>
    <xf numFmtId="10" fontId="21" fillId="0" borderId="29" xfId="2" applyNumberFormat="1" applyFont="1" applyFill="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Fill="1" applyBorder="1" applyAlignment="1">
      <alignment horizontal="right"/>
    </xf>
    <xf numFmtId="10" fontId="21" fillId="0" borderId="34" xfId="2" applyNumberFormat="1" applyFont="1" applyFill="1" applyBorder="1" applyAlignment="1">
      <alignment horizontal="right"/>
    </xf>
    <xf numFmtId="10" fontId="21" fillId="0" borderId="28" xfId="2" applyNumberFormat="1" applyFont="1" applyFill="1" applyBorder="1" applyAlignment="1">
      <alignment horizontal="right"/>
    </xf>
    <xf numFmtId="10" fontId="21" fillId="0" borderId="33" xfId="2" applyNumberFormat="1" applyFont="1" applyFill="1" applyBorder="1" applyAlignment="1">
      <alignment horizontal="right"/>
    </xf>
    <xf numFmtId="0" fontId="21" fillId="0" borderId="23" xfId="0" quotePrefix="1" applyNumberFormat="1" applyFont="1" applyFill="1" applyBorder="1" applyAlignment="1">
      <alignment horizontal="left" vertical="center"/>
    </xf>
    <xf numFmtId="10" fontId="21" fillId="0" borderId="40" xfId="2" applyNumberFormat="1" applyFont="1" applyFill="1" applyBorder="1" applyAlignment="1">
      <alignment horizontal="right" vertical="center"/>
    </xf>
    <xf numFmtId="10" fontId="21" fillId="0" borderId="39" xfId="2" applyNumberFormat="1" applyFont="1" applyFill="1" applyBorder="1" applyAlignment="1">
      <alignment horizontal="right" vertical="center"/>
    </xf>
    <xf numFmtId="0" fontId="21" fillId="0" borderId="23" xfId="0" quotePrefix="1" applyNumberFormat="1" applyFont="1" applyFill="1" applyBorder="1" applyAlignment="1">
      <alignment horizontal="left" vertical="center" wrapText="1"/>
    </xf>
    <xf numFmtId="10" fontId="21" fillId="0" borderId="38" xfId="2" applyNumberFormat="1" applyFont="1" applyFill="1" applyBorder="1" applyAlignment="1">
      <alignment horizontal="right" vertical="center"/>
    </xf>
    <xf numFmtId="166" fontId="21" fillId="0" borderId="40" xfId="2" applyNumberFormat="1" applyFont="1" applyFill="1" applyBorder="1" applyAlignment="1">
      <alignment horizontal="right" vertical="center"/>
    </xf>
    <xf numFmtId="0" fontId="23" fillId="2" borderId="0" xfId="0" applyNumberFormat="1" applyFont="1" applyFill="1" applyAlignment="1">
      <alignment vertical="top"/>
    </xf>
    <xf numFmtId="0" fontId="21" fillId="2" borderId="0" xfId="0" applyNumberFormat="1" applyFont="1" applyFill="1" applyBorder="1" applyAlignment="1">
      <alignment horizontal="left"/>
    </xf>
    <xf numFmtId="2" fontId="21" fillId="2" borderId="0" xfId="0" applyNumberFormat="1" applyFont="1" applyFill="1" applyBorder="1" applyAlignment="1">
      <alignment horizontal="right"/>
    </xf>
    <xf numFmtId="2" fontId="0" fillId="0" borderId="0" xfId="0" applyNumberFormat="1" applyFont="1"/>
    <xf numFmtId="49" fontId="27" fillId="0" borderId="0" xfId="0" applyNumberFormat="1" applyFont="1" applyFill="1" applyBorder="1" applyAlignment="1">
      <alignment horizontal="center"/>
    </xf>
    <xf numFmtId="17" fontId="2" fillId="3" borderId="23" xfId="0" applyNumberFormat="1" applyFont="1" applyFill="1" applyBorder="1" applyAlignment="1">
      <alignment horizontal="center"/>
    </xf>
    <xf numFmtId="0" fontId="2" fillId="3" borderId="23" xfId="0" applyNumberFormat="1" applyFont="1" applyFill="1" applyBorder="1" applyAlignment="1">
      <alignment horizontal="center" wrapText="1"/>
    </xf>
    <xf numFmtId="16" fontId="2" fillId="3" borderId="24" xfId="0" applyNumberFormat="1" applyFont="1" applyFill="1" applyBorder="1" applyAlignment="1">
      <alignment horizontal="center" vertical="center"/>
    </xf>
    <xf numFmtId="16" fontId="2" fillId="3" borderId="24" xfId="0" applyNumberFormat="1" applyFont="1" applyFill="1" applyBorder="1" applyAlignment="1">
      <alignment horizontal="center" wrapText="1"/>
    </xf>
    <xf numFmtId="20" fontId="2" fillId="3" borderId="26" xfId="0" quotePrefix="1" applyNumberFormat="1" applyFont="1" applyFill="1" applyBorder="1" applyAlignment="1">
      <alignment horizontal="center" vertical="center"/>
    </xf>
    <xf numFmtId="20" fontId="2" fillId="3" borderId="26" xfId="0" applyNumberFormat="1" applyFont="1" applyFill="1" applyBorder="1" applyAlignment="1">
      <alignment horizontal="center"/>
    </xf>
    <xf numFmtId="20" fontId="2" fillId="3" borderId="23" xfId="0" applyNumberFormat="1" applyFont="1" applyFill="1" applyBorder="1" applyAlignment="1">
      <alignment horizontal="center"/>
    </xf>
    <xf numFmtId="169" fontId="13" fillId="0" borderId="3" xfId="0" applyNumberFormat="1" applyFont="1" applyFill="1" applyBorder="1" applyAlignment="1">
      <alignment horizontal="left"/>
    </xf>
    <xf numFmtId="166" fontId="21" fillId="0" borderId="4" xfId="2" applyNumberFormat="1" applyFont="1" applyFill="1" applyBorder="1" applyAlignment="1">
      <alignment horizontal="right"/>
    </xf>
    <xf numFmtId="165" fontId="13" fillId="4" borderId="24" xfId="0" applyNumberFormat="1" applyFont="1" applyFill="1" applyBorder="1" applyAlignment="1">
      <alignment horizontal="left" vertical="center"/>
    </xf>
    <xf numFmtId="2" fontId="13" fillId="4" borderId="27" xfId="0" applyNumberFormat="1" applyFont="1" applyFill="1" applyBorder="1" applyAlignment="1">
      <alignment horizontal="right" vertical="center"/>
    </xf>
    <xf numFmtId="2" fontId="13" fillId="4" borderId="28" xfId="0" applyNumberFormat="1" applyFont="1" applyFill="1" applyBorder="1" applyAlignment="1">
      <alignment horizontal="right" vertical="center"/>
    </xf>
    <xf numFmtId="2" fontId="13" fillId="4" borderId="29" xfId="0" applyNumberFormat="1" applyFont="1" applyFill="1" applyBorder="1" applyAlignment="1">
      <alignment horizontal="right" vertical="center"/>
    </xf>
    <xf numFmtId="166" fontId="21" fillId="4" borderId="29" xfId="2" applyNumberFormat="1" applyFont="1" applyFill="1" applyBorder="1" applyAlignment="1">
      <alignment horizontal="right" vertical="center"/>
    </xf>
    <xf numFmtId="165" fontId="13" fillId="0" borderId="25" xfId="0" applyNumberFormat="1" applyFont="1" applyFill="1" applyBorder="1" applyAlignment="1">
      <alignment horizontal="left" vertical="center"/>
    </xf>
    <xf numFmtId="165" fontId="21" fillId="4" borderId="26" xfId="0" applyNumberFormat="1" applyFont="1" applyFill="1" applyBorder="1" applyAlignment="1">
      <alignment horizontal="left" vertical="center" wrapText="1"/>
    </xf>
    <xf numFmtId="2" fontId="21" fillId="4" borderId="32" xfId="0" applyNumberFormat="1" applyFont="1" applyFill="1" applyBorder="1" applyAlignment="1">
      <alignment horizontal="right" vertical="center"/>
    </xf>
    <xf numFmtId="2" fontId="21" fillId="4" borderId="33" xfId="0" applyNumberFormat="1" applyFont="1" applyFill="1" applyBorder="1" applyAlignment="1">
      <alignment horizontal="right" vertical="center"/>
    </xf>
    <xf numFmtId="2" fontId="21" fillId="4" borderId="34" xfId="0" applyNumberFormat="1" applyFont="1" applyFill="1" applyBorder="1" applyAlignment="1">
      <alignment horizontal="right" vertical="center"/>
    </xf>
    <xf numFmtId="166" fontId="21" fillId="4" borderId="34" xfId="2" applyNumberFormat="1" applyFont="1" applyFill="1" applyBorder="1" applyAlignment="1">
      <alignment horizontal="right" vertical="center"/>
    </xf>
    <xf numFmtId="0" fontId="21" fillId="4" borderId="54" xfId="0" quotePrefix="1" applyNumberFormat="1" applyFont="1" applyFill="1" applyBorder="1" applyAlignment="1">
      <alignment horizontal="left" vertical="center" wrapText="1"/>
    </xf>
    <xf numFmtId="166" fontId="21" fillId="4" borderId="57" xfId="2" applyNumberFormat="1" applyFont="1" applyFill="1" applyBorder="1" applyAlignment="1">
      <alignment horizontal="right" vertical="center"/>
    </xf>
    <xf numFmtId="0" fontId="0" fillId="0" borderId="0" xfId="0" applyNumberFormat="1" applyFont="1"/>
    <xf numFmtId="0" fontId="0" fillId="0" borderId="0" xfId="0" applyNumberFormat="1" applyFont="1" applyAlignment="1">
      <alignment horizontal="right"/>
    </xf>
    <xf numFmtId="0" fontId="13" fillId="0" borderId="0" xfId="0" applyNumberFormat="1" applyFont="1" applyBorder="1" applyAlignment="1">
      <alignment horizontal="right"/>
    </xf>
    <xf numFmtId="0" fontId="0" fillId="0" borderId="0" xfId="0" applyNumberFormat="1" applyFont="1" applyBorder="1" applyAlignment="1">
      <alignment horizontal="right"/>
    </xf>
    <xf numFmtId="2" fontId="0" fillId="0" borderId="0" xfId="0" applyNumberFormat="1" applyFont="1" applyAlignment="1">
      <alignment horizontal="right"/>
    </xf>
    <xf numFmtId="20" fontId="2" fillId="3" borderId="58" xfId="0" applyNumberFormat="1" applyFont="1" applyFill="1" applyBorder="1" applyAlignment="1">
      <alignment horizontal="center" vertical="center" wrapText="1"/>
    </xf>
    <xf numFmtId="0" fontId="0" fillId="0" borderId="0" xfId="0" applyFont="1" applyAlignment="1">
      <alignment horizontal="right"/>
    </xf>
    <xf numFmtId="0" fontId="10" fillId="2" borderId="0" xfId="0" quotePrefix="1" applyNumberFormat="1" applyFont="1" applyFill="1" applyBorder="1" applyAlignment="1">
      <alignment horizontal="left" vertical="center"/>
    </xf>
    <xf numFmtId="0" fontId="23" fillId="2" borderId="0" xfId="0" quotePrefix="1" applyNumberFormat="1" applyFont="1" applyFill="1" applyBorder="1" applyAlignment="1">
      <alignment horizontal="left" vertical="top"/>
    </xf>
    <xf numFmtId="0" fontId="23" fillId="2" borderId="0" xfId="0" applyNumberFormat="1" applyFont="1" applyFill="1" applyAlignment="1">
      <alignment vertical="center"/>
    </xf>
    <xf numFmtId="0" fontId="1" fillId="0" borderId="0" xfId="0" applyNumberFormat="1" applyFont="1" applyFill="1"/>
    <xf numFmtId="0" fontId="1" fillId="0" borderId="0" xfId="0" applyNumberFormat="1" applyFont="1" applyFill="1" applyAlignment="1">
      <alignment vertical="center"/>
    </xf>
    <xf numFmtId="2" fontId="27" fillId="2" borderId="82" xfId="0" applyNumberFormat="1" applyFont="1" applyFill="1" applyBorder="1" applyAlignment="1">
      <alignment horizontal="center" vertical="center" wrapText="1"/>
    </xf>
    <xf numFmtId="43" fontId="13" fillId="0" borderId="88" xfId="1" applyFont="1" applyBorder="1" applyAlignment="1">
      <alignment vertical="center" wrapText="1"/>
    </xf>
    <xf numFmtId="0" fontId="13" fillId="2" borderId="88" xfId="0" applyFont="1" applyFill="1" applyBorder="1" applyAlignment="1">
      <alignment vertical="center" wrapText="1"/>
    </xf>
    <xf numFmtId="43" fontId="13" fillId="2" borderId="88" xfId="1" applyFont="1" applyFill="1" applyBorder="1" applyAlignment="1">
      <alignment vertical="center" wrapText="1"/>
    </xf>
    <xf numFmtId="43" fontId="13" fillId="0" borderId="88" xfId="1" applyFont="1" applyFill="1" applyBorder="1" applyAlignment="1">
      <alignment vertical="center" wrapText="1"/>
    </xf>
    <xf numFmtId="0" fontId="13" fillId="0" borderId="88" xfId="0" applyFont="1" applyFill="1" applyBorder="1" applyAlignment="1">
      <alignment vertical="center" wrapText="1"/>
    </xf>
    <xf numFmtId="0" fontId="2" fillId="3" borderId="86" xfId="0" quotePrefix="1" applyNumberFormat="1" applyFont="1" applyFill="1" applyBorder="1" applyAlignment="1">
      <alignment horizontal="center" vertical="center" wrapText="1"/>
    </xf>
    <xf numFmtId="0" fontId="2" fillId="3" borderId="87" xfId="0" applyFont="1" applyFill="1" applyBorder="1" applyAlignment="1">
      <alignment horizontal="center" vertical="center" wrapText="1"/>
    </xf>
    <xf numFmtId="166" fontId="13" fillId="0" borderId="88" xfId="2" applyNumberFormat="1" applyFont="1" applyBorder="1" applyAlignment="1">
      <alignment horizontal="center" vertical="center"/>
    </xf>
    <xf numFmtId="166" fontId="21" fillId="7" borderId="88" xfId="2" applyNumberFormat="1" applyFont="1" applyFill="1" applyBorder="1" applyAlignment="1">
      <alignment horizontal="center" vertical="center"/>
    </xf>
    <xf numFmtId="0" fontId="38" fillId="2" borderId="0" xfId="0" applyNumberFormat="1" applyFont="1" applyFill="1" applyBorder="1" applyAlignment="1"/>
    <xf numFmtId="0" fontId="38" fillId="2" borderId="0" xfId="0" applyNumberFormat="1" applyFont="1" applyFill="1" applyBorder="1"/>
    <xf numFmtId="4" fontId="0" fillId="0" borderId="70" xfId="0" applyNumberFormat="1" applyFont="1" applyBorder="1" applyAlignment="1">
      <alignment horizontal="right" vertical="center"/>
    </xf>
    <xf numFmtId="0" fontId="13" fillId="0" borderId="88" xfId="0" applyFont="1" applyBorder="1" applyAlignment="1">
      <alignment horizontal="left" vertical="center"/>
    </xf>
    <xf numFmtId="0" fontId="34" fillId="2" borderId="0" xfId="0" applyNumberFormat="1" applyFont="1" applyFill="1" applyAlignment="1"/>
    <xf numFmtId="0" fontId="33" fillId="9" borderId="103" xfId="5" applyFont="1" applyFill="1" applyBorder="1" applyAlignment="1">
      <alignment horizontal="center" vertical="center"/>
    </xf>
    <xf numFmtId="0" fontId="31" fillId="0" borderId="106" xfId="0" applyNumberFormat="1" applyFont="1" applyFill="1" applyBorder="1"/>
    <xf numFmtId="43" fontId="31" fillId="0" borderId="106" xfId="1" applyFont="1" applyFill="1" applyBorder="1"/>
    <xf numFmtId="43" fontId="31" fillId="0" borderId="107" xfId="1" applyFont="1" applyFill="1" applyBorder="1"/>
    <xf numFmtId="0" fontId="41" fillId="0" borderId="108" xfId="0" applyFont="1" applyBorder="1"/>
    <xf numFmtId="0" fontId="31" fillId="0" borderId="0" xfId="0" applyNumberFormat="1" applyFont="1" applyFill="1" applyBorder="1"/>
    <xf numFmtId="43" fontId="31" fillId="0" borderId="0" xfId="1" applyFont="1" applyFill="1" applyBorder="1"/>
    <xf numFmtId="43" fontId="31" fillId="0" borderId="109" xfId="1" applyFont="1" applyFill="1" applyBorder="1"/>
    <xf numFmtId="0" fontId="41" fillId="0" borderId="110" xfId="0" applyFont="1" applyBorder="1"/>
    <xf numFmtId="0" fontId="41" fillId="0" borderId="111" xfId="0" applyFont="1" applyBorder="1"/>
    <xf numFmtId="0" fontId="41" fillId="7" borderId="112" xfId="0" applyFont="1" applyFill="1" applyBorder="1"/>
    <xf numFmtId="0" fontId="41" fillId="7" borderId="113" xfId="0" applyFont="1" applyFill="1" applyBorder="1"/>
    <xf numFmtId="43" fontId="41" fillId="7" borderId="113" xfId="1" applyFont="1" applyFill="1" applyBorder="1"/>
    <xf numFmtId="43" fontId="41" fillId="7" borderId="114" xfId="1" applyFont="1" applyFill="1" applyBorder="1"/>
    <xf numFmtId="0" fontId="21" fillId="2" borderId="0" xfId="0" quotePrefix="1" applyNumberFormat="1" applyFont="1" applyFill="1" applyAlignment="1">
      <alignment vertical="center"/>
    </xf>
    <xf numFmtId="17" fontId="33" fillId="9" borderId="117" xfId="0" applyNumberFormat="1" applyFont="1" applyFill="1" applyBorder="1" applyAlignment="1">
      <alignment horizontal="center" vertical="center"/>
    </xf>
    <xf numFmtId="0" fontId="33" fillId="9" borderId="119" xfId="5" applyFont="1" applyFill="1" applyBorder="1" applyAlignment="1">
      <alignment horizontal="center" vertical="center"/>
    </xf>
    <xf numFmtId="0" fontId="33" fillId="9" borderId="121" xfId="5" applyFont="1" applyFill="1" applyBorder="1" applyAlignment="1">
      <alignment horizontal="center" vertical="center"/>
    </xf>
    <xf numFmtId="0" fontId="33" fillId="9" borderId="122" xfId="5" applyFont="1" applyFill="1" applyBorder="1" applyAlignment="1">
      <alignment horizontal="center" vertical="center"/>
    </xf>
    <xf numFmtId="0" fontId="33" fillId="9" borderId="123" xfId="0" applyNumberFormat="1" applyFont="1" applyFill="1" applyBorder="1" applyAlignment="1">
      <alignment vertical="center"/>
    </xf>
    <xf numFmtId="0" fontId="42" fillId="9" borderId="124" xfId="0" applyNumberFormat="1" applyFont="1" applyFill="1" applyBorder="1" applyAlignment="1">
      <alignment vertical="center"/>
    </xf>
    <xf numFmtId="4" fontId="33" fillId="9" borderId="58" xfId="0" applyNumberFormat="1" applyFont="1" applyFill="1" applyBorder="1" applyAlignment="1">
      <alignment vertical="center"/>
    </xf>
    <xf numFmtId="4" fontId="42" fillId="9" borderId="58" xfId="0" applyNumberFormat="1" applyFont="1" applyFill="1" applyBorder="1" applyAlignment="1">
      <alignment vertical="center"/>
    </xf>
    <xf numFmtId="0" fontId="42" fillId="9" borderId="123" xfId="0" applyNumberFormat="1" applyFont="1" applyFill="1" applyBorder="1" applyAlignment="1">
      <alignment vertical="center"/>
    </xf>
    <xf numFmtId="0" fontId="33" fillId="9" borderId="125" xfId="0" applyNumberFormat="1" applyFont="1" applyFill="1" applyBorder="1" applyAlignment="1">
      <alignment vertical="center"/>
    </xf>
    <xf numFmtId="4" fontId="33" fillId="9" borderId="125" xfId="0" applyNumberFormat="1" applyFont="1" applyFill="1" applyBorder="1" applyAlignment="1">
      <alignment vertical="center"/>
    </xf>
    <xf numFmtId="4" fontId="42" fillId="9" borderId="124" xfId="0" applyNumberFormat="1" applyFont="1" applyFill="1" applyBorder="1" applyAlignment="1">
      <alignment vertical="center"/>
    </xf>
    <xf numFmtId="0" fontId="42" fillId="9" borderId="126" xfId="0" applyNumberFormat="1" applyFont="1" applyFill="1" applyBorder="1" applyAlignment="1">
      <alignment vertical="center"/>
    </xf>
    <xf numFmtId="0" fontId="42" fillId="9" borderId="127" xfId="0" applyNumberFormat="1" applyFont="1" applyFill="1" applyBorder="1" applyAlignment="1">
      <alignment vertical="center"/>
    </xf>
    <xf numFmtId="4" fontId="42" fillId="9" borderId="127" xfId="0" applyNumberFormat="1" applyFont="1" applyFill="1" applyBorder="1" applyAlignment="1">
      <alignment vertical="center"/>
    </xf>
    <xf numFmtId="4" fontId="42" fillId="9" borderId="128" xfId="0" applyNumberFormat="1" applyFont="1" applyFill="1" applyBorder="1" applyAlignment="1">
      <alignment vertical="center"/>
    </xf>
    <xf numFmtId="0" fontId="31" fillId="0" borderId="0" xfId="0" applyFont="1" applyFill="1"/>
    <xf numFmtId="0" fontId="31" fillId="0" borderId="0" xfId="0" applyFont="1"/>
    <xf numFmtId="0" fontId="34" fillId="0" borderId="0" xfId="0" applyNumberFormat="1" applyFont="1" applyFill="1" applyAlignment="1">
      <alignment vertical="center"/>
    </xf>
    <xf numFmtId="0" fontId="33" fillId="10" borderId="130" xfId="6" applyNumberFormat="1" applyFont="1" applyFill="1" applyBorder="1" applyAlignment="1">
      <alignment horizontal="center" vertical="center" wrapText="1"/>
    </xf>
    <xf numFmtId="0" fontId="34" fillId="0" borderId="0" xfId="0" applyNumberFormat="1" applyFont="1" applyFill="1" applyAlignment="1">
      <alignment horizontal="center"/>
    </xf>
    <xf numFmtId="0" fontId="34" fillId="0" borderId="0" xfId="0" applyFont="1" applyFill="1" applyBorder="1" applyAlignment="1">
      <alignment vertical="center"/>
    </xf>
    <xf numFmtId="0" fontId="34" fillId="0" borderId="0" xfId="0" applyNumberFormat="1" applyFont="1" applyFill="1" applyAlignment="1">
      <alignment vertical="center" wrapText="1"/>
    </xf>
    <xf numFmtId="0" fontId="34" fillId="0" borderId="0" xfId="0" applyNumberFormat="1" applyFont="1" applyFill="1" applyAlignment="1">
      <alignment horizontal="left" vertical="center" wrapText="1"/>
    </xf>
    <xf numFmtId="49" fontId="27" fillId="0" borderId="0" xfId="0" applyNumberFormat="1" applyFont="1" applyFill="1" applyBorder="1" applyAlignment="1">
      <alignment horizontal="right"/>
    </xf>
    <xf numFmtId="1" fontId="27" fillId="0" borderId="0" xfId="0" applyNumberFormat="1" applyFont="1" applyFill="1" applyBorder="1" applyAlignment="1">
      <alignment horizontal="right"/>
    </xf>
    <xf numFmtId="1" fontId="27" fillId="0" borderId="0" xfId="0" applyNumberFormat="1" applyFont="1" applyFill="1" applyBorder="1" applyAlignment="1">
      <alignment horizontal="center"/>
    </xf>
    <xf numFmtId="164" fontId="27" fillId="0" borderId="0" xfId="0" applyNumberFormat="1" applyFont="1" applyFill="1" applyBorder="1" applyAlignment="1">
      <alignment horizontal="center"/>
    </xf>
    <xf numFmtId="2" fontId="34" fillId="0" borderId="0" xfId="0" applyNumberFormat="1" applyFont="1" applyFill="1" applyAlignment="1">
      <alignment vertical="center" wrapText="1"/>
    </xf>
    <xf numFmtId="0" fontId="31" fillId="0" borderId="0" xfId="0" applyFont="1" applyFill="1" applyBorder="1" applyAlignment="1">
      <alignment horizontal="center"/>
    </xf>
    <xf numFmtId="0" fontId="31" fillId="0" borderId="0" xfId="0" applyFont="1" applyFill="1" applyBorder="1"/>
    <xf numFmtId="0" fontId="27" fillId="0" borderId="0" xfId="0" applyNumberFormat="1" applyFont="1" applyFill="1" applyAlignment="1">
      <alignment vertical="center"/>
    </xf>
    <xf numFmtId="0" fontId="27" fillId="0" borderId="0" xfId="0" quotePrefix="1" applyNumberFormat="1" applyFont="1" applyFill="1" applyBorder="1" applyAlignment="1">
      <alignment horizontal="left" vertical="top"/>
    </xf>
    <xf numFmtId="43" fontId="41" fillId="7" borderId="113" xfId="0" applyNumberFormat="1" applyFont="1" applyFill="1" applyBorder="1"/>
    <xf numFmtId="0" fontId="31" fillId="0" borderId="0" xfId="0" applyNumberFormat="1" applyFont="1" applyBorder="1"/>
    <xf numFmtId="43" fontId="31" fillId="0" borderId="0" xfId="0" applyNumberFormat="1" applyFont="1" applyBorder="1"/>
    <xf numFmtId="10" fontId="31" fillId="0" borderId="109" xfId="2" applyNumberFormat="1" applyFont="1" applyBorder="1"/>
    <xf numFmtId="10" fontId="41" fillId="7" borderId="114" xfId="2" applyNumberFormat="1" applyFont="1" applyFill="1" applyBorder="1"/>
    <xf numFmtId="0" fontId="31" fillId="0" borderId="106" xfId="0" applyNumberFormat="1" applyFont="1" applyBorder="1"/>
    <xf numFmtId="43" fontId="31" fillId="0" borderId="106" xfId="0" applyNumberFormat="1" applyFont="1" applyBorder="1"/>
    <xf numFmtId="17" fontId="33" fillId="10" borderId="46" xfId="6" quotePrefix="1" applyNumberFormat="1" applyFont="1" applyFill="1" applyBorder="1" applyAlignment="1">
      <alignment horizontal="center" vertical="center" wrapText="1"/>
    </xf>
    <xf numFmtId="0" fontId="33" fillId="10" borderId="46" xfId="6" quotePrefix="1" applyNumberFormat="1" applyFont="1" applyFill="1" applyBorder="1" applyAlignment="1">
      <alignment horizontal="center" vertical="center" wrapText="1"/>
    </xf>
    <xf numFmtId="0" fontId="33" fillId="10" borderId="46" xfId="6" applyNumberFormat="1" applyFont="1" applyFill="1" applyBorder="1" applyAlignment="1">
      <alignment horizontal="center" vertical="center" wrapText="1"/>
    </xf>
    <xf numFmtId="14" fontId="33" fillId="10" borderId="46" xfId="6" applyNumberFormat="1" applyFont="1" applyFill="1" applyBorder="1" applyAlignment="1">
      <alignment horizontal="center" vertical="center"/>
    </xf>
    <xf numFmtId="0" fontId="33" fillId="10" borderId="130" xfId="6" applyNumberFormat="1" applyFont="1" applyFill="1" applyBorder="1" applyAlignment="1">
      <alignment horizontal="center" vertical="center"/>
    </xf>
    <xf numFmtId="20" fontId="33" fillId="10" borderId="132" xfId="6" applyNumberFormat="1" applyFont="1" applyFill="1" applyBorder="1" applyAlignment="1">
      <alignment horizontal="center" vertical="center"/>
    </xf>
    <xf numFmtId="0" fontId="33" fillId="10" borderId="133" xfId="6" applyNumberFormat="1" applyFont="1" applyFill="1" applyBorder="1" applyAlignment="1">
      <alignment horizontal="center" vertical="center"/>
    </xf>
    <xf numFmtId="173" fontId="43" fillId="9" borderId="137" xfId="0" applyNumberFormat="1" applyFont="1" applyFill="1" applyBorder="1" applyAlignment="1">
      <alignment horizontal="center" vertical="center"/>
    </xf>
    <xf numFmtId="173" fontId="43" fillId="9" borderId="137" xfId="0" applyNumberFormat="1" applyFont="1" applyFill="1" applyBorder="1" applyAlignment="1">
      <alignment horizontal="center" vertical="center" wrapText="1"/>
    </xf>
    <xf numFmtId="4" fontId="27" fillId="0" borderId="137" xfId="0" applyNumberFormat="1" applyFont="1" applyBorder="1" applyAlignment="1">
      <alignment vertical="center"/>
    </xf>
    <xf numFmtId="4" fontId="27" fillId="0" borderId="137" xfId="0" applyNumberFormat="1" applyFont="1" applyBorder="1"/>
    <xf numFmtId="4" fontId="27" fillId="7" borderId="137" xfId="0" applyNumberFormat="1" applyFont="1" applyFill="1" applyBorder="1"/>
    <xf numFmtId="173" fontId="0" fillId="0" borderId="0" xfId="0" applyNumberFormat="1" applyFont="1"/>
    <xf numFmtId="0" fontId="3" fillId="0" borderId="0" xfId="0" applyNumberFormat="1" applyFont="1"/>
    <xf numFmtId="0" fontId="4" fillId="0" borderId="0" xfId="0" applyNumberFormat="1" applyFont="1"/>
    <xf numFmtId="0" fontId="34" fillId="2" borderId="0" xfId="0" applyNumberFormat="1" applyFont="1" applyFill="1" applyAlignment="1">
      <alignment horizontal="left" vertical="center"/>
    </xf>
    <xf numFmtId="0" fontId="34" fillId="2" borderId="0" xfId="0" applyNumberFormat="1" applyFont="1" applyFill="1" applyAlignment="1">
      <alignment vertical="center"/>
    </xf>
    <xf numFmtId="0" fontId="31" fillId="0" borderId="0" xfId="0" applyFont="1" applyFill="1" applyAlignment="1">
      <alignment vertical="center"/>
    </xf>
    <xf numFmtId="0" fontId="34" fillId="0" borderId="0" xfId="0" applyNumberFormat="1" applyFont="1" applyFill="1" applyAlignment="1">
      <alignment horizontal="center" vertical="center"/>
    </xf>
    <xf numFmtId="49" fontId="27" fillId="0" borderId="0" xfId="0" applyNumberFormat="1" applyFont="1" applyFill="1" applyBorder="1" applyAlignment="1">
      <alignment horizontal="right" vertical="center"/>
    </xf>
    <xf numFmtId="1" fontId="27" fillId="0" borderId="0" xfId="0" applyNumberFormat="1" applyFont="1" applyFill="1" applyBorder="1" applyAlignment="1">
      <alignment horizontal="right" vertical="center"/>
    </xf>
    <xf numFmtId="49" fontId="27" fillId="0" borderId="0" xfId="0" applyNumberFormat="1" applyFont="1" applyFill="1" applyBorder="1" applyAlignment="1">
      <alignment horizontal="center" vertical="center"/>
    </xf>
    <xf numFmtId="1" fontId="27" fillId="0" borderId="0" xfId="0" applyNumberFormat="1" applyFont="1" applyFill="1" applyBorder="1" applyAlignment="1">
      <alignment horizontal="center" vertical="center"/>
    </xf>
    <xf numFmtId="164" fontId="27" fillId="0" borderId="0" xfId="0" applyNumberFormat="1" applyFont="1" applyFill="1" applyBorder="1" applyAlignment="1">
      <alignment horizontal="center" vertical="center"/>
    </xf>
    <xf numFmtId="0" fontId="31" fillId="0" borderId="0" xfId="0" applyFont="1" applyFill="1" applyBorder="1" applyAlignment="1">
      <alignment horizontal="center" vertical="center"/>
    </xf>
    <xf numFmtId="0" fontId="31" fillId="0" borderId="0" xfId="0" applyFont="1" applyFill="1" applyBorder="1" applyAlignment="1">
      <alignment vertical="center"/>
    </xf>
    <xf numFmtId="0" fontId="31" fillId="0" borderId="0" xfId="0" applyFont="1" applyAlignment="1">
      <alignment vertical="center"/>
    </xf>
    <xf numFmtId="0" fontId="31" fillId="0" borderId="0" xfId="0" applyFont="1" applyFill="1" applyAlignment="1">
      <alignment horizontal="center" vertical="center"/>
    </xf>
    <xf numFmtId="0" fontId="37" fillId="9" borderId="82" xfId="0" applyFont="1" applyFill="1" applyBorder="1" applyAlignment="1">
      <alignment horizontal="center" vertical="center"/>
    </xf>
    <xf numFmtId="43" fontId="37" fillId="9" borderId="82" xfId="1" applyFont="1" applyFill="1" applyBorder="1" applyAlignment="1">
      <alignment horizontal="center" vertical="center"/>
    </xf>
    <xf numFmtId="4" fontId="37" fillId="9" borderId="82" xfId="0" applyNumberFormat="1" applyFont="1" applyFill="1" applyBorder="1" applyAlignment="1">
      <alignment horizontal="center" vertical="center"/>
    </xf>
    <xf numFmtId="0" fontId="37" fillId="9" borderId="82" xfId="0" applyNumberFormat="1" applyFont="1" applyFill="1" applyBorder="1" applyAlignment="1">
      <alignment horizontal="center" vertical="center" wrapText="1"/>
    </xf>
    <xf numFmtId="0" fontId="32" fillId="0" borderId="82" xfId="0" applyNumberFormat="1" applyFont="1" applyFill="1" applyBorder="1" applyAlignment="1">
      <alignment vertical="center" wrapText="1"/>
    </xf>
    <xf numFmtId="22" fontId="32" fillId="0" borderId="82" xfId="0" applyNumberFormat="1" applyFont="1" applyFill="1" applyBorder="1" applyAlignment="1">
      <alignment horizontal="center" vertical="center" wrapText="1"/>
    </xf>
    <xf numFmtId="0" fontId="32" fillId="0" borderId="82" xfId="0" applyNumberFormat="1" applyFont="1" applyFill="1" applyBorder="1" applyAlignment="1">
      <alignment horizontal="center" vertical="center" wrapText="1"/>
    </xf>
    <xf numFmtId="0" fontId="13" fillId="0" borderId="0" xfId="0" applyFont="1" applyFill="1" applyAlignment="1"/>
    <xf numFmtId="43" fontId="13" fillId="0" borderId="0" xfId="1" applyFont="1" applyFill="1" applyAlignment="1"/>
    <xf numFmtId="0" fontId="44" fillId="0" borderId="0" xfId="0" applyFont="1" applyFill="1" applyAlignment="1"/>
    <xf numFmtId="0" fontId="45" fillId="0" borderId="0" xfId="0" applyFont="1" applyFill="1" applyBorder="1" applyAlignment="1">
      <alignment vertical="center"/>
    </xf>
    <xf numFmtId="0" fontId="46" fillId="0" borderId="0" xfId="0" applyFont="1" applyFill="1" applyAlignment="1">
      <alignment vertical="center"/>
    </xf>
    <xf numFmtId="0" fontId="45" fillId="0" borderId="0" xfId="0" applyNumberFormat="1" applyFont="1" applyFill="1" applyBorder="1" applyAlignment="1">
      <alignment vertical="center"/>
    </xf>
    <xf numFmtId="0" fontId="47" fillId="0" borderId="0" xfId="0" applyFont="1" applyFill="1" applyBorder="1" applyAlignment="1">
      <alignment vertical="center"/>
    </xf>
    <xf numFmtId="0" fontId="45" fillId="0" borderId="0" xfId="0" applyFont="1" applyFill="1" applyBorder="1" applyAlignment="1">
      <alignment horizontal="center" vertical="center"/>
    </xf>
    <xf numFmtId="0" fontId="47" fillId="0" borderId="0" xfId="0" applyFont="1" applyFill="1" applyBorder="1" applyAlignment="1">
      <alignment horizontal="justify" vertical="center"/>
    </xf>
    <xf numFmtId="0" fontId="48" fillId="0" borderId="0" xfId="0" applyFont="1" applyFill="1" applyBorder="1" applyAlignment="1">
      <alignment vertical="center"/>
    </xf>
    <xf numFmtId="0" fontId="46" fillId="0" borderId="0" xfId="0" applyFont="1"/>
    <xf numFmtId="0" fontId="49" fillId="0" borderId="0" xfId="0" applyFont="1" applyFill="1" applyBorder="1"/>
    <xf numFmtId="0" fontId="49" fillId="0" borderId="0" xfId="0" applyFont="1"/>
    <xf numFmtId="2" fontId="49" fillId="0" borderId="0" xfId="0" applyNumberFormat="1" applyFont="1" applyFill="1" applyBorder="1" applyAlignment="1">
      <alignment horizontal="center" vertical="center" wrapText="1"/>
    </xf>
    <xf numFmtId="2" fontId="49" fillId="0" borderId="0" xfId="0" quotePrefix="1" applyNumberFormat="1" applyFont="1" applyFill="1" applyBorder="1" applyAlignment="1">
      <alignment horizontal="center" vertical="center" wrapText="1"/>
    </xf>
    <xf numFmtId="0" fontId="49" fillId="0" borderId="0" xfId="0" quotePrefix="1" applyNumberFormat="1" applyFont="1" applyFill="1" applyBorder="1" applyAlignment="1">
      <alignment horizontal="center" vertical="center" wrapText="1"/>
    </xf>
    <xf numFmtId="2" fontId="49" fillId="0" borderId="0" xfId="0" applyNumberFormat="1" applyFont="1" applyFill="1" applyBorder="1" applyAlignment="1">
      <alignment horizontal="left"/>
    </xf>
    <xf numFmtId="2" fontId="49" fillId="0" borderId="0" xfId="0" applyNumberFormat="1" applyFont="1" applyFill="1" applyBorder="1" applyAlignment="1">
      <alignment horizontal="center"/>
    </xf>
    <xf numFmtId="2" fontId="50" fillId="0" borderId="0" xfId="0" applyNumberFormat="1" applyFont="1" applyFill="1" applyBorder="1" applyAlignment="1">
      <alignment horizontal="center"/>
    </xf>
    <xf numFmtId="43" fontId="49" fillId="0" borderId="0" xfId="1" applyFont="1" applyFill="1" applyBorder="1" applyAlignment="1">
      <alignment horizontal="center"/>
    </xf>
    <xf numFmtId="0" fontId="49" fillId="0" borderId="0" xfId="0" applyNumberFormat="1" applyFont="1" applyFill="1" applyBorder="1" applyAlignment="1">
      <alignment vertical="top" wrapText="1"/>
    </xf>
    <xf numFmtId="17" fontId="49" fillId="0" borderId="0" xfId="0" quotePrefix="1" applyNumberFormat="1" applyFont="1" applyFill="1" applyBorder="1" applyAlignment="1">
      <alignment horizontal="center" vertical="center" wrapText="1"/>
    </xf>
    <xf numFmtId="43" fontId="13" fillId="0" borderId="27" xfId="1" applyFont="1" applyFill="1" applyBorder="1" applyAlignment="1">
      <alignment horizontal="right"/>
    </xf>
    <xf numFmtId="43" fontId="13" fillId="0" borderId="28" xfId="1" applyFont="1" applyFill="1" applyBorder="1" applyAlignment="1">
      <alignment horizontal="right"/>
    </xf>
    <xf numFmtId="43" fontId="13" fillId="0" borderId="29" xfId="1" applyFont="1" applyFill="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Fill="1" applyBorder="1" applyAlignment="1">
      <alignment horizontal="right" vertical="center"/>
    </xf>
    <xf numFmtId="43" fontId="13" fillId="0" borderId="31" xfId="1" applyFont="1" applyFill="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21" fillId="4" borderId="40" xfId="1" applyFont="1" applyFill="1" applyBorder="1" applyAlignment="1">
      <alignment horizontal="right" vertical="center"/>
    </xf>
    <xf numFmtId="43" fontId="13" fillId="0" borderId="3" xfId="1" applyFont="1" applyFill="1" applyBorder="1" applyAlignment="1">
      <alignment horizontal="right"/>
    </xf>
    <xf numFmtId="43" fontId="13" fillId="0" borderId="0" xfId="1" applyFont="1" applyFill="1" applyBorder="1" applyAlignment="1">
      <alignment horizontal="right"/>
    </xf>
    <xf numFmtId="43" fontId="13" fillId="0" borderId="4" xfId="1" applyFont="1" applyFill="1" applyBorder="1" applyAlignment="1">
      <alignment horizontal="right"/>
    </xf>
    <xf numFmtId="43" fontId="13" fillId="4" borderId="3" xfId="1" applyFont="1" applyFill="1" applyBorder="1" applyAlignment="1">
      <alignment horizontal="right" vertical="center"/>
    </xf>
    <xf numFmtId="43" fontId="13" fillId="4" borderId="4" xfId="1" applyFont="1" applyFill="1" applyBorder="1" applyAlignment="1">
      <alignment horizontal="right" vertical="center"/>
    </xf>
    <xf numFmtId="43" fontId="13" fillId="0" borderId="3" xfId="1" applyFont="1" applyFill="1" applyBorder="1" applyAlignment="1">
      <alignment horizontal="right" vertical="center"/>
    </xf>
    <xf numFmtId="43" fontId="13" fillId="0" borderId="4" xfId="1" applyFont="1" applyFill="1" applyBorder="1" applyAlignment="1">
      <alignment horizontal="right" vertical="center"/>
    </xf>
    <xf numFmtId="43" fontId="13" fillId="4" borderId="41" xfId="1" applyFont="1" applyFill="1" applyBorder="1" applyAlignment="1">
      <alignment horizontal="right" vertical="center"/>
    </xf>
    <xf numFmtId="43" fontId="13" fillId="4" borderId="42" xfId="1" applyFont="1" applyFill="1" applyBorder="1" applyAlignment="1">
      <alignment horizontal="right" vertical="center"/>
    </xf>
    <xf numFmtId="43" fontId="13" fillId="4" borderId="43" xfId="1" applyFont="1" applyFill="1" applyBorder="1" applyAlignment="1">
      <alignment horizontal="right" vertical="center"/>
    </xf>
    <xf numFmtId="43" fontId="21" fillId="0" borderId="55" xfId="1" applyFont="1" applyFill="1" applyBorder="1" applyAlignment="1">
      <alignment horizontal="right" vertical="center"/>
    </xf>
    <xf numFmtId="43" fontId="21" fillId="0" borderId="56" xfId="1" applyFont="1" applyFill="1" applyBorder="1" applyAlignment="1">
      <alignment horizontal="right" vertical="center"/>
    </xf>
    <xf numFmtId="43" fontId="21" fillId="0" borderId="57" xfId="1" applyFont="1" applyFill="1" applyBorder="1" applyAlignment="1">
      <alignment horizontal="right" vertical="center"/>
    </xf>
    <xf numFmtId="43" fontId="21" fillId="4" borderId="55" xfId="1" applyFont="1" applyFill="1" applyBorder="1" applyAlignment="1">
      <alignment horizontal="right" vertical="center"/>
    </xf>
    <xf numFmtId="43" fontId="21" fillId="4" borderId="56" xfId="1" applyFont="1" applyFill="1" applyBorder="1" applyAlignment="1">
      <alignment horizontal="right" vertical="center"/>
    </xf>
    <xf numFmtId="43" fontId="21" fillId="4" borderId="57" xfId="1" applyFont="1" applyFill="1" applyBorder="1" applyAlignment="1">
      <alignment horizontal="right" vertical="center"/>
    </xf>
    <xf numFmtId="0" fontId="4" fillId="2" borderId="0" xfId="0" quotePrefix="1" applyNumberFormat="1" applyFont="1" applyFill="1" applyBorder="1" applyAlignment="1">
      <alignment horizontal="left" vertical="top"/>
    </xf>
    <xf numFmtId="0" fontId="51" fillId="0" borderId="0" xfId="0" applyFont="1"/>
    <xf numFmtId="0" fontId="51" fillId="0" borderId="0" xfId="0" applyFont="1" applyAlignment="1">
      <alignment horizontal="center"/>
    </xf>
    <xf numFmtId="165" fontId="51" fillId="0" borderId="0" xfId="0" applyNumberFormat="1" applyFont="1"/>
    <xf numFmtId="0" fontId="21" fillId="2" borderId="0" xfId="0" quotePrefix="1" applyNumberFormat="1" applyFont="1" applyFill="1" applyBorder="1" applyAlignment="1">
      <alignment horizontal="left" vertical="top"/>
    </xf>
    <xf numFmtId="0" fontId="13" fillId="2" borderId="0" xfId="0" applyNumberFormat="1" applyFont="1" applyFill="1" applyBorder="1" applyAlignment="1">
      <alignment vertical="top"/>
    </xf>
    <xf numFmtId="0" fontId="21" fillId="2" borderId="0" xfId="0" applyNumberFormat="1" applyFont="1" applyFill="1" applyBorder="1" applyAlignment="1"/>
    <xf numFmtId="17" fontId="21" fillId="2" borderId="0" xfId="0" quotePrefix="1" applyNumberFormat="1" applyFont="1" applyFill="1" applyBorder="1" applyAlignment="1">
      <alignment horizontal="center"/>
    </xf>
    <xf numFmtId="17" fontId="13" fillId="2" borderId="0" xfId="0" applyNumberFormat="1" applyFont="1" applyFill="1" applyBorder="1" applyAlignment="1">
      <alignment horizontal="centerContinuous"/>
    </xf>
    <xf numFmtId="0" fontId="21" fillId="2" borderId="0" xfId="0" applyNumberFormat="1" applyFont="1" applyFill="1" applyBorder="1" applyAlignment="1">
      <alignment horizontal="centerContinuous"/>
    </xf>
    <xf numFmtId="0" fontId="13" fillId="2" borderId="0" xfId="0" applyNumberFormat="1" applyFont="1" applyFill="1" applyBorder="1" applyAlignment="1">
      <alignment horizontal="centerContinuous"/>
    </xf>
    <xf numFmtId="0" fontId="13" fillId="2" borderId="0" xfId="0" applyNumberFormat="1" applyFont="1" applyFill="1" applyBorder="1" applyAlignment="1">
      <alignment horizontal="left"/>
    </xf>
    <xf numFmtId="0" fontId="5" fillId="2" borderId="0" xfId="0" applyNumberFormat="1" applyFont="1" applyFill="1" applyBorder="1" applyAlignment="1">
      <alignment vertical="top"/>
    </xf>
    <xf numFmtId="0" fontId="5" fillId="2" borderId="0" xfId="0" quotePrefix="1" applyNumberFormat="1" applyFont="1" applyFill="1" applyBorder="1" applyAlignment="1">
      <alignment horizontal="right" vertical="top"/>
    </xf>
    <xf numFmtId="0" fontId="53" fillId="0" borderId="0" xfId="0" applyFont="1" applyFill="1" applyBorder="1" applyAlignment="1">
      <alignment vertical="center"/>
    </xf>
    <xf numFmtId="0" fontId="54" fillId="0" borderId="0" xfId="0" applyFont="1" applyFill="1" applyAlignment="1">
      <alignment vertical="center"/>
    </xf>
    <xf numFmtId="0" fontId="53" fillId="0" borderId="0" xfId="0" applyNumberFormat="1" applyFont="1" applyFill="1" applyBorder="1" applyAlignment="1">
      <alignment vertical="center"/>
    </xf>
    <xf numFmtId="0" fontId="54" fillId="0" borderId="0" xfId="0" applyFont="1" applyFill="1" applyBorder="1" applyAlignment="1">
      <alignment vertical="center"/>
    </xf>
    <xf numFmtId="0" fontId="55" fillId="0" borderId="0" xfId="0" applyFont="1" applyFill="1" applyBorder="1" applyAlignment="1">
      <alignment vertical="center"/>
    </xf>
    <xf numFmtId="0" fontId="55" fillId="0" borderId="0" xfId="0" applyFont="1" applyFill="1" applyBorder="1" applyAlignment="1">
      <alignment horizontal="right" vertical="center"/>
    </xf>
    <xf numFmtId="0" fontId="53" fillId="0" borderId="0" xfId="0" applyFont="1" applyFill="1" applyBorder="1" applyAlignment="1">
      <alignment horizontal="center" vertical="center"/>
    </xf>
    <xf numFmtId="0" fontId="55" fillId="0" borderId="0" xfId="0" applyFont="1" applyFill="1" applyBorder="1" applyAlignment="1">
      <alignment horizontal="justify" vertical="center"/>
    </xf>
    <xf numFmtId="17" fontId="56" fillId="0" borderId="0" xfId="0" applyNumberFormat="1" applyFont="1" applyFill="1" applyBorder="1" applyAlignment="1">
      <alignment vertical="center"/>
    </xf>
    <xf numFmtId="2" fontId="56" fillId="0" borderId="0" xfId="0" applyNumberFormat="1" applyFont="1" applyFill="1" applyBorder="1" applyAlignment="1">
      <alignment vertical="center"/>
    </xf>
    <xf numFmtId="0" fontId="56" fillId="0" borderId="0" xfId="0" quotePrefix="1" applyNumberFormat="1" applyFont="1" applyFill="1" applyBorder="1" applyAlignment="1">
      <alignment vertical="center" wrapText="1"/>
    </xf>
    <xf numFmtId="2" fontId="56" fillId="0" borderId="0" xfId="0" quotePrefix="1" applyNumberFormat="1" applyFont="1" applyFill="1" applyBorder="1" applyAlignment="1">
      <alignment vertical="center" wrapText="1"/>
    </xf>
    <xf numFmtId="0" fontId="56" fillId="0" borderId="0" xfId="0" applyFont="1" applyFill="1" applyBorder="1" applyAlignment="1">
      <alignment vertical="center"/>
    </xf>
    <xf numFmtId="0" fontId="56" fillId="0" borderId="0" xfId="0" applyFont="1" applyFill="1" applyAlignment="1">
      <alignment vertical="center"/>
    </xf>
    <xf numFmtId="14" fontId="53" fillId="0" borderId="0" xfId="0" applyNumberFormat="1" applyFont="1" applyFill="1" applyBorder="1" applyAlignment="1">
      <alignment vertical="center"/>
    </xf>
    <xf numFmtId="0" fontId="54" fillId="0" borderId="0" xfId="0" applyFont="1" applyAlignment="1">
      <alignment vertical="center"/>
    </xf>
    <xf numFmtId="0" fontId="52" fillId="0" borderId="0" xfId="0" applyFont="1" applyBorder="1" applyAlignment="1">
      <alignment vertical="center"/>
    </xf>
    <xf numFmtId="1" fontId="57" fillId="0" borderId="0" xfId="0" applyNumberFormat="1" applyFont="1" applyFill="1" applyBorder="1" applyAlignment="1">
      <alignment horizontal="center" vertical="center"/>
    </xf>
    <xf numFmtId="170" fontId="58" fillId="8" borderId="0" xfId="3" applyFont="1" applyFill="1" applyBorder="1"/>
    <xf numFmtId="0" fontId="54" fillId="0" borderId="0" xfId="0" applyNumberFormat="1" applyFont="1" applyFill="1"/>
    <xf numFmtId="1" fontId="59" fillId="0" borderId="0" xfId="3" applyNumberFormat="1" applyFont="1" applyFill="1" applyBorder="1" applyAlignment="1">
      <alignment horizontal="center"/>
    </xf>
    <xf numFmtId="171" fontId="59" fillId="0" borderId="0" xfId="3" applyNumberFormat="1" applyFont="1" applyBorder="1" applyAlignment="1">
      <alignment horizontal="center"/>
    </xf>
    <xf numFmtId="2" fontId="60" fillId="0" borderId="0" xfId="3" applyNumberFormat="1" applyFont="1" applyFill="1"/>
    <xf numFmtId="0" fontId="54" fillId="0" borderId="0" xfId="0" applyNumberFormat="1" applyFont="1" applyFill="1" applyAlignment="1">
      <alignment vertical="center"/>
    </xf>
    <xf numFmtId="164" fontId="57" fillId="0" borderId="0" xfId="0" applyNumberFormat="1" applyFont="1" applyFill="1" applyBorder="1" applyAlignment="1">
      <alignment horizontal="right" vertical="center"/>
    </xf>
    <xf numFmtId="165" fontId="57" fillId="0" borderId="0" xfId="0" applyNumberFormat="1" applyFont="1" applyFill="1" applyBorder="1" applyAlignment="1">
      <alignment horizontal="right" vertical="center"/>
    </xf>
    <xf numFmtId="166" fontId="57" fillId="0" borderId="0" xfId="2" applyNumberFormat="1" applyFont="1" applyFill="1" applyBorder="1" applyAlignment="1">
      <alignment horizontal="right" vertical="center"/>
    </xf>
    <xf numFmtId="2" fontId="60" fillId="2" borderId="0" xfId="3" applyNumberFormat="1" applyFont="1" applyFill="1"/>
    <xf numFmtId="0" fontId="57" fillId="0" borderId="0" xfId="0" applyFont="1" applyBorder="1" applyAlignment="1">
      <alignment vertical="center"/>
    </xf>
    <xf numFmtId="0" fontId="57" fillId="0" borderId="0" xfId="0" applyFont="1" applyAlignment="1">
      <alignment vertical="center"/>
    </xf>
    <xf numFmtId="2" fontId="61" fillId="0" borderId="0" xfId="0" applyNumberFormat="1" applyFont="1"/>
    <xf numFmtId="2" fontId="60" fillId="0" borderId="0" xfId="3" applyNumberFormat="1" applyFont="1" applyFill="1" applyAlignment="1">
      <alignment horizontal="center"/>
    </xf>
    <xf numFmtId="0" fontId="62" fillId="0" borderId="0" xfId="0" applyFont="1" applyBorder="1" applyAlignment="1">
      <alignment vertical="center"/>
    </xf>
    <xf numFmtId="49" fontId="32" fillId="0" borderId="0" xfId="0" applyNumberFormat="1" applyFont="1" applyFill="1" applyBorder="1" applyAlignment="1">
      <alignment horizontal="center"/>
    </xf>
    <xf numFmtId="0" fontId="32" fillId="0" borderId="0" xfId="0" applyFont="1"/>
    <xf numFmtId="1" fontId="0" fillId="0" borderId="0" xfId="0" applyNumberFormat="1" applyFont="1" applyFill="1" applyBorder="1"/>
    <xf numFmtId="1" fontId="32" fillId="0" borderId="0" xfId="0" applyNumberFormat="1" applyFont="1" applyFill="1" applyBorder="1" applyAlignment="1">
      <alignment horizontal="right"/>
    </xf>
    <xf numFmtId="0" fontId="32" fillId="0" borderId="0" xfId="0" applyFont="1" applyAlignment="1">
      <alignment horizontal="right"/>
    </xf>
    <xf numFmtId="164" fontId="0" fillId="0" borderId="0" xfId="0" applyNumberFormat="1" applyFont="1" applyFill="1" applyBorder="1" applyAlignment="1">
      <alignment horizontal="right"/>
    </xf>
    <xf numFmtId="49" fontId="32" fillId="0" borderId="0" xfId="0" applyNumberFormat="1" applyFont="1" applyBorder="1" applyAlignment="1">
      <alignment horizontal="right"/>
    </xf>
    <xf numFmtId="49" fontId="32" fillId="0" borderId="0" xfId="0" applyNumberFormat="1" applyFont="1" applyFill="1" applyBorder="1" applyAlignment="1">
      <alignment horizontal="right"/>
    </xf>
    <xf numFmtId="164" fontId="32" fillId="0" borderId="0" xfId="0" applyNumberFormat="1" applyFont="1" applyFill="1" applyBorder="1" applyAlignment="1">
      <alignment horizontal="right"/>
    </xf>
    <xf numFmtId="166" fontId="0" fillId="0" borderId="0" xfId="2" applyNumberFormat="1" applyFont="1" applyFill="1" applyBorder="1" applyAlignment="1">
      <alignment horizontal="right"/>
    </xf>
    <xf numFmtId="0" fontId="32" fillId="0" borderId="0" xfId="0" applyFont="1" applyBorder="1" applyAlignment="1">
      <alignment horizontal="right"/>
    </xf>
    <xf numFmtId="165" fontId="0" fillId="0" borderId="0" xfId="0" applyNumberFormat="1" applyFont="1" applyFill="1" applyBorder="1" applyAlignment="1">
      <alignment horizontal="right"/>
    </xf>
    <xf numFmtId="14" fontId="27" fillId="0" borderId="137" xfId="0" applyNumberFormat="1" applyFont="1" applyBorder="1"/>
    <xf numFmtId="20" fontId="27" fillId="0" borderId="137" xfId="0" applyNumberFormat="1" applyFont="1" applyBorder="1" applyAlignment="1">
      <alignment horizontal="center" vertical="center"/>
    </xf>
    <xf numFmtId="20" fontId="27" fillId="0" borderId="137" xfId="0" applyNumberFormat="1" applyFont="1" applyBorder="1" applyAlignment="1">
      <alignment horizontal="center"/>
    </xf>
    <xf numFmtId="14" fontId="0" fillId="0" borderId="0" xfId="0" applyNumberFormat="1" applyFont="1"/>
    <xf numFmtId="20" fontId="0" fillId="0" borderId="0" xfId="0" applyNumberFormat="1" applyFont="1"/>
    <xf numFmtId="0" fontId="63" fillId="0" borderId="0" xfId="0" applyFont="1" applyFill="1" applyBorder="1" applyAlignment="1">
      <alignment vertical="center"/>
    </xf>
    <xf numFmtId="0" fontId="63" fillId="0" borderId="0" xfId="0" quotePrefix="1" applyNumberFormat="1" applyFont="1" applyFill="1" applyBorder="1" applyAlignment="1">
      <alignment vertical="center" wrapText="1"/>
    </xf>
    <xf numFmtId="0" fontId="63" fillId="0" borderId="0" xfId="0" applyNumberFormat="1" applyFont="1" applyFill="1" applyBorder="1" applyAlignment="1">
      <alignment vertical="center"/>
    </xf>
    <xf numFmtId="0" fontId="63" fillId="0" borderId="0" xfId="0" applyFont="1" applyFill="1" applyAlignment="1">
      <alignment vertical="center"/>
    </xf>
    <xf numFmtId="43" fontId="13" fillId="0" borderId="10" xfId="1" applyNumberFormat="1" applyFont="1" applyFill="1" applyBorder="1" applyAlignment="1">
      <alignment horizontal="right" vertical="center"/>
    </xf>
    <xf numFmtId="43" fontId="13" fillId="4" borderId="0" xfId="1" applyNumberFormat="1" applyFont="1" applyFill="1" applyBorder="1" applyAlignment="1">
      <alignment horizontal="right" vertical="center"/>
    </xf>
    <xf numFmtId="43" fontId="13" fillId="0" borderId="0" xfId="1" applyNumberFormat="1" applyFont="1" applyFill="1" applyBorder="1" applyAlignment="1">
      <alignment horizontal="right" vertical="center"/>
    </xf>
    <xf numFmtId="43" fontId="21" fillId="0" borderId="36" xfId="0" applyNumberFormat="1" applyFont="1" applyFill="1" applyBorder="1" applyAlignment="1">
      <alignment horizontal="right" vertical="center"/>
    </xf>
    <xf numFmtId="2" fontId="0" fillId="4" borderId="10" xfId="0" applyNumberFormat="1" applyFon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NumberFormat="1" applyFont="1" applyFill="1" applyBorder="1" applyAlignment="1">
      <alignment horizontal="right" vertical="center"/>
    </xf>
    <xf numFmtId="43" fontId="13" fillId="0" borderId="11" xfId="1" applyNumberFormat="1" applyFont="1" applyFill="1" applyBorder="1" applyAlignment="1">
      <alignment horizontal="right" vertical="center"/>
    </xf>
    <xf numFmtId="43" fontId="13" fillId="4" borderId="12" xfId="1" applyNumberFormat="1" applyFont="1" applyFill="1" applyBorder="1" applyAlignment="1">
      <alignment horizontal="right" vertical="center"/>
    </xf>
    <xf numFmtId="43" fontId="13" fillId="4" borderId="13" xfId="1" applyNumberFormat="1" applyFont="1" applyFill="1" applyBorder="1" applyAlignment="1">
      <alignment horizontal="right" vertical="center"/>
    </xf>
    <xf numFmtId="43" fontId="13" fillId="0" borderId="12" xfId="1" applyNumberFormat="1" applyFont="1" applyFill="1" applyBorder="1" applyAlignment="1">
      <alignment horizontal="right" vertical="center"/>
    </xf>
    <xf numFmtId="43" fontId="13" fillId="0" borderId="13" xfId="1" applyNumberFormat="1" applyFont="1" applyFill="1" applyBorder="1" applyAlignment="1">
      <alignment horizontal="right" vertical="center"/>
    </xf>
    <xf numFmtId="43" fontId="21" fillId="0" borderId="35" xfId="0" applyNumberFormat="1" applyFont="1" applyFill="1" applyBorder="1" applyAlignment="1">
      <alignment horizontal="right" vertical="center"/>
    </xf>
    <xf numFmtId="43" fontId="21" fillId="0" borderId="37" xfId="0" applyNumberFormat="1" applyFont="1" applyFill="1" applyBorder="1" applyAlignment="1">
      <alignment horizontal="right" vertical="center"/>
    </xf>
    <xf numFmtId="43" fontId="0" fillId="0" borderId="9" xfId="1" applyNumberFormat="1" applyFont="1" applyFill="1" applyBorder="1" applyAlignment="1">
      <alignment horizontal="right" vertical="center"/>
    </xf>
    <xf numFmtId="43" fontId="0" fillId="4" borderId="12" xfId="1" applyNumberFormat="1" applyFont="1" applyFill="1" applyBorder="1" applyAlignment="1">
      <alignment horizontal="right" vertical="center"/>
    </xf>
    <xf numFmtId="43" fontId="0" fillId="0" borderId="12" xfId="1" applyNumberFormat="1" applyFont="1" applyFill="1" applyBorder="1" applyAlignment="1">
      <alignment horizontal="right" vertical="center"/>
    </xf>
    <xf numFmtId="2" fontId="13" fillId="0" borderId="27" xfId="0" applyNumberFormat="1" applyFont="1" applyFill="1" applyBorder="1" applyAlignment="1">
      <alignment horizontal="right"/>
    </xf>
    <xf numFmtId="2" fontId="13" fillId="0" borderId="28" xfId="0" applyNumberFormat="1" applyFont="1" applyFill="1" applyBorder="1" applyAlignment="1">
      <alignment horizontal="right"/>
    </xf>
    <xf numFmtId="2" fontId="13" fillId="0" borderId="29" xfId="0" applyNumberFormat="1" applyFont="1" applyFill="1" applyBorder="1" applyAlignment="1">
      <alignment horizontal="right"/>
    </xf>
    <xf numFmtId="2" fontId="13" fillId="4" borderId="30" xfId="0" applyNumberFormat="1" applyFont="1" applyFill="1" applyBorder="1" applyAlignment="1">
      <alignment horizontal="right" vertical="center"/>
    </xf>
    <xf numFmtId="2" fontId="13" fillId="4" borderId="0" xfId="0" applyNumberFormat="1" applyFont="1" applyFill="1" applyBorder="1" applyAlignment="1">
      <alignment horizontal="right" vertical="center"/>
    </xf>
    <xf numFmtId="2" fontId="13" fillId="4" borderId="31" xfId="0" applyNumberFormat="1" applyFont="1" applyFill="1" applyBorder="1" applyAlignment="1">
      <alignment horizontal="right" vertical="center"/>
    </xf>
    <xf numFmtId="2" fontId="13" fillId="0" borderId="30" xfId="0" applyNumberFormat="1" applyFont="1" applyFill="1" applyBorder="1" applyAlignment="1">
      <alignment horizontal="right"/>
    </xf>
    <xf numFmtId="2" fontId="13" fillId="0" borderId="0" xfId="0" applyNumberFormat="1" applyFont="1" applyFill="1" applyBorder="1" applyAlignment="1">
      <alignment horizontal="right"/>
    </xf>
    <xf numFmtId="2" fontId="13" fillId="0" borderId="31" xfId="0" applyNumberFormat="1" applyFont="1" applyFill="1" applyBorder="1" applyAlignment="1">
      <alignment horizontal="right"/>
    </xf>
    <xf numFmtId="2" fontId="13" fillId="0" borderId="32" xfId="0" applyNumberFormat="1" applyFont="1" applyFill="1" applyBorder="1" applyAlignment="1">
      <alignment horizontal="right"/>
    </xf>
    <xf numFmtId="2" fontId="13" fillId="0" borderId="33" xfId="0" applyNumberFormat="1" applyFont="1" applyFill="1" applyBorder="1" applyAlignment="1">
      <alignment horizontal="right"/>
    </xf>
    <xf numFmtId="2" fontId="13" fillId="0" borderId="34" xfId="0" applyNumberFormat="1" applyFont="1" applyFill="1" applyBorder="1" applyAlignment="1">
      <alignment horizontal="right"/>
    </xf>
    <xf numFmtId="2" fontId="21" fillId="0" borderId="38" xfId="0" applyNumberFormat="1" applyFont="1" applyFill="1" applyBorder="1" applyAlignment="1">
      <alignment horizontal="right" vertical="center"/>
    </xf>
    <xf numFmtId="2" fontId="21" fillId="0" borderId="39" xfId="0" applyNumberFormat="1" applyFont="1" applyFill="1" applyBorder="1" applyAlignment="1">
      <alignment horizontal="right" vertical="center"/>
    </xf>
    <xf numFmtId="2" fontId="3" fillId="0" borderId="40" xfId="0" applyNumberFormat="1" applyFont="1" applyFill="1" applyBorder="1" applyAlignment="1">
      <alignment horizontal="right" vertical="center"/>
    </xf>
    <xf numFmtId="2" fontId="3" fillId="0" borderId="38" xfId="0" applyNumberFormat="1" applyFont="1" applyFill="1" applyBorder="1" applyAlignment="1">
      <alignment horizontal="right" vertical="center"/>
    </xf>
    <xf numFmtId="10" fontId="0" fillId="0" borderId="0" xfId="2" applyNumberFormat="1" applyFont="1"/>
    <xf numFmtId="0" fontId="4" fillId="2" borderId="0" xfId="0" applyNumberFormat="1" applyFont="1" applyFill="1" applyAlignment="1">
      <alignment horizontal="center"/>
    </xf>
    <xf numFmtId="43" fontId="31" fillId="0" borderId="106" xfId="1" applyNumberFormat="1" applyFont="1" applyFill="1" applyBorder="1"/>
    <xf numFmtId="43" fontId="41" fillId="7" borderId="113" xfId="1" applyNumberFormat="1" applyFont="1" applyFill="1" applyBorder="1"/>
    <xf numFmtId="43" fontId="31" fillId="0" borderId="0" xfId="1" applyNumberFormat="1" applyFont="1" applyFill="1" applyBorder="1"/>
    <xf numFmtId="43" fontId="0" fillId="0" borderId="0" xfId="0" applyNumberFormat="1" applyFont="1" applyFill="1"/>
    <xf numFmtId="0" fontId="21" fillId="0" borderId="106" xfId="0" applyNumberFormat="1" applyFont="1" applyFill="1" applyBorder="1" applyAlignment="1">
      <alignment vertical="center" wrapText="1"/>
    </xf>
    <xf numFmtId="0" fontId="41" fillId="0" borderId="0" xfId="0" applyFont="1" applyBorder="1"/>
    <xf numFmtId="0" fontId="0" fillId="0" borderId="0" xfId="0" applyFont="1" applyFill="1" applyBorder="1"/>
    <xf numFmtId="0" fontId="42" fillId="9" borderId="125" xfId="0" applyNumberFormat="1" applyFont="1" applyFill="1" applyBorder="1" applyAlignment="1">
      <alignment vertical="center"/>
    </xf>
    <xf numFmtId="9" fontId="31" fillId="0" borderId="107" xfId="2" applyFont="1" applyBorder="1"/>
    <xf numFmtId="10" fontId="33" fillId="9" borderId="58" xfId="2" applyNumberFormat="1" applyFont="1" applyFill="1" applyBorder="1" applyAlignment="1">
      <alignment vertical="center"/>
    </xf>
    <xf numFmtId="10" fontId="42" fillId="9" borderId="58" xfId="2" applyNumberFormat="1" applyFont="1" applyFill="1" applyBorder="1" applyAlignment="1">
      <alignment vertical="center"/>
    </xf>
    <xf numFmtId="0" fontId="64" fillId="0" borderId="0" xfId="0" applyFont="1"/>
    <xf numFmtId="170" fontId="65" fillId="8" borderId="0" xfId="3" applyFont="1" applyFill="1" applyBorder="1"/>
    <xf numFmtId="0" fontId="64" fillId="0" borderId="0" xfId="0" applyNumberFormat="1" applyFont="1" applyFill="1"/>
    <xf numFmtId="171" fontId="65" fillId="8" borderId="0" xfId="3" applyNumberFormat="1" applyFont="1" applyFill="1" applyBorder="1"/>
    <xf numFmtId="1" fontId="66" fillId="0" borderId="0" xfId="3" applyNumberFormat="1" applyFont="1" applyFill="1" applyBorder="1" applyAlignment="1">
      <alignment horizontal="center"/>
    </xf>
    <xf numFmtId="171" fontId="66" fillId="0" borderId="0" xfId="3" applyNumberFormat="1" applyFont="1" applyBorder="1" applyAlignment="1">
      <alignment horizontal="center"/>
    </xf>
    <xf numFmtId="2" fontId="67" fillId="0" borderId="0" xfId="3" applyNumberFormat="1" applyFont="1" applyFill="1"/>
    <xf numFmtId="2" fontId="67" fillId="0" borderId="0" xfId="3" applyNumberFormat="1" applyFont="1" applyFill="1" applyAlignment="1">
      <alignment horizontal="center"/>
    </xf>
    <xf numFmtId="2" fontId="67" fillId="0" borderId="0" xfId="3" applyNumberFormat="1" applyFont="1" applyBorder="1"/>
    <xf numFmtId="2" fontId="67" fillId="0" borderId="0" xfId="3" applyNumberFormat="1" applyFont="1"/>
    <xf numFmtId="2" fontId="67" fillId="0" borderId="0" xfId="3" applyNumberFormat="1" applyFont="1" applyAlignment="1">
      <alignment horizontal="center"/>
    </xf>
    <xf numFmtId="0" fontId="64" fillId="0" borderId="0" xfId="0" applyNumberFormat="1" applyFont="1" applyFill="1" applyAlignment="1">
      <alignment vertical="center"/>
    </xf>
    <xf numFmtId="2" fontId="67" fillId="2" borderId="0" xfId="3" applyNumberFormat="1" applyFont="1" applyFill="1"/>
    <xf numFmtId="2" fontId="68" fillId="0" borderId="0" xfId="0" applyNumberFormat="1" applyFont="1"/>
    <xf numFmtId="2" fontId="69" fillId="0" borderId="0" xfId="4" applyNumberFormat="1" applyFont="1"/>
    <xf numFmtId="2" fontId="54" fillId="0" borderId="0" xfId="0" applyNumberFormat="1" applyFont="1" applyFill="1" applyAlignment="1">
      <alignment vertical="center"/>
    </xf>
    <xf numFmtId="2" fontId="55" fillId="0" borderId="0" xfId="0" applyNumberFormat="1" applyFont="1" applyFill="1" applyBorder="1" applyAlignment="1">
      <alignment vertical="center"/>
    </xf>
    <xf numFmtId="0" fontId="70" fillId="0" borderId="82" xfId="0" applyFont="1" applyFill="1" applyBorder="1" applyAlignment="1">
      <alignment vertical="center" wrapText="1"/>
    </xf>
    <xf numFmtId="22" fontId="70" fillId="0" borderId="82" xfId="0" applyNumberFormat="1" applyFont="1" applyFill="1" applyBorder="1" applyAlignment="1">
      <alignment horizontal="center" vertical="center"/>
    </xf>
    <xf numFmtId="0" fontId="70" fillId="0" borderId="82" xfId="0" applyFont="1" applyFill="1" applyBorder="1" applyAlignment="1">
      <alignment horizontal="justify" vertical="center"/>
    </xf>
    <xf numFmtId="0" fontId="70" fillId="0" borderId="82" xfId="0" applyFont="1" applyFill="1" applyBorder="1" applyAlignment="1">
      <alignment horizontal="center" vertical="center"/>
    </xf>
    <xf numFmtId="0" fontId="70" fillId="0" borderId="82" xfId="0" applyNumberFormat="1" applyFont="1" applyFill="1" applyBorder="1" applyAlignment="1">
      <alignment vertical="center" wrapText="1"/>
    </xf>
    <xf numFmtId="22" fontId="70" fillId="0" borderId="82" xfId="0" applyNumberFormat="1" applyFont="1" applyFill="1" applyBorder="1" applyAlignment="1">
      <alignment horizontal="center" vertical="center" wrapText="1"/>
    </xf>
    <xf numFmtId="0" fontId="70" fillId="0" borderId="82" xfId="0" applyNumberFormat="1" applyFont="1" applyFill="1" applyBorder="1" applyAlignment="1">
      <alignment horizontal="justify" vertical="center" wrapText="1"/>
    </xf>
    <xf numFmtId="0" fontId="70" fillId="0" borderId="82" xfId="0" applyNumberFormat="1" applyFont="1" applyFill="1" applyBorder="1" applyAlignment="1">
      <alignment horizontal="center" vertical="center" wrapText="1"/>
    </xf>
    <xf numFmtId="43" fontId="37" fillId="3" borderId="79" xfId="1" applyFont="1" applyFill="1" applyBorder="1" applyAlignment="1">
      <alignment horizontal="center" vertical="center" wrapText="1"/>
    </xf>
    <xf numFmtId="0" fontId="37" fillId="3" borderId="80" xfId="0" applyNumberFormat="1" applyFont="1" applyFill="1" applyBorder="1" applyAlignment="1">
      <alignment horizontal="center" vertical="center" wrapText="1"/>
    </xf>
    <xf numFmtId="0" fontId="37" fillId="3" borderId="81" xfId="0" applyNumberFormat="1" applyFont="1" applyFill="1" applyBorder="1" applyAlignment="1">
      <alignment horizontal="center" vertical="center" wrapText="1"/>
    </xf>
    <xf numFmtId="0" fontId="37" fillId="3" borderId="82" xfId="0" applyNumberFormat="1" applyFont="1" applyFill="1" applyBorder="1" applyAlignment="1">
      <alignment vertical="center" wrapText="1"/>
    </xf>
    <xf numFmtId="0" fontId="37" fillId="3" borderId="83" xfId="0" applyNumberFormat="1" applyFont="1" applyFill="1" applyBorder="1" applyAlignment="1">
      <alignment horizontal="center" vertical="center" wrapText="1"/>
    </xf>
    <xf numFmtId="0" fontId="37" fillId="3" borderId="84" xfId="0" applyNumberFormat="1" applyFont="1" applyFill="1" applyBorder="1" applyAlignment="1">
      <alignment vertical="center" wrapText="1"/>
    </xf>
    <xf numFmtId="0" fontId="23" fillId="2" borderId="0" xfId="0" applyNumberFormat="1" applyFont="1" applyFill="1" applyBorder="1" applyAlignment="1">
      <alignment horizontal="left" vertical="center" wrapText="1"/>
    </xf>
    <xf numFmtId="0" fontId="13" fillId="2" borderId="0" xfId="0" applyNumberFormat="1" applyFont="1" applyFill="1" applyBorder="1" applyAlignment="1">
      <alignment horizontal="left" vertical="center" wrapText="1"/>
    </xf>
    <xf numFmtId="0" fontId="33" fillId="3" borderId="46" xfId="0" applyFont="1" applyFill="1" applyBorder="1" applyAlignment="1">
      <alignment vertical="center"/>
    </xf>
    <xf numFmtId="169" fontId="33" fillId="3" borderId="46" xfId="0" applyNumberFormat="1" applyFont="1" applyFill="1" applyBorder="1" applyAlignment="1">
      <alignment vertical="center"/>
    </xf>
    <xf numFmtId="10" fontId="33" fillId="3" borderId="46" xfId="2" applyNumberFormat="1" applyFont="1" applyFill="1" applyBorder="1" applyAlignment="1">
      <alignment vertical="center"/>
    </xf>
    <xf numFmtId="0" fontId="27" fillId="0" borderId="63" xfId="0" applyNumberFormat="1" applyFont="1" applyFill="1" applyBorder="1" applyAlignment="1">
      <alignment vertical="center"/>
    </xf>
    <xf numFmtId="165" fontId="27" fillId="0" borderId="63" xfId="0" applyNumberFormat="1" applyFont="1" applyFill="1" applyBorder="1" applyAlignment="1">
      <alignment vertical="center"/>
    </xf>
    <xf numFmtId="0" fontId="33" fillId="3" borderId="0" xfId="0" applyFont="1" applyFill="1" applyBorder="1" applyAlignment="1">
      <alignment vertical="center"/>
    </xf>
    <xf numFmtId="4" fontId="33" fillId="3" borderId="0" xfId="0" applyNumberFormat="1" applyFont="1" applyFill="1" applyBorder="1" applyAlignment="1">
      <alignment vertical="center"/>
    </xf>
    <xf numFmtId="10" fontId="33" fillId="3" borderId="0" xfId="2" applyNumberFormat="1" applyFont="1" applyFill="1" applyBorder="1" applyAlignment="1">
      <alignment vertical="center"/>
    </xf>
    <xf numFmtId="0" fontId="27" fillId="2" borderId="62" xfId="0" applyFont="1" applyFill="1" applyBorder="1" applyAlignment="1">
      <alignment vertical="center"/>
    </xf>
    <xf numFmtId="169" fontId="27" fillId="2" borderId="62" xfId="0" applyNumberFormat="1" applyFont="1" applyFill="1" applyBorder="1" applyAlignment="1">
      <alignment vertical="center"/>
    </xf>
    <xf numFmtId="166" fontId="34" fillId="2" borderId="62" xfId="2" applyNumberFormat="1" applyFont="1" applyFill="1" applyBorder="1" applyAlignment="1">
      <alignment vertical="center"/>
    </xf>
    <xf numFmtId="0" fontId="27" fillId="4" borderId="63" xfId="0" applyFont="1" applyFill="1" applyBorder="1" applyAlignment="1">
      <alignment vertical="center"/>
    </xf>
    <xf numFmtId="169" fontId="27" fillId="4" borderId="63" xfId="0" applyNumberFormat="1" applyFont="1" applyFill="1" applyBorder="1" applyAlignment="1">
      <alignment vertical="center"/>
    </xf>
    <xf numFmtId="166" fontId="34" fillId="4" borderId="63" xfId="2" applyNumberFormat="1" applyFont="1" applyFill="1" applyBorder="1" applyAlignment="1">
      <alignment vertical="center"/>
    </xf>
    <xf numFmtId="0" fontId="27" fillId="2" borderId="63" xfId="0" applyFont="1" applyFill="1" applyBorder="1" applyAlignment="1">
      <alignment vertical="center"/>
    </xf>
    <xf numFmtId="169" fontId="27" fillId="2" borderId="63" xfId="0" applyNumberFormat="1" applyFont="1" applyFill="1" applyBorder="1" applyAlignment="1">
      <alignment vertical="center"/>
    </xf>
    <xf numFmtId="166" fontId="34" fillId="2" borderId="63" xfId="2" applyNumberFormat="1" applyFont="1" applyFill="1" applyBorder="1" applyAlignment="1">
      <alignment vertical="center"/>
    </xf>
    <xf numFmtId="0" fontId="27" fillId="2" borderId="64" xfId="0" applyFont="1" applyFill="1" applyBorder="1" applyAlignment="1">
      <alignment vertical="center"/>
    </xf>
    <xf numFmtId="169" fontId="27" fillId="2" borderId="64" xfId="0" applyNumberFormat="1" applyFont="1" applyFill="1" applyBorder="1" applyAlignment="1">
      <alignment vertical="center"/>
    </xf>
    <xf numFmtId="166" fontId="34" fillId="2" borderId="64" xfId="2" applyNumberFormat="1" applyFont="1" applyFill="1" applyBorder="1" applyAlignment="1">
      <alignment vertical="center"/>
    </xf>
    <xf numFmtId="0" fontId="27" fillId="4" borderId="65" xfId="0" applyFont="1" applyFill="1" applyBorder="1" applyAlignment="1">
      <alignment vertical="center"/>
    </xf>
    <xf numFmtId="169" fontId="27" fillId="4" borderId="65" xfId="0" applyNumberFormat="1" applyFont="1" applyFill="1" applyBorder="1" applyAlignment="1">
      <alignment vertical="center"/>
    </xf>
    <xf numFmtId="166" fontId="34" fillId="4" borderId="65" xfId="2" applyNumberFormat="1" applyFont="1" applyFill="1" applyBorder="1" applyAlignment="1">
      <alignment vertical="center"/>
    </xf>
    <xf numFmtId="0" fontId="27" fillId="2" borderId="65" xfId="0" applyFont="1" applyFill="1" applyBorder="1" applyAlignment="1">
      <alignment vertical="center"/>
    </xf>
    <xf numFmtId="169" fontId="27" fillId="2" borderId="65" xfId="0" applyNumberFormat="1" applyFont="1" applyFill="1" applyBorder="1" applyAlignment="1">
      <alignment vertical="center"/>
    </xf>
    <xf numFmtId="166" fontId="34" fillId="2" borderId="65" xfId="2" applyNumberFormat="1" applyFont="1" applyFill="1" applyBorder="1" applyAlignment="1">
      <alignment vertical="center"/>
    </xf>
    <xf numFmtId="0" fontId="27" fillId="4" borderId="142" xfId="0" applyFont="1" applyFill="1" applyBorder="1" applyAlignment="1">
      <alignment vertical="center"/>
    </xf>
    <xf numFmtId="169" fontId="27" fillId="4" borderId="142" xfId="0" applyNumberFormat="1" applyFont="1" applyFill="1" applyBorder="1" applyAlignment="1">
      <alignment vertical="center"/>
    </xf>
    <xf numFmtId="166" fontId="34" fillId="4" borderId="142" xfId="2" applyNumberFormat="1" applyFont="1" applyFill="1" applyBorder="1" applyAlignment="1">
      <alignment vertical="center"/>
    </xf>
    <xf numFmtId="0" fontId="27" fillId="2" borderId="0" xfId="0" applyFont="1" applyFill="1" applyBorder="1" applyAlignment="1">
      <alignment vertical="center"/>
    </xf>
    <xf numFmtId="174" fontId="27" fillId="2" borderId="47" xfId="1" applyNumberFormat="1" applyFont="1" applyFill="1" applyBorder="1" applyAlignment="1">
      <alignment vertical="center"/>
    </xf>
    <xf numFmtId="169" fontId="27" fillId="2" borderId="47" xfId="0" applyNumberFormat="1" applyFont="1" applyFill="1" applyBorder="1" applyAlignment="1">
      <alignment vertical="center"/>
    </xf>
    <xf numFmtId="166" fontId="34" fillId="2" borderId="48" xfId="2" applyNumberFormat="1" applyFont="1" applyFill="1" applyBorder="1" applyAlignment="1">
      <alignment vertical="center"/>
    </xf>
    <xf numFmtId="0" fontId="27" fillId="4" borderId="0" xfId="0" applyFont="1" applyFill="1" applyBorder="1" applyAlignment="1">
      <alignment vertical="center"/>
    </xf>
    <xf numFmtId="169" fontId="27" fillId="4" borderId="47" xfId="0" applyNumberFormat="1" applyFont="1" applyFill="1" applyBorder="1" applyAlignment="1">
      <alignment vertical="center"/>
    </xf>
    <xf numFmtId="166" fontId="34" fillId="4" borderId="48" xfId="2" applyNumberFormat="1" applyFont="1" applyFill="1" applyBorder="1" applyAlignment="1">
      <alignment vertical="center"/>
    </xf>
    <xf numFmtId="166" fontId="41" fillId="4" borderId="48" xfId="2" applyNumberFormat="1" applyFont="1" applyFill="1" applyBorder="1" applyAlignment="1">
      <alignment vertical="center"/>
    </xf>
    <xf numFmtId="0" fontId="27" fillId="2" borderId="49" xfId="0" applyFont="1" applyFill="1" applyBorder="1" applyAlignment="1">
      <alignment vertical="center"/>
    </xf>
    <xf numFmtId="0" fontId="27" fillId="4" borderId="50" xfId="0" applyFont="1" applyFill="1" applyBorder="1" applyAlignment="1">
      <alignment vertical="center"/>
    </xf>
    <xf numFmtId="0" fontId="27" fillId="2" borderId="50" xfId="0" applyFont="1" applyFill="1" applyBorder="1" applyAlignment="1">
      <alignment vertical="center"/>
    </xf>
    <xf numFmtId="169" fontId="27" fillId="2" borderId="51" xfId="0" applyNumberFormat="1" applyFont="1" applyFill="1" applyBorder="1" applyAlignment="1">
      <alignment vertical="center"/>
    </xf>
    <xf numFmtId="166" fontId="34" fillId="2" borderId="52" xfId="2" applyNumberFormat="1" applyFont="1" applyFill="1" applyBorder="1" applyAlignment="1">
      <alignment vertical="center"/>
    </xf>
    <xf numFmtId="0" fontId="27" fillId="4" borderId="53" xfId="0" applyFont="1" applyFill="1" applyBorder="1" applyAlignment="1">
      <alignment vertical="center"/>
    </xf>
    <xf numFmtId="0" fontId="37" fillId="3" borderId="92" xfId="0" applyFont="1" applyFill="1" applyBorder="1" applyAlignment="1">
      <alignment horizontal="center" vertical="center" wrapText="1"/>
    </xf>
    <xf numFmtId="0" fontId="71" fillId="2" borderId="92" xfId="0" applyFont="1" applyFill="1" applyBorder="1" applyAlignment="1">
      <alignment vertical="center"/>
    </xf>
    <xf numFmtId="0" fontId="72" fillId="2" borderId="92" xfId="0" applyNumberFormat="1" applyFont="1" applyFill="1" applyBorder="1" applyAlignment="1">
      <alignment horizontal="center" vertical="center" wrapText="1"/>
    </xf>
    <xf numFmtId="0" fontId="72" fillId="2" borderId="92" xfId="0" applyNumberFormat="1" applyFont="1" applyFill="1" applyBorder="1" applyAlignment="1">
      <alignment horizontal="center" vertical="center"/>
    </xf>
    <xf numFmtId="0" fontId="72" fillId="2" borderId="92" xfId="2" applyNumberFormat="1" applyFont="1" applyFill="1" applyBorder="1" applyAlignment="1">
      <alignment horizontal="center" vertical="center"/>
    </xf>
    <xf numFmtId="0" fontId="71" fillId="0" borderId="92" xfId="0" applyNumberFormat="1" applyFont="1" applyFill="1" applyBorder="1" applyAlignment="1">
      <alignment horizontal="center" vertical="center"/>
    </xf>
    <xf numFmtId="4" fontId="72" fillId="0" borderId="92" xfId="0" applyNumberFormat="1" applyFont="1" applyFill="1" applyBorder="1" applyAlignment="1">
      <alignment horizontal="center" vertical="center"/>
    </xf>
    <xf numFmtId="0" fontId="71" fillId="4" borderId="92" xfId="0" applyFont="1" applyFill="1" applyBorder="1" applyAlignment="1">
      <alignment vertical="center"/>
    </xf>
    <xf numFmtId="0" fontId="72" fillId="4" borderId="92" xfId="0" applyNumberFormat="1" applyFont="1" applyFill="1" applyBorder="1" applyAlignment="1">
      <alignment horizontal="center" vertical="center"/>
    </xf>
    <xf numFmtId="0" fontId="72" fillId="4" borderId="92" xfId="2" applyNumberFormat="1" applyFont="1" applyFill="1" applyBorder="1" applyAlignment="1">
      <alignment horizontal="center" vertical="center"/>
    </xf>
    <xf numFmtId="0" fontId="71" fillId="4" borderId="92" xfId="0" applyNumberFormat="1" applyFont="1" applyFill="1" applyBorder="1" applyAlignment="1">
      <alignment horizontal="center" vertical="center"/>
    </xf>
    <xf numFmtId="4" fontId="72" fillId="4" borderId="92" xfId="0" applyNumberFormat="1" applyFont="1" applyFill="1" applyBorder="1" applyAlignment="1">
      <alignment horizontal="center" vertical="center"/>
    </xf>
    <xf numFmtId="0" fontId="32" fillId="0" borderId="0" xfId="0" applyNumberFormat="1" applyFont="1" applyFill="1" applyBorder="1" applyAlignment="1">
      <alignment vertical="center" wrapText="1"/>
    </xf>
    <xf numFmtId="22" fontId="32" fillId="0" borderId="0" xfId="0" applyNumberFormat="1" applyFont="1" applyFill="1" applyBorder="1" applyAlignment="1">
      <alignment horizontal="center" vertical="center" wrapText="1"/>
    </xf>
    <xf numFmtId="0" fontId="70" fillId="0" borderId="0" xfId="0" applyNumberFormat="1" applyFont="1" applyFill="1" applyBorder="1" applyAlignment="1">
      <alignment horizontal="justify" vertical="center" wrapText="1"/>
    </xf>
    <xf numFmtId="0" fontId="32" fillId="0" borderId="0" xfId="0" applyNumberFormat="1" applyFont="1" applyFill="1" applyBorder="1" applyAlignment="1">
      <alignment horizontal="center" vertical="center" wrapText="1"/>
    </xf>
    <xf numFmtId="0" fontId="33" fillId="3" borderId="0" xfId="0" quotePrefix="1" applyNumberFormat="1" applyFont="1" applyFill="1" applyBorder="1" applyAlignment="1">
      <alignment horizontal="center" vertical="center" wrapText="1"/>
    </xf>
    <xf numFmtId="17" fontId="33" fillId="3" borderId="93" xfId="0" applyNumberFormat="1" applyFont="1" applyFill="1" applyBorder="1" applyAlignment="1">
      <alignment horizontal="center" vertical="center" wrapText="1"/>
    </xf>
    <xf numFmtId="168" fontId="33" fillId="3" borderId="93" xfId="0" applyNumberFormat="1" applyFont="1" applyFill="1" applyBorder="1" applyAlignment="1">
      <alignment horizontal="center" vertical="center" wrapText="1"/>
    </xf>
    <xf numFmtId="0" fontId="33" fillId="3" borderId="93" xfId="0" applyNumberFormat="1" applyFont="1" applyFill="1" applyBorder="1" applyAlignment="1">
      <alignment horizontal="center" vertical="center" wrapText="1"/>
    </xf>
    <xf numFmtId="0" fontId="33" fillId="3" borderId="94" xfId="0" applyNumberFormat="1" applyFont="1" applyFill="1" applyBorder="1" applyAlignment="1">
      <alignment horizontal="center" vertical="center" wrapText="1"/>
    </xf>
    <xf numFmtId="0" fontId="27" fillId="4" borderId="95" xfId="0" quotePrefix="1" applyNumberFormat="1" applyFont="1" applyFill="1" applyBorder="1" applyAlignment="1">
      <alignment vertical="center" wrapText="1"/>
    </xf>
    <xf numFmtId="167" fontId="27" fillId="4" borderId="95" xfId="0" applyNumberFormat="1" applyFont="1" applyFill="1" applyBorder="1" applyAlignment="1">
      <alignment horizontal="center" vertical="center" wrapText="1"/>
    </xf>
    <xf numFmtId="0" fontId="27" fillId="4" borderId="95" xfId="2" applyNumberFormat="1" applyFont="1" applyFill="1" applyBorder="1" applyAlignment="1">
      <alignment horizontal="center" vertical="center" wrapText="1"/>
    </xf>
    <xf numFmtId="4" fontId="27" fillId="4" borderId="95" xfId="0" applyNumberFormat="1" applyFont="1" applyFill="1" applyBorder="1" applyAlignment="1">
      <alignment horizontal="center" vertical="center" wrapText="1"/>
    </xf>
    <xf numFmtId="0" fontId="27" fillId="4" borderId="95" xfId="0" applyNumberFormat="1" applyFont="1" applyFill="1" applyBorder="1" applyAlignment="1">
      <alignment horizontal="center" vertical="center" wrapText="1"/>
    </xf>
    <xf numFmtId="0" fontId="33" fillId="3" borderId="139" xfId="0" quotePrefix="1" applyNumberFormat="1" applyFont="1" applyFill="1" applyBorder="1" applyAlignment="1">
      <alignment horizontal="left" vertical="center"/>
    </xf>
    <xf numFmtId="167" fontId="33" fillId="3" borderId="140" xfId="0" applyNumberFormat="1" applyFont="1" applyFill="1" applyBorder="1" applyAlignment="1">
      <alignment horizontal="right" vertical="center"/>
    </xf>
    <xf numFmtId="167" fontId="33" fillId="3" borderId="140" xfId="0" applyNumberFormat="1" applyFont="1" applyFill="1" applyBorder="1" applyAlignment="1">
      <alignment horizontal="left" vertical="center"/>
    </xf>
    <xf numFmtId="0" fontId="33" fillId="3" borderId="140" xfId="2" applyNumberFormat="1" applyFont="1" applyFill="1" applyBorder="1" applyAlignment="1">
      <alignment horizontal="left" vertical="center"/>
    </xf>
    <xf numFmtId="0" fontId="33" fillId="3" borderId="141" xfId="2" applyNumberFormat="1" applyFont="1" applyFill="1" applyBorder="1" applyAlignment="1">
      <alignment horizontal="center" vertical="center"/>
    </xf>
    <xf numFmtId="4" fontId="33" fillId="3" borderId="95" xfId="0" applyNumberFormat="1" applyFont="1" applyFill="1" applyBorder="1" applyAlignment="1">
      <alignment horizontal="center" vertical="center"/>
    </xf>
    <xf numFmtId="0" fontId="33" fillId="3" borderId="95" xfId="0" applyNumberFormat="1" applyFont="1" applyFill="1" applyBorder="1" applyAlignment="1">
      <alignment horizontal="center" vertical="center"/>
    </xf>
    <xf numFmtId="0" fontId="38" fillId="2" borderId="0" xfId="0" applyNumberFormat="1" applyFont="1" applyFill="1"/>
    <xf numFmtId="169" fontId="27" fillId="5" borderId="29" xfId="0" applyNumberFormat="1" applyFont="1" applyFill="1" applyBorder="1" applyAlignment="1">
      <alignment horizontal="center" vertical="center"/>
    </xf>
    <xf numFmtId="166" fontId="27" fillId="5" borderId="24" xfId="2" applyNumberFormat="1" applyFont="1" applyFill="1" applyBorder="1" applyAlignment="1">
      <alignment horizontal="center" vertical="center"/>
    </xf>
    <xf numFmtId="169" fontId="27" fillId="2" borderId="31" xfId="0" applyNumberFormat="1" applyFont="1" applyFill="1" applyBorder="1" applyAlignment="1">
      <alignment horizontal="center" vertical="center"/>
    </xf>
    <xf numFmtId="166" fontId="27" fillId="2" borderId="25" xfId="2" applyNumberFormat="1" applyFont="1" applyFill="1" applyBorder="1" applyAlignment="1">
      <alignment horizontal="center" vertical="center"/>
    </xf>
    <xf numFmtId="169" fontId="27" fillId="5" borderId="31" xfId="0" applyNumberFormat="1" applyFont="1" applyFill="1" applyBorder="1" applyAlignment="1">
      <alignment horizontal="center" vertical="center"/>
    </xf>
    <xf numFmtId="166" fontId="27" fillId="5" borderId="25" xfId="2" applyNumberFormat="1" applyFont="1" applyFill="1" applyBorder="1" applyAlignment="1">
      <alignment horizontal="center" vertical="center"/>
    </xf>
    <xf numFmtId="169" fontId="27" fillId="2" borderId="34" xfId="0" applyNumberFormat="1" applyFont="1" applyFill="1" applyBorder="1" applyAlignment="1">
      <alignment horizontal="center" vertical="center"/>
    </xf>
    <xf numFmtId="166" fontId="27" fillId="2" borderId="26" xfId="2" applyNumberFormat="1" applyFont="1" applyFill="1" applyBorder="1" applyAlignment="1">
      <alignment horizontal="center" vertical="center"/>
    </xf>
    <xf numFmtId="169" fontId="41" fillId="5" borderId="40" xfId="0" applyNumberFormat="1" applyFont="1" applyFill="1" applyBorder="1" applyAlignment="1">
      <alignment horizontal="center" vertical="center"/>
    </xf>
    <xf numFmtId="166" fontId="34" fillId="5" borderId="23" xfId="2" applyNumberFormat="1" applyFont="1" applyFill="1" applyBorder="1" applyAlignment="1">
      <alignment horizontal="center" vertical="center"/>
    </xf>
    <xf numFmtId="0" fontId="38" fillId="2" borderId="0" xfId="0" applyNumberFormat="1" applyFont="1" applyFill="1" applyAlignment="1">
      <alignment horizontal="left" vertical="center"/>
    </xf>
    <xf numFmtId="4" fontId="27" fillId="0" borderId="137" xfId="0" applyNumberFormat="1" applyFont="1" applyFill="1" applyBorder="1"/>
    <xf numFmtId="20" fontId="27" fillId="0" borderId="137" xfId="0" applyNumberFormat="1" applyFont="1" applyFill="1" applyBorder="1" applyAlignment="1">
      <alignment horizontal="center"/>
    </xf>
    <xf numFmtId="0" fontId="31" fillId="2" borderId="95" xfId="0" quotePrefix="1" applyNumberFormat="1" applyFont="1" applyFill="1" applyBorder="1" applyAlignment="1">
      <alignment vertical="center" wrapText="1"/>
    </xf>
    <xf numFmtId="167" fontId="31" fillId="2" borderId="95" xfId="0" applyNumberFormat="1" applyFont="1" applyFill="1" applyBorder="1" applyAlignment="1">
      <alignment horizontal="center" vertical="center" wrapText="1"/>
    </xf>
    <xf numFmtId="0" fontId="31" fillId="2" borderId="95" xfId="2" applyNumberFormat="1" applyFont="1" applyFill="1" applyBorder="1" applyAlignment="1">
      <alignment horizontal="center" vertical="center" wrapText="1"/>
    </xf>
    <xf numFmtId="4" fontId="31" fillId="2" borderId="95" xfId="0" applyNumberFormat="1" applyFont="1" applyFill="1" applyBorder="1" applyAlignment="1">
      <alignment horizontal="center" vertical="center" wrapText="1"/>
    </xf>
    <xf numFmtId="0" fontId="31" fillId="2" borderId="95" xfId="0" applyNumberFormat="1" applyFont="1" applyFill="1" applyBorder="1" applyAlignment="1">
      <alignment horizontal="center" vertical="center" wrapText="1"/>
    </xf>
    <xf numFmtId="4" fontId="0" fillId="0" borderId="0" xfId="0" applyNumberFormat="1" applyFont="1" applyAlignment="1">
      <alignment vertical="center"/>
    </xf>
    <xf numFmtId="17" fontId="33" fillId="3" borderId="26" xfId="0" quotePrefix="1" applyNumberFormat="1" applyFont="1" applyFill="1" applyBorder="1" applyAlignment="1">
      <alignment horizontal="center" vertical="center" wrapText="1"/>
    </xf>
    <xf numFmtId="17" fontId="33" fillId="3" borderId="32" xfId="0" quotePrefix="1" applyNumberFormat="1" applyFont="1" applyFill="1" applyBorder="1" applyAlignment="1">
      <alignment horizontal="center" vertical="center" wrapText="1"/>
    </xf>
    <xf numFmtId="4" fontId="0" fillId="0" borderId="0" xfId="0" applyNumberFormat="1" applyFont="1" applyAlignment="1">
      <alignment vertical="center" wrapText="1"/>
    </xf>
    <xf numFmtId="169" fontId="0" fillId="0" borderId="0" xfId="0" applyNumberFormat="1" applyFont="1" applyAlignment="1">
      <alignment horizontal="center" vertical="center"/>
    </xf>
    <xf numFmtId="10" fontId="21" fillId="4" borderId="57" xfId="2" applyNumberFormat="1" applyFont="1" applyFill="1" applyBorder="1" applyAlignment="1">
      <alignment horizontal="right" vertical="center"/>
    </xf>
    <xf numFmtId="0" fontId="72" fillId="2" borderId="0" xfId="0" quotePrefix="1" applyNumberFormat="1" applyFont="1" applyFill="1" applyBorder="1" applyAlignment="1">
      <alignment horizontal="left" vertical="center"/>
    </xf>
    <xf numFmtId="0" fontId="71" fillId="2" borderId="92" xfId="0" applyFont="1" applyFill="1" applyBorder="1" applyAlignment="1">
      <alignment vertical="center" wrapText="1"/>
    </xf>
    <xf numFmtId="0" fontId="37" fillId="3" borderId="96" xfId="0" applyFont="1" applyFill="1" applyBorder="1" applyAlignment="1">
      <alignment horizontal="center" vertical="center" wrapText="1"/>
    </xf>
    <xf numFmtId="0" fontId="37" fillId="3" borderId="97" xfId="0" applyFont="1" applyFill="1" applyBorder="1" applyAlignment="1">
      <alignment horizontal="center" vertical="center" wrapText="1"/>
    </xf>
    <xf numFmtId="166" fontId="21" fillId="0" borderId="39" xfId="2" applyNumberFormat="1" applyFont="1" applyFill="1" applyBorder="1" applyAlignment="1">
      <alignment horizontal="right" vertical="center"/>
    </xf>
    <xf numFmtId="169" fontId="31" fillId="5" borderId="24" xfId="0" applyNumberFormat="1" applyFont="1" applyFill="1" applyBorder="1" applyAlignment="1">
      <alignment horizontal="center" vertical="center"/>
    </xf>
    <xf numFmtId="169" fontId="31" fillId="2" borderId="25" xfId="0" applyNumberFormat="1" applyFont="1" applyFill="1" applyBorder="1" applyAlignment="1">
      <alignment horizontal="center" vertical="center"/>
    </xf>
    <xf numFmtId="169" fontId="31" fillId="5" borderId="25" xfId="0" applyNumberFormat="1" applyFont="1" applyFill="1" applyBorder="1" applyAlignment="1">
      <alignment horizontal="center" vertical="center"/>
    </xf>
    <xf numFmtId="169" fontId="31" fillId="2" borderId="26" xfId="0" applyNumberFormat="1" applyFont="1" applyFill="1" applyBorder="1" applyAlignment="1">
      <alignment horizontal="center" vertical="center"/>
    </xf>
    <xf numFmtId="169" fontId="41" fillId="5" borderId="23" xfId="0" applyNumberFormat="1" applyFont="1" applyFill="1" applyBorder="1" applyAlignment="1">
      <alignment horizontal="center" vertical="center"/>
    </xf>
    <xf numFmtId="169" fontId="13" fillId="2" borderId="0" xfId="0" applyNumberFormat="1" applyFont="1" applyFill="1" applyBorder="1" applyAlignment="1">
      <alignment horizontal="right"/>
    </xf>
    <xf numFmtId="175" fontId="49" fillId="0" borderId="0" xfId="0" applyNumberFormat="1" applyFont="1"/>
    <xf numFmtId="0" fontId="75" fillId="2" borderId="0" xfId="0" applyNumberFormat="1" applyFont="1" applyFill="1" applyAlignment="1">
      <alignment horizontal="left" vertical="center" wrapText="1"/>
    </xf>
    <xf numFmtId="0" fontId="49" fillId="0" borderId="0" xfId="0" applyFont="1" applyAlignment="1">
      <alignment vertical="center"/>
    </xf>
    <xf numFmtId="0" fontId="41" fillId="0" borderId="110" xfId="0" applyFont="1" applyBorder="1" applyAlignment="1">
      <alignment vertical="center" wrapText="1"/>
    </xf>
    <xf numFmtId="0" fontId="31" fillId="0" borderId="0" xfId="0" applyNumberFormat="1" applyFont="1" applyFill="1" applyBorder="1" applyAlignment="1">
      <alignment vertical="center"/>
    </xf>
    <xf numFmtId="43" fontId="31" fillId="0" borderId="0" xfId="1" applyFont="1" applyFill="1" applyBorder="1" applyAlignment="1">
      <alignment vertical="center"/>
    </xf>
    <xf numFmtId="43" fontId="31" fillId="0" borderId="109" xfId="1" applyFont="1" applyFill="1" applyBorder="1" applyAlignment="1">
      <alignment vertical="center"/>
    </xf>
    <xf numFmtId="0" fontId="41" fillId="7" borderId="113" xfId="0" applyFont="1" applyFill="1" applyBorder="1" applyAlignment="1">
      <alignment vertical="center"/>
    </xf>
    <xf numFmtId="43" fontId="41" fillId="7" borderId="113" xfId="1" applyFont="1" applyFill="1" applyBorder="1" applyAlignment="1">
      <alignment vertical="center"/>
    </xf>
    <xf numFmtId="43" fontId="41" fillId="7" borderId="114" xfId="1" applyFont="1" applyFill="1" applyBorder="1" applyAlignment="1">
      <alignment vertical="center"/>
    </xf>
    <xf numFmtId="0" fontId="41" fillId="7" borderId="112" xfId="0" applyFont="1" applyFill="1" applyBorder="1" applyAlignment="1">
      <alignment vertical="center"/>
    </xf>
    <xf numFmtId="0" fontId="41" fillId="7" borderId="0" xfId="0" applyFont="1" applyFill="1" applyBorder="1"/>
    <xf numFmtId="43" fontId="41" fillId="7" borderId="0" xfId="0" applyNumberFormat="1" applyFont="1" applyFill="1" applyBorder="1"/>
    <xf numFmtId="10" fontId="41" fillId="7" borderId="0" xfId="2" applyNumberFormat="1" applyFont="1" applyFill="1" applyBorder="1"/>
    <xf numFmtId="43" fontId="0" fillId="0" borderId="0" xfId="1" applyFont="1" applyAlignment="1">
      <alignment horizontal="left"/>
    </xf>
    <xf numFmtId="10" fontId="21" fillId="0" borderId="31" xfId="2" applyNumberFormat="1" applyFont="1" applyFill="1" applyBorder="1" applyAlignment="1">
      <alignment horizontal="right" vertical="center"/>
    </xf>
    <xf numFmtId="10" fontId="21" fillId="4" borderId="40" xfId="2" applyNumberFormat="1" applyFont="1" applyFill="1" applyBorder="1" applyAlignment="1">
      <alignment horizontal="right" vertical="center"/>
    </xf>
    <xf numFmtId="0" fontId="12" fillId="0" borderId="0" xfId="0" applyFont="1" applyBorder="1" applyAlignment="1">
      <alignment horizontal="center" vertical="center"/>
    </xf>
    <xf numFmtId="0" fontId="25" fillId="0" borderId="0" xfId="0" applyFont="1" applyFill="1" applyBorder="1" applyAlignment="1">
      <alignment horizontal="center" vertical="center"/>
    </xf>
    <xf numFmtId="0" fontId="23" fillId="0" borderId="0" xfId="0" applyFont="1" applyFill="1" applyBorder="1" applyAlignment="1">
      <alignment horizontal="left" vertical="center"/>
    </xf>
    <xf numFmtId="17" fontId="15" fillId="0" borderId="0" xfId="0" quotePrefix="1" applyNumberFormat="1"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8" fillId="0" borderId="0" xfId="0" applyFont="1" applyFill="1" applyBorder="1" applyAlignment="1">
      <alignment horizontal="justify" vertical="justify" wrapText="1" readingOrder="1"/>
    </xf>
    <xf numFmtId="0" fontId="8" fillId="0" borderId="0" xfId="0" applyFont="1" applyFill="1" applyBorder="1" applyAlignment="1">
      <alignment horizontal="justify" vertical="justify" wrapText="1"/>
    </xf>
    <xf numFmtId="17" fontId="25" fillId="0" borderId="0" xfId="0" quotePrefix="1" applyNumberFormat="1" applyFont="1" applyFill="1" applyBorder="1" applyAlignment="1">
      <alignment horizontal="center" vertical="center"/>
    </xf>
    <xf numFmtId="0" fontId="34" fillId="5" borderId="38" xfId="0" applyNumberFormat="1" applyFont="1" applyFill="1" applyBorder="1" applyAlignment="1">
      <alignment horizontal="left" vertical="center"/>
    </xf>
    <xf numFmtId="0" fontId="34" fillId="5" borderId="40" xfId="0" applyNumberFormat="1" applyFont="1" applyFill="1" applyBorder="1" applyAlignment="1">
      <alignment horizontal="left" vertical="center"/>
    </xf>
    <xf numFmtId="0" fontId="33" fillId="3" borderId="34" xfId="0" applyNumberFormat="1" applyFont="1" applyFill="1" applyBorder="1" applyAlignment="1">
      <alignment horizontal="center" vertical="center" wrapText="1"/>
    </xf>
    <xf numFmtId="0" fontId="33" fillId="3" borderId="26" xfId="0" applyNumberFormat="1" applyFont="1" applyFill="1" applyBorder="1" applyAlignment="1">
      <alignment horizontal="center" vertical="center" wrapText="1"/>
    </xf>
    <xf numFmtId="0" fontId="38" fillId="0" borderId="0" xfId="0" applyNumberFormat="1" applyFont="1" applyFill="1" applyAlignment="1">
      <alignment horizontal="left" wrapText="1"/>
    </xf>
    <xf numFmtId="0" fontId="12" fillId="2" borderId="0" xfId="0" applyNumberFormat="1" applyFont="1" applyFill="1" applyAlignment="1">
      <alignment horizontal="center" vertical="center" wrapText="1"/>
    </xf>
    <xf numFmtId="0" fontId="34" fillId="5" borderId="27" xfId="0" applyNumberFormat="1" applyFont="1" applyFill="1" applyBorder="1" applyAlignment="1">
      <alignment horizontal="left" vertical="center"/>
    </xf>
    <xf numFmtId="0" fontId="34" fillId="5" borderId="29" xfId="0" applyNumberFormat="1" applyFont="1" applyFill="1" applyBorder="1" applyAlignment="1">
      <alignment horizontal="left" vertical="center"/>
    </xf>
    <xf numFmtId="0" fontId="34" fillId="2" borderId="30" xfId="0" applyNumberFormat="1" applyFont="1" applyFill="1" applyBorder="1" applyAlignment="1">
      <alignment horizontal="left" vertical="center"/>
    </xf>
    <xf numFmtId="0" fontId="34" fillId="2" borderId="31" xfId="0" applyNumberFormat="1" applyFont="1" applyFill="1" applyBorder="1" applyAlignment="1">
      <alignment horizontal="left" vertical="center"/>
    </xf>
    <xf numFmtId="0" fontId="34" fillId="5" borderId="30" xfId="0" applyNumberFormat="1" applyFont="1" applyFill="1" applyBorder="1" applyAlignment="1">
      <alignment horizontal="left" vertical="center"/>
    </xf>
    <xf numFmtId="0" fontId="34" fillId="5" borderId="31" xfId="0" applyNumberFormat="1" applyFont="1" applyFill="1" applyBorder="1" applyAlignment="1">
      <alignment horizontal="left" vertical="center"/>
    </xf>
    <xf numFmtId="0" fontId="34" fillId="2" borderId="32" xfId="0" applyNumberFormat="1" applyFont="1" applyFill="1" applyBorder="1" applyAlignment="1">
      <alignment horizontal="left" vertical="center"/>
    </xf>
    <xf numFmtId="0" fontId="34" fillId="2" borderId="34" xfId="0" applyNumberFormat="1" applyFont="1" applyFill="1" applyBorder="1" applyAlignment="1">
      <alignment horizontal="left" vertical="center"/>
    </xf>
    <xf numFmtId="0" fontId="72" fillId="2" borderId="0" xfId="0" quotePrefix="1" applyNumberFormat="1" applyFont="1" applyFill="1" applyBorder="1" applyAlignment="1">
      <alignment horizontal="left" vertical="center"/>
    </xf>
    <xf numFmtId="0" fontId="72" fillId="2" borderId="0" xfId="0" quotePrefix="1" applyNumberFormat="1" applyFont="1" applyFill="1" applyBorder="1" applyAlignment="1">
      <alignment horizontal="left" vertical="center" wrapText="1"/>
    </xf>
    <xf numFmtId="0" fontId="32" fillId="0" borderId="0" xfId="0" applyFont="1" applyAlignment="1">
      <alignment horizontal="justify" vertical="center" wrapText="1"/>
    </xf>
    <xf numFmtId="17" fontId="20" fillId="0" borderId="0" xfId="0" applyNumberFormat="1" applyFont="1" applyFill="1" applyBorder="1" applyAlignment="1">
      <alignment horizontal="center" vertical="center"/>
    </xf>
    <xf numFmtId="0" fontId="20" fillId="0" borderId="0" xfId="0" applyNumberFormat="1" applyFont="1" applyFill="1" applyBorder="1" applyAlignment="1">
      <alignment horizontal="center" vertical="center"/>
    </xf>
    <xf numFmtId="0" fontId="2" fillId="3" borderId="17" xfId="0" quotePrefix="1" applyNumberFormat="1" applyFont="1" applyFill="1" applyBorder="1" applyAlignment="1">
      <alignment horizontal="left" vertical="center" wrapText="1"/>
    </xf>
    <xf numFmtId="0" fontId="2" fillId="3" borderId="20" xfId="0" quotePrefix="1" applyNumberFormat="1" applyFont="1" applyFill="1" applyBorder="1" applyAlignment="1">
      <alignment horizontal="left" vertical="center" wrapText="1"/>
    </xf>
    <xf numFmtId="0" fontId="12" fillId="0" borderId="0" xfId="0" applyNumberFormat="1" applyFont="1" applyFill="1" applyAlignment="1">
      <alignment horizontal="left" vertical="center"/>
    </xf>
    <xf numFmtId="0" fontId="4" fillId="0" borderId="0" xfId="0" quotePrefix="1" applyNumberFormat="1" applyFont="1" applyFill="1" applyBorder="1" applyAlignment="1">
      <alignment horizontal="left" vertical="center" wrapText="1"/>
    </xf>
    <xf numFmtId="43" fontId="2" fillId="3" borderId="18" xfId="1" applyFont="1" applyFill="1" applyBorder="1" applyAlignment="1">
      <alignment horizontal="center" vertical="center"/>
    </xf>
    <xf numFmtId="17" fontId="2" fillId="3" borderId="18" xfId="0" applyNumberFormat="1" applyFont="1" applyFill="1" applyBorder="1" applyAlignment="1">
      <alignment horizontal="center" vertical="center"/>
    </xf>
    <xf numFmtId="0" fontId="2" fillId="3" borderId="18" xfId="0" applyNumberFormat="1" applyFont="1" applyFill="1" applyBorder="1" applyAlignment="1">
      <alignment horizontal="center" vertical="center"/>
    </xf>
    <xf numFmtId="0" fontId="2" fillId="3" borderId="19" xfId="0" applyNumberFormat="1" applyFont="1" applyFill="1" applyBorder="1" applyAlignment="1">
      <alignment horizontal="center" vertical="center"/>
    </xf>
    <xf numFmtId="0" fontId="4" fillId="2" borderId="0" xfId="0" quotePrefix="1" applyNumberFormat="1" applyFont="1" applyFill="1" applyBorder="1" applyAlignment="1">
      <alignment horizontal="left" vertical="top" wrapText="1"/>
    </xf>
    <xf numFmtId="43" fontId="2" fillId="3" borderId="23" xfId="1" applyFont="1" applyFill="1" applyBorder="1" applyAlignment="1">
      <alignment horizontal="center" vertical="center"/>
    </xf>
    <xf numFmtId="17" fontId="2" fillId="3" borderId="23" xfId="0" applyNumberFormat="1" applyFont="1" applyFill="1" applyBorder="1" applyAlignment="1">
      <alignment horizontal="center" vertical="center"/>
    </xf>
    <xf numFmtId="0" fontId="2" fillId="3" borderId="23" xfId="0" applyNumberFormat="1" applyFont="1" applyFill="1" applyBorder="1" applyAlignment="1">
      <alignment horizontal="center" vertical="center"/>
    </xf>
    <xf numFmtId="0" fontId="2" fillId="3" borderId="23" xfId="0" quotePrefix="1" applyNumberFormat="1" applyFont="1" applyFill="1" applyBorder="1" applyAlignment="1">
      <alignment horizontal="left" vertical="center" wrapText="1"/>
    </xf>
    <xf numFmtId="0" fontId="23" fillId="2" borderId="0" xfId="0" applyNumberFormat="1" applyFont="1" applyFill="1" applyAlignment="1">
      <alignment horizontal="left" wrapText="1"/>
    </xf>
    <xf numFmtId="0" fontId="4" fillId="2" borderId="0" xfId="0" applyNumberFormat="1" applyFont="1" applyFill="1" applyAlignment="1">
      <alignment horizontal="left" vertical="center" wrapText="1"/>
    </xf>
    <xf numFmtId="0" fontId="27" fillId="2" borderId="0" xfId="0" quotePrefix="1" applyNumberFormat="1" applyFont="1" applyFill="1" applyBorder="1" applyAlignment="1">
      <alignment horizontal="justify" vertical="top" wrapText="1"/>
    </xf>
    <xf numFmtId="0" fontId="4" fillId="0" borderId="0" xfId="0" applyNumberFormat="1" applyFont="1" applyFill="1" applyAlignment="1">
      <alignment horizontal="left"/>
    </xf>
    <xf numFmtId="0" fontId="6" fillId="2" borderId="0" xfId="0" applyNumberFormat="1" applyFont="1" applyFill="1" applyBorder="1" applyAlignment="1">
      <alignment horizontal="center"/>
    </xf>
    <xf numFmtId="0" fontId="0" fillId="2" borderId="0" xfId="0" quotePrefix="1" applyNumberFormat="1" applyFont="1" applyFill="1" applyBorder="1" applyAlignment="1">
      <alignment horizontal="left" vertical="top"/>
    </xf>
    <xf numFmtId="0" fontId="0" fillId="2" borderId="0" xfId="0" quotePrefix="1" applyNumberFormat="1" applyFont="1" applyFill="1" applyBorder="1" applyAlignment="1">
      <alignment horizontal="left" vertical="top" wrapText="1"/>
    </xf>
    <xf numFmtId="0" fontId="2" fillId="6" borderId="46" xfId="0" applyFont="1" applyFill="1" applyBorder="1" applyAlignment="1">
      <alignment horizontal="left" vertical="center"/>
    </xf>
    <xf numFmtId="43" fontId="2" fillId="3" borderId="46" xfId="1" applyFont="1" applyFill="1" applyBorder="1" applyAlignment="1">
      <alignment horizontal="center" vertical="center"/>
    </xf>
    <xf numFmtId="0" fontId="2" fillId="3" borderId="46" xfId="0" applyNumberFormat="1" applyFont="1" applyFill="1" applyBorder="1" applyAlignment="1">
      <alignment horizontal="center" vertical="center"/>
    </xf>
    <xf numFmtId="0" fontId="21" fillId="2" borderId="0" xfId="0" applyNumberFormat="1" applyFont="1" applyFill="1" applyBorder="1" applyAlignment="1">
      <alignment horizontal="center"/>
    </xf>
    <xf numFmtId="0" fontId="23" fillId="2" borderId="0" xfId="0" applyNumberFormat="1" applyFont="1" applyFill="1" applyBorder="1" applyAlignment="1">
      <alignment horizontal="left" vertical="center" wrapText="1"/>
    </xf>
    <xf numFmtId="0" fontId="13" fillId="2" borderId="138" xfId="0" applyNumberFormat="1" applyFont="1" applyFill="1" applyBorder="1" applyAlignment="1">
      <alignment horizontal="left" vertical="center" wrapText="1"/>
    </xf>
    <xf numFmtId="0" fontId="13" fillId="2" borderId="0" xfId="0" applyNumberFormat="1" applyFont="1" applyFill="1" applyAlignment="1">
      <alignment horizontal="left" vertical="center"/>
    </xf>
    <xf numFmtId="0" fontId="27" fillId="2" borderId="0" xfId="0" quotePrefix="1" applyNumberFormat="1" applyFont="1" applyFill="1" applyAlignment="1">
      <alignment horizontal="left" vertical="center" wrapText="1"/>
    </xf>
    <xf numFmtId="0" fontId="23" fillId="2" borderId="0" xfId="0" applyNumberFormat="1" applyFont="1" applyFill="1" applyAlignment="1">
      <alignment horizontal="left" vertical="top" wrapText="1"/>
    </xf>
    <xf numFmtId="0" fontId="12" fillId="2" borderId="0" xfId="0" applyNumberFormat="1" applyFont="1" applyFill="1" applyAlignment="1">
      <alignment horizontal="left" vertical="center"/>
    </xf>
    <xf numFmtId="0" fontId="4" fillId="2" borderId="0" xfId="0" quotePrefix="1" applyNumberFormat="1" applyFont="1" applyFill="1" applyBorder="1" applyAlignment="1">
      <alignment horizontal="left" vertical="top"/>
    </xf>
    <xf numFmtId="166" fontId="2" fillId="3" borderId="23" xfId="2" applyNumberFormat="1" applyFont="1" applyFill="1" applyBorder="1" applyAlignment="1">
      <alignment horizontal="center" vertical="center" wrapText="1"/>
    </xf>
    <xf numFmtId="166" fontId="2" fillId="3" borderId="23" xfId="2" applyNumberFormat="1" applyFont="1" applyFill="1" applyBorder="1" applyAlignment="1">
      <alignment horizontal="center" vertical="center"/>
    </xf>
    <xf numFmtId="0" fontId="13" fillId="2" borderId="0" xfId="0" applyNumberFormat="1" applyFont="1" applyFill="1" applyBorder="1" applyAlignment="1">
      <alignment horizontal="left" vertical="center" wrapText="1"/>
    </xf>
    <xf numFmtId="0" fontId="4" fillId="0" borderId="0" xfId="0" applyNumberFormat="1" applyFont="1" applyFill="1" applyAlignment="1">
      <alignment horizontal="left" vertical="center" wrapText="1"/>
    </xf>
    <xf numFmtId="0" fontId="2" fillId="6" borderId="58" xfId="0" applyFont="1" applyFill="1" applyBorder="1" applyAlignment="1">
      <alignment horizontal="center" vertical="center" wrapText="1"/>
    </xf>
    <xf numFmtId="0" fontId="2" fillId="6" borderId="60" xfId="0" applyFont="1" applyFill="1" applyBorder="1" applyAlignment="1">
      <alignment horizontal="center" vertical="center" wrapText="1"/>
    </xf>
    <xf numFmtId="43" fontId="2" fillId="3" borderId="58" xfId="1" applyFont="1" applyFill="1" applyBorder="1" applyAlignment="1">
      <alignment horizontal="center" vertical="center" wrapText="1"/>
    </xf>
    <xf numFmtId="0" fontId="2" fillId="3" borderId="58" xfId="0" applyNumberFormat="1" applyFont="1" applyFill="1" applyBorder="1" applyAlignment="1">
      <alignment horizontal="center" vertical="center"/>
    </xf>
    <xf numFmtId="0" fontId="2" fillId="3" borderId="59" xfId="0" applyNumberFormat="1" applyFont="1" applyFill="1" applyBorder="1" applyAlignment="1">
      <alignment horizontal="center" vertical="center"/>
    </xf>
    <xf numFmtId="0" fontId="21" fillId="2" borderId="0" xfId="0" applyNumberFormat="1" applyFont="1" applyFill="1" applyBorder="1" applyAlignment="1">
      <alignment horizontal="center" vertical="top"/>
    </xf>
    <xf numFmtId="0" fontId="2" fillId="3" borderId="59" xfId="0" applyFont="1" applyFill="1" applyBorder="1" applyAlignment="1">
      <alignment horizontal="center" vertical="center"/>
    </xf>
    <xf numFmtId="0" fontId="2" fillId="3" borderId="61" xfId="0" applyFont="1" applyFill="1" applyBorder="1" applyAlignment="1">
      <alignment horizontal="center" vertical="center"/>
    </xf>
    <xf numFmtId="0" fontId="0" fillId="2" borderId="0" xfId="0" quotePrefix="1" applyNumberFormat="1" applyFont="1" applyFill="1" applyBorder="1" applyAlignment="1">
      <alignment horizontal="left" vertical="center" wrapText="1"/>
    </xf>
    <xf numFmtId="0" fontId="13" fillId="2" borderId="0" xfId="0" quotePrefix="1" applyNumberFormat="1" applyFont="1" applyFill="1" applyBorder="1" applyAlignment="1">
      <alignment horizontal="left" vertical="center" wrapText="1"/>
    </xf>
    <xf numFmtId="0" fontId="4" fillId="2" borderId="0" xfId="0" applyNumberFormat="1" applyFont="1" applyFill="1" applyAlignment="1">
      <alignment horizontal="left" vertical="center"/>
    </xf>
    <xf numFmtId="0" fontId="35" fillId="0" borderId="2" xfId="0" applyNumberFormat="1" applyFont="1" applyFill="1" applyBorder="1" applyAlignment="1">
      <alignment horizontal="left" vertical="center" wrapText="1"/>
    </xf>
    <xf numFmtId="0" fontId="4" fillId="2" borderId="0" xfId="0" applyNumberFormat="1" applyFont="1" applyFill="1" applyAlignment="1">
      <alignment horizontal="center"/>
    </xf>
    <xf numFmtId="0" fontId="20" fillId="2" borderId="0" xfId="0" applyFont="1" applyFill="1" applyBorder="1" applyAlignment="1">
      <alignment horizontal="center" vertical="center" wrapText="1"/>
    </xf>
    <xf numFmtId="0" fontId="4" fillId="2" borderId="0" xfId="0" applyNumberFormat="1" applyFont="1" applyFill="1" applyAlignment="1">
      <alignment horizontal="left"/>
    </xf>
    <xf numFmtId="0" fontId="23" fillId="2" borderId="0" xfId="0" applyNumberFormat="1" applyFont="1" applyFill="1" applyAlignment="1">
      <alignment horizontal="left" vertical="center" wrapText="1"/>
    </xf>
    <xf numFmtId="0" fontId="23" fillId="2" borderId="0" xfId="0" applyNumberFormat="1" applyFont="1" applyFill="1" applyAlignment="1">
      <alignment horizontal="left" vertical="center"/>
    </xf>
    <xf numFmtId="2" fontId="38" fillId="2" borderId="0" xfId="0" applyNumberFormat="1" applyFont="1" applyFill="1" applyAlignment="1">
      <alignment horizontal="left" vertical="center" wrapText="1"/>
    </xf>
    <xf numFmtId="2" fontId="38" fillId="2" borderId="0" xfId="0" applyNumberFormat="1" applyFont="1" applyFill="1" applyAlignment="1">
      <alignment horizontal="left" vertical="center"/>
    </xf>
    <xf numFmtId="2" fontId="38" fillId="2" borderId="143" xfId="0" applyNumberFormat="1" applyFont="1" applyFill="1" applyBorder="1" applyAlignment="1">
      <alignment horizontal="left" vertical="center" wrapText="1"/>
    </xf>
    <xf numFmtId="0" fontId="11" fillId="2" borderId="0" xfId="0" applyNumberFormat="1" applyFont="1" applyFill="1" applyAlignment="1">
      <alignment horizontal="left" vertical="center"/>
    </xf>
    <xf numFmtId="0" fontId="13" fillId="2" borderId="100" xfId="0" applyFont="1" applyFill="1" applyBorder="1" applyAlignment="1">
      <alignment horizontal="left" vertical="center"/>
    </xf>
    <xf numFmtId="0" fontId="13" fillId="2" borderId="101" xfId="0" applyFont="1" applyFill="1" applyBorder="1" applyAlignment="1">
      <alignment horizontal="left" vertical="center"/>
    </xf>
    <xf numFmtId="0" fontId="13" fillId="2" borderId="102" xfId="0" applyFont="1" applyFill="1" applyBorder="1" applyAlignment="1">
      <alignment horizontal="left" vertical="center"/>
    </xf>
    <xf numFmtId="43" fontId="37" fillId="3" borderId="96" xfId="1" applyFont="1" applyFill="1" applyBorder="1" applyAlignment="1">
      <alignment horizontal="center" vertical="center" wrapText="1"/>
    </xf>
    <xf numFmtId="43" fontId="37" fillId="3" borderId="97" xfId="1" applyFont="1" applyFill="1" applyBorder="1" applyAlignment="1">
      <alignment horizontal="center" vertical="center" wrapText="1"/>
    </xf>
    <xf numFmtId="0" fontId="11" fillId="2" borderId="0" xfId="0" applyNumberFormat="1" applyFont="1" applyFill="1" applyAlignment="1">
      <alignment horizontal="left" vertical="center" wrapText="1"/>
    </xf>
    <xf numFmtId="0" fontId="4" fillId="2" borderId="98" xfId="0" applyNumberFormat="1" applyFont="1" applyFill="1" applyBorder="1" applyAlignment="1">
      <alignment horizontal="left" vertical="center"/>
    </xf>
    <xf numFmtId="0" fontId="31" fillId="2" borderId="0" xfId="0" quotePrefix="1" applyNumberFormat="1" applyFont="1" applyFill="1" applyBorder="1" applyAlignment="1">
      <alignment horizontal="left" vertical="center" wrapText="1"/>
    </xf>
    <xf numFmtId="0" fontId="38" fillId="2" borderId="99" xfId="0" quotePrefix="1" applyNumberFormat="1" applyFont="1" applyFill="1" applyBorder="1" applyAlignment="1">
      <alignment horizontal="left"/>
    </xf>
    <xf numFmtId="0" fontId="27" fillId="0" borderId="0" xfId="0" applyNumberFormat="1" applyFont="1" applyFill="1" applyAlignment="1">
      <alignment horizontal="left" vertical="center" wrapText="1"/>
    </xf>
    <xf numFmtId="0" fontId="27" fillId="2" borderId="0" xfId="0" applyNumberFormat="1" applyFont="1" applyFill="1" applyAlignment="1">
      <alignment horizontal="left" vertical="center" wrapText="1"/>
    </xf>
    <xf numFmtId="0" fontId="38" fillId="2" borderId="0" xfId="0" applyNumberFormat="1" applyFont="1" applyFill="1" applyBorder="1" applyAlignment="1">
      <alignment wrapText="1"/>
    </xf>
    <xf numFmtId="0" fontId="39" fillId="2" borderId="0" xfId="0" quotePrefix="1" applyNumberFormat="1" applyFont="1" applyFill="1" applyBorder="1" applyAlignment="1">
      <alignment horizontal="center" vertical="center" wrapText="1"/>
    </xf>
    <xf numFmtId="0" fontId="39" fillId="2" borderId="0" xfId="0" applyNumberFormat="1" applyFont="1" applyFill="1" applyBorder="1" applyAlignment="1">
      <alignment horizontal="center"/>
    </xf>
    <xf numFmtId="0" fontId="38" fillId="2" borderId="0" xfId="0" applyNumberFormat="1" applyFont="1" applyFill="1" applyBorder="1" applyAlignment="1">
      <alignment vertical="center" wrapText="1"/>
    </xf>
    <xf numFmtId="0" fontId="33" fillId="9" borderId="115" xfId="5" applyNumberFormat="1" applyFont="1" applyFill="1" applyBorder="1" applyAlignment="1">
      <alignment horizontal="center" vertical="center"/>
    </xf>
    <xf numFmtId="0" fontId="33" fillId="9" borderId="118" xfId="5" applyNumberFormat="1" applyFont="1" applyFill="1" applyBorder="1" applyAlignment="1">
      <alignment horizontal="center" vertical="center"/>
    </xf>
    <xf numFmtId="0" fontId="33" fillId="9" borderId="120" xfId="5" applyNumberFormat="1" applyFont="1" applyFill="1" applyBorder="1" applyAlignment="1">
      <alignment horizontal="center" vertical="center"/>
    </xf>
    <xf numFmtId="0" fontId="33" fillId="9" borderId="116" xfId="5" applyNumberFormat="1" applyFont="1" applyFill="1" applyBorder="1" applyAlignment="1">
      <alignment horizontal="center" vertical="center"/>
    </xf>
    <xf numFmtId="0" fontId="33" fillId="9" borderId="103" xfId="5" applyNumberFormat="1" applyFont="1" applyFill="1" applyBorder="1" applyAlignment="1">
      <alignment horizontal="center" vertical="center"/>
    </xf>
    <xf numFmtId="0" fontId="33" fillId="9" borderId="121" xfId="5" applyNumberFormat="1" applyFont="1" applyFill="1" applyBorder="1" applyAlignment="1">
      <alignment horizontal="center" vertical="center"/>
    </xf>
    <xf numFmtId="17" fontId="33" fillId="9" borderId="116" xfId="0" applyNumberFormat="1" applyFont="1" applyFill="1" applyBorder="1" applyAlignment="1">
      <alignment horizontal="center" vertical="center"/>
    </xf>
    <xf numFmtId="0" fontId="33" fillId="9" borderId="103" xfId="0" applyNumberFormat="1" applyFont="1" applyFill="1" applyBorder="1" applyAlignment="1">
      <alignment horizontal="center" vertical="center"/>
    </xf>
    <xf numFmtId="0" fontId="33" fillId="9" borderId="44" xfId="5" applyFont="1" applyFill="1" applyBorder="1" applyAlignment="1">
      <alignment horizontal="center" vertical="center" wrapText="1"/>
    </xf>
    <xf numFmtId="0" fontId="33" fillId="9" borderId="104" xfId="5" applyFont="1" applyFill="1" applyBorder="1" applyAlignment="1">
      <alignment horizontal="center" vertical="center" wrapText="1"/>
    </xf>
    <xf numFmtId="0" fontId="33" fillId="9" borderId="45" xfId="5" applyNumberFormat="1" applyFont="1" applyFill="1" applyBorder="1" applyAlignment="1">
      <alignment horizontal="center" vertical="center"/>
    </xf>
    <xf numFmtId="0" fontId="33" fillId="9" borderId="105" xfId="5" applyNumberFormat="1" applyFont="1" applyFill="1" applyBorder="1" applyAlignment="1">
      <alignment horizontal="center" vertical="center"/>
    </xf>
    <xf numFmtId="0" fontId="33" fillId="9" borderId="44" xfId="5" applyNumberFormat="1" applyFont="1" applyFill="1" applyBorder="1" applyAlignment="1">
      <alignment horizontal="center" vertical="center"/>
    </xf>
    <xf numFmtId="0" fontId="31" fillId="0" borderId="0" xfId="0" applyFont="1" applyFill="1" applyAlignment="1">
      <alignment horizontal="left" vertical="center" wrapText="1"/>
    </xf>
    <xf numFmtId="0" fontId="33" fillId="10" borderId="134" xfId="6" applyNumberFormat="1" applyFont="1" applyFill="1" applyBorder="1" applyAlignment="1">
      <alignment horizontal="center" vertical="center"/>
    </xf>
    <xf numFmtId="0" fontId="33" fillId="10" borderId="129" xfId="6" applyNumberFormat="1" applyFont="1" applyFill="1" applyBorder="1" applyAlignment="1">
      <alignment horizontal="center" vertical="center"/>
    </xf>
    <xf numFmtId="0" fontId="33" fillId="10" borderId="131" xfId="6" applyNumberFormat="1" applyFont="1" applyFill="1" applyBorder="1" applyAlignment="1">
      <alignment horizontal="center" vertical="center"/>
    </xf>
    <xf numFmtId="0" fontId="33" fillId="10" borderId="135" xfId="6" applyNumberFormat="1" applyFont="1" applyFill="1" applyBorder="1" applyAlignment="1">
      <alignment horizontal="center" vertical="center"/>
    </xf>
    <xf numFmtId="0" fontId="33" fillId="10" borderId="46" xfId="6" applyNumberFormat="1" applyFont="1" applyFill="1" applyBorder="1" applyAlignment="1">
      <alignment horizontal="center" vertical="center"/>
    </xf>
    <xf numFmtId="0" fontId="33" fillId="10" borderId="132" xfId="6" applyNumberFormat="1" applyFont="1" applyFill="1" applyBorder="1" applyAlignment="1">
      <alignment horizontal="center" vertical="center"/>
    </xf>
    <xf numFmtId="0" fontId="33" fillId="10" borderId="136" xfId="6" applyNumberFormat="1" applyFont="1" applyFill="1" applyBorder="1" applyAlignment="1">
      <alignment horizontal="center" vertical="center"/>
    </xf>
    <xf numFmtId="0" fontId="43" fillId="9" borderId="137" xfId="0" applyNumberFormat="1" applyFont="1" applyFill="1" applyBorder="1" applyAlignment="1">
      <alignment horizontal="center" vertical="center"/>
    </xf>
    <xf numFmtId="173" fontId="43" fillId="9" borderId="137" xfId="0" applyNumberFormat="1" applyFont="1" applyFill="1" applyBorder="1" applyAlignment="1">
      <alignment horizontal="center"/>
    </xf>
  </cellXfs>
  <cellStyles count="7">
    <cellStyle name="Comma" xfId="1" builtinId="3"/>
    <cellStyle name="Normal" xfId="0" builtinId="0"/>
    <cellStyle name="Normal 394" xfId="5" xr:uid="{20F017A2-A5CF-4C90-873A-45E94F6F1D38}"/>
    <cellStyle name="Normal 395" xfId="6" xr:uid="{85C46510-A56A-439F-B701-E38F8B2E204D}"/>
    <cellStyle name="Normal 96" xfId="4" xr:uid="{79FF1D4C-E32C-438C-BAF8-94F9B636AC66}"/>
    <cellStyle name="Normal_Informe Semanal 52_2011 2" xfId="3" xr:uid="{5F2BE7A9-E3A1-4808-9CDC-4272CDC86064}"/>
    <cellStyle name="Percent" xfId="2" builtinId="5"/>
  </cellStyles>
  <dxfs count="6">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6DA6D9"/>
      <color rgb="FFFF6600"/>
      <color rgb="FF583B00"/>
      <color rgb="FF996600"/>
      <color rgb="FF3762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3762AF"/>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2.0713177626832825E-2"/>
                  <c:y val="2.03629787856226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9.2099269344217832E-2"/>
                  <c:y val="1.76410482336811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2347146930651504E-2"/>
                  <c:y val="-9.439849615480790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3012.519140195001</c:v>
                </c:pt>
                <c:pt idx="1">
                  <c:v>995.94077303749975</c:v>
                </c:pt>
                <c:pt idx="2">
                  <c:v>6.6665021175000003</c:v>
                </c:pt>
                <c:pt idx="3">
                  <c:v>8.2433951325000017</c:v>
                </c:pt>
                <c:pt idx="4">
                  <c:v>11.345513060000002</c:v>
                </c:pt>
                <c:pt idx="5">
                  <c:v>115.011208025</c:v>
                </c:pt>
                <c:pt idx="6">
                  <c:v>58.171585880000009</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995.94077303749975</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6.6665021175000003</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8.2433951325000017</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11.345513060000002</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115.011208025</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58.171585880000009</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4485728891744E-3"/>
          <c:y val="0.82411660871049308"/>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RER'!$L$25:$L$28</c:f>
              <c:strCache>
                <c:ptCount val="4"/>
                <c:pt idx="0">
                  <c:v>C.E. TRES HERMANAS</c:v>
                </c:pt>
                <c:pt idx="1">
                  <c:v>C.E. CUPISNIQUE</c:v>
                </c:pt>
                <c:pt idx="2">
                  <c:v>C.E. MARCONA</c:v>
                </c:pt>
                <c:pt idx="3">
                  <c:v>C.E. TALARA</c:v>
                </c:pt>
              </c:strCache>
            </c:strRef>
          </c:cat>
          <c:val>
            <c:numRef>
              <c:f>'6. FP RER'!$O$25:$O$28</c:f>
              <c:numCache>
                <c:formatCode>0.00</c:formatCode>
                <c:ptCount val="4"/>
                <c:pt idx="0">
                  <c:v>36.452785259999999</c:v>
                </c:pt>
                <c:pt idx="1">
                  <c:v>23.0471522275</c:v>
                </c:pt>
                <c:pt idx="2">
                  <c:v>11.09447503</c:v>
                </c:pt>
                <c:pt idx="3">
                  <c:v>7.7621449225000001</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RER'!$L$25:$L$28</c:f>
              <c:strCache>
                <c:ptCount val="4"/>
                <c:pt idx="0">
                  <c:v>C.E. TRES HERMANAS</c:v>
                </c:pt>
                <c:pt idx="1">
                  <c:v>C.E. CUPISNIQUE</c:v>
                </c:pt>
                <c:pt idx="2">
                  <c:v>C.E. MARCONA</c:v>
                </c:pt>
                <c:pt idx="3">
                  <c:v>C.E. TALARA</c:v>
                </c:pt>
              </c:strCache>
            </c:strRef>
          </c:cat>
          <c:val>
            <c:numRef>
              <c:f>'6. FP RER'!$P$25:$P$28</c:f>
              <c:numCache>
                <c:formatCode>0.00</c:formatCode>
                <c:ptCount val="4"/>
                <c:pt idx="0">
                  <c:v>0.52114120861211166</c:v>
                </c:pt>
                <c:pt idx="1">
                  <c:v>0.38496612927607399</c:v>
                </c:pt>
                <c:pt idx="2">
                  <c:v>0.48153103428819444</c:v>
                </c:pt>
                <c:pt idx="3">
                  <c:v>0.34934403230089289</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9037395348599794E-2"/>
          <c:y val="0.14375424768335157"/>
          <c:w val="0.8755947606824029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RER'!$L$29:$L$35</c:f>
              <c:strCache>
                <c:ptCount val="7"/>
                <c:pt idx="0">
                  <c:v>C.S. RUBI</c:v>
                </c:pt>
                <c:pt idx="1">
                  <c:v>C.S. INTIPAMPA</c:v>
                </c:pt>
                <c:pt idx="2">
                  <c:v>C.S. TACNA</c:v>
                </c:pt>
                <c:pt idx="3">
                  <c:v>C.S. PANAMERICANA </c:v>
                </c:pt>
                <c:pt idx="4">
                  <c:v>C.S. MOQUEGUA</c:v>
                </c:pt>
                <c:pt idx="5">
                  <c:v>C.S. MAJES SOLAR</c:v>
                </c:pt>
                <c:pt idx="6">
                  <c:v>C.S. REPARTICION</c:v>
                </c:pt>
              </c:strCache>
            </c:strRef>
          </c:cat>
          <c:val>
            <c:numRef>
              <c:f>'6. FP RER'!$O$29:$O$35</c:f>
              <c:numCache>
                <c:formatCode>0.00</c:formatCode>
                <c:ptCount val="7"/>
                <c:pt idx="0">
                  <c:v>31.8351268525</c:v>
                </c:pt>
                <c:pt idx="1">
                  <c:v>8.1170165425</c:v>
                </c:pt>
                <c:pt idx="2">
                  <c:v>4.0577368074999995</c:v>
                </c:pt>
                <c:pt idx="3">
                  <c:v>4.0056564999999997</c:v>
                </c:pt>
                <c:pt idx="4">
                  <c:v>3.7161225949999999</c:v>
                </c:pt>
                <c:pt idx="5">
                  <c:v>3.2322990749999998</c:v>
                </c:pt>
                <c:pt idx="6">
                  <c:v>3.2076275074999998</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RER'!$L$29:$L$35</c:f>
              <c:strCache>
                <c:ptCount val="7"/>
                <c:pt idx="0">
                  <c:v>C.S. RUBI</c:v>
                </c:pt>
                <c:pt idx="1">
                  <c:v>C.S. INTIPAMPA</c:v>
                </c:pt>
                <c:pt idx="2">
                  <c:v>C.S. TACNA</c:v>
                </c:pt>
                <c:pt idx="3">
                  <c:v>C.S. PANAMERICANA </c:v>
                </c:pt>
                <c:pt idx="4">
                  <c:v>C.S. MOQUEGUA</c:v>
                </c:pt>
                <c:pt idx="5">
                  <c:v>C.S. MAJES SOLAR</c:v>
                </c:pt>
                <c:pt idx="6">
                  <c:v>C.S. REPARTICION</c:v>
                </c:pt>
              </c:strCache>
            </c:strRef>
          </c:cat>
          <c:val>
            <c:numRef>
              <c:f>'6. FP RER'!$P$29:$P$35</c:f>
              <c:numCache>
                <c:formatCode>0.00</c:formatCode>
                <c:ptCount val="7"/>
                <c:pt idx="0">
                  <c:v>0.30603165809666089</c:v>
                </c:pt>
                <c:pt idx="1">
                  <c:v>0.2531125749170533</c:v>
                </c:pt>
                <c:pt idx="2">
                  <c:v>0.28178727829861105</c:v>
                </c:pt>
                <c:pt idx="3">
                  <c:v>0.27817059027777774</c:v>
                </c:pt>
                <c:pt idx="4">
                  <c:v>0.32258008637152774</c:v>
                </c:pt>
                <c:pt idx="5">
                  <c:v>0.22446521354166665</c:v>
                </c:pt>
                <c:pt idx="6">
                  <c:v>0.22275191024305555</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RER'!$L$36:$L$38</c:f>
              <c:strCache>
                <c:ptCount val="3"/>
                <c:pt idx="0">
                  <c:v>C.T. PARAMONGA</c:v>
                </c:pt>
                <c:pt idx="1">
                  <c:v>C.T. HUAYCOLORO</c:v>
                </c:pt>
                <c:pt idx="2">
                  <c:v>C.T. LA GRINGA</c:v>
                </c:pt>
              </c:strCache>
            </c:strRef>
          </c:cat>
          <c:val>
            <c:numRef>
              <c:f>'6. FP RER'!$O$36:$O$38</c:f>
              <c:numCache>
                <c:formatCode>0.00</c:formatCode>
                <c:ptCount val="3"/>
                <c:pt idx="0">
                  <c:v>7.4688760849999998</c:v>
                </c:pt>
                <c:pt idx="1">
                  <c:v>2.5777057499999998</c:v>
                </c:pt>
                <c:pt idx="2">
                  <c:v>1.298931225</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bg2">
                  <a:lumMod val="50000"/>
                </a:schemeClr>
              </a:solidFill>
            </a:ln>
          </c:spPr>
          <c:marker>
            <c:symbol val="diamond"/>
            <c:size val="8"/>
            <c:spPr>
              <a:solidFill>
                <a:schemeClr val="accent6">
                  <a:lumMod val="50000"/>
                </a:schemeClr>
              </a:solidFill>
              <a:ln>
                <a:solidFill>
                  <a:schemeClr val="bg1"/>
                </a:solidFill>
              </a:ln>
            </c:spPr>
          </c:marker>
          <c:cat>
            <c:strRef>
              <c:f>'6. FP RER'!$L$36:$L$38</c:f>
              <c:strCache>
                <c:ptCount val="3"/>
                <c:pt idx="0">
                  <c:v>C.T. PARAMONGA</c:v>
                </c:pt>
                <c:pt idx="1">
                  <c:v>C.T. HUAYCOLORO</c:v>
                </c:pt>
                <c:pt idx="2">
                  <c:v>C.T. LA GRINGA</c:v>
                </c:pt>
              </c:strCache>
            </c:strRef>
          </c:cat>
          <c:val>
            <c:numRef>
              <c:f>'6. FP RER'!$P$36:$P$38</c:f>
              <c:numCache>
                <c:formatCode>0.00</c:formatCode>
                <c:ptCount val="3"/>
                <c:pt idx="0">
                  <c:v>0.81417457799352844</c:v>
                </c:pt>
                <c:pt idx="1">
                  <c:v>0.83991715542521972</c:v>
                </c:pt>
                <c:pt idx="2">
                  <c:v>0.61078347355294482</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5027906117051852"/>
          <c:h val="0.35757584321786989"/>
        </c:manualLayout>
      </c:layout>
      <c:barChart>
        <c:barDir val="col"/>
        <c:grouping val="clustered"/>
        <c:varyColors val="0"/>
        <c:ser>
          <c:idx val="1"/>
          <c:order val="0"/>
          <c:tx>
            <c:strRef>
              <c:f>'6. FP RER'!$U$5</c:f>
              <c:strCache>
                <c:ptCount val="1"/>
                <c:pt idx="0">
                  <c:v>2018</c:v>
                </c:pt>
              </c:strCache>
            </c:strRef>
          </c:tx>
          <c:spPr>
            <a:solidFill>
              <a:schemeClr val="accent1"/>
            </a:solidFill>
          </c:spPr>
          <c:invertIfNegative val="0"/>
          <c:cat>
            <c:multiLvlStrRef>
              <c:f>'6. FP RER'!$S$6:$T$38</c:f>
              <c:multiLvlStrCache>
                <c:ptCount val="33"/>
                <c:lvl>
                  <c:pt idx="0">
                    <c:v>C.H. YARUCAYA</c:v>
                  </c:pt>
                  <c:pt idx="1">
                    <c:v>C.H. RONCADOR</c:v>
                  </c:pt>
                  <c:pt idx="2">
                    <c:v>C.H. RUNATULLO III</c:v>
                  </c:pt>
                  <c:pt idx="3">
                    <c:v>C.H. CARHUAQUERO IV</c:v>
                  </c:pt>
                  <c:pt idx="4">
                    <c:v>C.H. HUASAHUASI I</c:v>
                  </c:pt>
                  <c:pt idx="5">
                    <c:v>C.H. HUASAHUASI II</c:v>
                  </c:pt>
                  <c:pt idx="6">
                    <c:v>C.H. CANCHAYLLO</c:v>
                  </c:pt>
                  <c:pt idx="7">
                    <c:v>C.H. LAS PIZARRAS</c:v>
                  </c:pt>
                  <c:pt idx="8">
                    <c:v>C.H. YANAPAMPA</c:v>
                  </c:pt>
                  <c:pt idx="9">
                    <c:v>C.H. RENOVANDES H1</c:v>
                  </c:pt>
                  <c:pt idx="10">
                    <c:v>C.H. RUNATULLO II</c:v>
                  </c:pt>
                  <c:pt idx="11">
                    <c:v>C.H. LA JOYA</c:v>
                  </c:pt>
                  <c:pt idx="12">
                    <c:v>C.H. SANTA CRUZ II</c:v>
                  </c:pt>
                  <c:pt idx="13">
                    <c:v>C.H. SANTA CRUZ I</c:v>
                  </c:pt>
                  <c:pt idx="14">
                    <c:v>C.H. POTRERO</c:v>
                  </c:pt>
                  <c:pt idx="15">
                    <c:v>C.H. CAÑA BRAVA</c:v>
                  </c:pt>
                  <c:pt idx="16">
                    <c:v>C.H. POECHOS II</c:v>
                  </c:pt>
                  <c:pt idx="17">
                    <c:v>C.H. IMPERIAL</c:v>
                  </c:pt>
                  <c:pt idx="18">
                    <c:v>C.H. PURMACANA</c:v>
                  </c:pt>
                  <c:pt idx="19">
                    <c:v>C.E. TRES HERMANAS</c:v>
                  </c:pt>
                  <c:pt idx="20">
                    <c:v>C.E. MARCONA</c:v>
                  </c:pt>
                  <c:pt idx="21">
                    <c:v>C.E. CUPISNIQUE</c:v>
                  </c:pt>
                  <c:pt idx="22">
                    <c:v>C.E. TALARA</c:v>
                  </c:pt>
                  <c:pt idx="23">
                    <c:v>C.S. MOQUEGUA FV</c:v>
                  </c:pt>
                  <c:pt idx="24">
                    <c:v>C.S. RUBI</c:v>
                  </c:pt>
                  <c:pt idx="25">
                    <c:v>C.S. TACNA SOLAR</c:v>
                  </c:pt>
                  <c:pt idx="26">
                    <c:v>C.S. PANAMERICANA SOLAR</c:v>
                  </c:pt>
                  <c:pt idx="27">
                    <c:v>C.S. INTIPAMPA</c:v>
                  </c:pt>
                  <c:pt idx="28">
                    <c:v>C.S. MAJES SOLAR</c:v>
                  </c:pt>
                  <c:pt idx="29">
                    <c:v>C.S. REPARTICION</c:v>
                  </c:pt>
                  <c:pt idx="30">
                    <c:v>C.T. HUAYCOLORO</c:v>
                  </c:pt>
                  <c:pt idx="31">
                    <c:v>C.T. PARAMONGA</c:v>
                  </c:pt>
                  <c:pt idx="32">
                    <c:v>C.T. LA GRINGA</c:v>
                  </c:pt>
                </c:lvl>
                <c:lvl>
                  <c:pt idx="0">
                    <c:v>AGUA</c:v>
                  </c:pt>
                  <c:pt idx="19">
                    <c:v>EOLICA</c:v>
                  </c:pt>
                  <c:pt idx="23">
                    <c:v>SOLAR</c:v>
                  </c:pt>
                  <c:pt idx="30">
                    <c:v>BIOMASA</c:v>
                  </c:pt>
                </c:lvl>
              </c:multiLvlStrCache>
            </c:multiLvlStrRef>
          </c:cat>
          <c:val>
            <c:numRef>
              <c:f>'6. FP RER'!$U$6:$U$38</c:f>
              <c:numCache>
                <c:formatCode>0.000</c:formatCode>
                <c:ptCount val="33"/>
                <c:pt idx="0">
                  <c:v>1</c:v>
                </c:pt>
                <c:pt idx="1">
                  <c:v>1</c:v>
                </c:pt>
                <c:pt idx="2">
                  <c:v>0.99305138718460273</c:v>
                </c:pt>
                <c:pt idx="3">
                  <c:v>0.98110698960802811</c:v>
                </c:pt>
                <c:pt idx="4">
                  <c:v>0.92444234736322628</c:v>
                </c:pt>
                <c:pt idx="5">
                  <c:v>0.92338571864334018</c:v>
                </c:pt>
                <c:pt idx="6">
                  <c:v>0.87910973868332598</c:v>
                </c:pt>
                <c:pt idx="7">
                  <c:v>0.87072983106294732</c:v>
                </c:pt>
                <c:pt idx="8">
                  <c:v>0.84299695674623343</c:v>
                </c:pt>
                <c:pt idx="9">
                  <c:v>0.83960694047619056</c:v>
                </c:pt>
                <c:pt idx="10">
                  <c:v>0.83360637556308181</c:v>
                </c:pt>
                <c:pt idx="11">
                  <c:v>0.83015243089179414</c:v>
                </c:pt>
                <c:pt idx="12">
                  <c:v>0.82515170650555236</c:v>
                </c:pt>
                <c:pt idx="13">
                  <c:v>0.8147547144224474</c:v>
                </c:pt>
                <c:pt idx="14">
                  <c:v>0.80773036017762434</c:v>
                </c:pt>
                <c:pt idx="15">
                  <c:v>0.74667221089310221</c:v>
                </c:pt>
                <c:pt idx="16">
                  <c:v>0.73619263864206552</c:v>
                </c:pt>
                <c:pt idx="17">
                  <c:v>0.67876513622603429</c:v>
                </c:pt>
                <c:pt idx="18">
                  <c:v>0.20038974023158954</c:v>
                </c:pt>
                <c:pt idx="19">
                  <c:v>0.53773848247984202</c:v>
                </c:pt>
                <c:pt idx="20">
                  <c:v>0.50067217561848953</c:v>
                </c:pt>
                <c:pt idx="21">
                  <c:v>0.38591262389757464</c:v>
                </c:pt>
                <c:pt idx="22">
                  <c:v>0.30241983928876826</c:v>
                </c:pt>
                <c:pt idx="23">
                  <c:v>0.34000938693576388</c:v>
                </c:pt>
                <c:pt idx="24">
                  <c:v>0.31242661657639725</c:v>
                </c:pt>
                <c:pt idx="25">
                  <c:v>0.31117151536458332</c:v>
                </c:pt>
                <c:pt idx="26">
                  <c:v>0.29761519470486114</c:v>
                </c:pt>
                <c:pt idx="27">
                  <c:v>0.25512939144045949</c:v>
                </c:pt>
                <c:pt idx="28">
                  <c:v>0.24692312717013892</c:v>
                </c:pt>
                <c:pt idx="29">
                  <c:v>0.20623358224826388</c:v>
                </c:pt>
                <c:pt idx="30">
                  <c:v>0.91397486416585205</c:v>
                </c:pt>
                <c:pt idx="31">
                  <c:v>0.76296004113617455</c:v>
                </c:pt>
                <c:pt idx="32">
                  <c:v>0.64027801553277808</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2017</c:v>
                </c:pt>
              </c:strCache>
            </c:strRef>
          </c:tx>
          <c:spPr>
            <a:solidFill>
              <a:schemeClr val="accent2"/>
            </a:solidFill>
          </c:spPr>
          <c:invertIfNegative val="0"/>
          <c:cat>
            <c:multiLvlStrRef>
              <c:f>'6. FP RER'!$S$6:$T$38</c:f>
              <c:multiLvlStrCache>
                <c:ptCount val="33"/>
                <c:lvl>
                  <c:pt idx="0">
                    <c:v>C.H. YARUCAYA</c:v>
                  </c:pt>
                  <c:pt idx="1">
                    <c:v>C.H. RONCADOR</c:v>
                  </c:pt>
                  <c:pt idx="2">
                    <c:v>C.H. RUNATULLO III</c:v>
                  </c:pt>
                  <c:pt idx="3">
                    <c:v>C.H. CARHUAQUERO IV</c:v>
                  </c:pt>
                  <c:pt idx="4">
                    <c:v>C.H. HUASAHUASI I</c:v>
                  </c:pt>
                  <c:pt idx="5">
                    <c:v>C.H. HUASAHUASI II</c:v>
                  </c:pt>
                  <c:pt idx="6">
                    <c:v>C.H. CANCHAYLLO</c:v>
                  </c:pt>
                  <c:pt idx="7">
                    <c:v>C.H. LAS PIZARRAS</c:v>
                  </c:pt>
                  <c:pt idx="8">
                    <c:v>C.H. YANAPAMPA</c:v>
                  </c:pt>
                  <c:pt idx="9">
                    <c:v>C.H. RENOVANDES H1</c:v>
                  </c:pt>
                  <c:pt idx="10">
                    <c:v>C.H. RUNATULLO II</c:v>
                  </c:pt>
                  <c:pt idx="11">
                    <c:v>C.H. LA JOYA</c:v>
                  </c:pt>
                  <c:pt idx="12">
                    <c:v>C.H. SANTA CRUZ II</c:v>
                  </c:pt>
                  <c:pt idx="13">
                    <c:v>C.H. SANTA CRUZ I</c:v>
                  </c:pt>
                  <c:pt idx="14">
                    <c:v>C.H. POTRERO</c:v>
                  </c:pt>
                  <c:pt idx="15">
                    <c:v>C.H. CAÑA BRAVA</c:v>
                  </c:pt>
                  <c:pt idx="16">
                    <c:v>C.H. POECHOS II</c:v>
                  </c:pt>
                  <c:pt idx="17">
                    <c:v>C.H. IMPERIAL</c:v>
                  </c:pt>
                  <c:pt idx="18">
                    <c:v>C.H. PURMACANA</c:v>
                  </c:pt>
                  <c:pt idx="19">
                    <c:v>C.E. TRES HERMANAS</c:v>
                  </c:pt>
                  <c:pt idx="20">
                    <c:v>C.E. MARCONA</c:v>
                  </c:pt>
                  <c:pt idx="21">
                    <c:v>C.E. CUPISNIQUE</c:v>
                  </c:pt>
                  <c:pt idx="22">
                    <c:v>C.E. TALARA</c:v>
                  </c:pt>
                  <c:pt idx="23">
                    <c:v>C.S. MOQUEGUA FV</c:v>
                  </c:pt>
                  <c:pt idx="24">
                    <c:v>C.S. RUBI</c:v>
                  </c:pt>
                  <c:pt idx="25">
                    <c:v>C.S. TACNA SOLAR</c:v>
                  </c:pt>
                  <c:pt idx="26">
                    <c:v>C.S. PANAMERICANA SOLAR</c:v>
                  </c:pt>
                  <c:pt idx="27">
                    <c:v>C.S. INTIPAMPA</c:v>
                  </c:pt>
                  <c:pt idx="28">
                    <c:v>C.S. MAJES SOLAR</c:v>
                  </c:pt>
                  <c:pt idx="29">
                    <c:v>C.S. REPARTICION</c:v>
                  </c:pt>
                  <c:pt idx="30">
                    <c:v>C.T. HUAYCOLORO</c:v>
                  </c:pt>
                  <c:pt idx="31">
                    <c:v>C.T. PARAMONGA</c:v>
                  </c:pt>
                  <c:pt idx="32">
                    <c:v>C.T. LA GRINGA</c:v>
                  </c:pt>
                </c:lvl>
                <c:lvl>
                  <c:pt idx="0">
                    <c:v>AGUA</c:v>
                  </c:pt>
                  <c:pt idx="19">
                    <c:v>EOLICA</c:v>
                  </c:pt>
                  <c:pt idx="23">
                    <c:v>SOLAR</c:v>
                  </c:pt>
                  <c:pt idx="30">
                    <c:v>BIOMASA</c:v>
                  </c:pt>
                </c:lvl>
              </c:multiLvlStrCache>
            </c:multiLvlStrRef>
          </c:cat>
          <c:val>
            <c:numRef>
              <c:f>'6. FP RER'!$V$6:$V$38</c:f>
              <c:numCache>
                <c:formatCode>0.000</c:formatCode>
                <c:ptCount val="33"/>
                <c:pt idx="1">
                  <c:v>0.79755213102869338</c:v>
                </c:pt>
                <c:pt idx="2">
                  <c:v>0.99266979977072134</c:v>
                </c:pt>
                <c:pt idx="3">
                  <c:v>0.95907915622229667</c:v>
                </c:pt>
                <c:pt idx="4">
                  <c:v>0.85234861118309657</c:v>
                </c:pt>
                <c:pt idx="5">
                  <c:v>0.8256126307092011</c:v>
                </c:pt>
                <c:pt idx="6">
                  <c:v>0.58289099135992806</c:v>
                </c:pt>
                <c:pt idx="7">
                  <c:v>0.91241429855217226</c:v>
                </c:pt>
                <c:pt idx="8">
                  <c:v>0.52734713195386262</c:v>
                </c:pt>
                <c:pt idx="10">
                  <c:v>0.86394565547041513</c:v>
                </c:pt>
                <c:pt idx="11">
                  <c:v>0.64097206022715825</c:v>
                </c:pt>
                <c:pt idx="12">
                  <c:v>0.84766407333328198</c:v>
                </c:pt>
                <c:pt idx="13">
                  <c:v>0.8816091206067056</c:v>
                </c:pt>
                <c:pt idx="14">
                  <c:v>5.3391959798994976E-4</c:v>
                </c:pt>
                <c:pt idx="15">
                  <c:v>0.84171317397600132</c:v>
                </c:pt>
                <c:pt idx="16">
                  <c:v>0.16569900509548435</c:v>
                </c:pt>
                <c:pt idx="17">
                  <c:v>0.7100624369323828</c:v>
                </c:pt>
                <c:pt idx="18">
                  <c:v>4.1064061918063319E-2</c:v>
                </c:pt>
                <c:pt idx="19">
                  <c:v>0.5386712870408259</c:v>
                </c:pt>
                <c:pt idx="20">
                  <c:v>0.5604561437833977</c:v>
                </c:pt>
                <c:pt idx="21">
                  <c:v>0.26223835580843291</c:v>
                </c:pt>
                <c:pt idx="22">
                  <c:v>0.188839136112153</c:v>
                </c:pt>
                <c:pt idx="23">
                  <c:v>0.31499101371740451</c:v>
                </c:pt>
                <c:pt idx="25">
                  <c:v>0.28967338826736111</c:v>
                </c:pt>
                <c:pt idx="26">
                  <c:v>0.27302305121527776</c:v>
                </c:pt>
                <c:pt idx="28">
                  <c:v>0.24421526492187498</c:v>
                </c:pt>
                <c:pt idx="29">
                  <c:v>0.21606370642361111</c:v>
                </c:pt>
                <c:pt idx="30">
                  <c:v>0.86500185999315726</c:v>
                </c:pt>
                <c:pt idx="31">
                  <c:v>0.61399713151335011</c:v>
                </c:pt>
                <c:pt idx="32">
                  <c:v>0.21791117584354633</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249850095668E-3"/>
              <c:y val="1.6396734560916101E-2"/>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5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2018</c:v>
                </c:pt>
              </c:strCache>
            </c:strRef>
          </c:tx>
          <c:spPr>
            <a:solidFill>
              <a:schemeClr val="accent5">
                <a:lumMod val="75000"/>
              </a:schemeClr>
            </a:solidFill>
          </c:spPr>
          <c:invertIfNegative val="0"/>
          <c:cat>
            <c:strRef>
              <c:f>'7. Generacion empresa'!$L$5:$L$60</c:f>
              <c:strCache>
                <c:ptCount val="56"/>
                <c:pt idx="0">
                  <c:v>RIO BAÑOS</c:v>
                </c:pt>
                <c:pt idx="1">
                  <c:v>ECELIM</c:v>
                </c:pt>
                <c:pt idx="2">
                  <c:v>CERRO DEL AGUILA</c:v>
                </c:pt>
                <c:pt idx="3">
                  <c:v>AYEPSA</c:v>
                </c:pt>
                <c:pt idx="4">
                  <c:v>SHOUGESA</c:v>
                </c:pt>
                <c:pt idx="5">
                  <c:v>PLANTA  ETEN</c:v>
                </c:pt>
                <c:pt idx="6">
                  <c:v>CERRO VERDE</c:v>
                </c:pt>
                <c:pt idx="7">
                  <c:v>AGROAURORA</c:v>
                </c:pt>
                <c:pt idx="8">
                  <c:v>ELECTRICA SANTA ROSA</c:v>
                </c:pt>
                <c:pt idx="9">
                  <c:v>SAMAY I</c:v>
                </c:pt>
                <c:pt idx="10">
                  <c:v>HIDROCAÑETE</c:v>
                </c:pt>
                <c:pt idx="11">
                  <c:v>ELECTRICA YANAPAMPA</c:v>
                </c:pt>
                <c:pt idx="12">
                  <c:v>MAJA ENERGIA</c:v>
                </c:pt>
                <c:pt idx="13">
                  <c:v>TERMOSELVA</c:v>
                </c:pt>
                <c:pt idx="14">
                  <c:v>GTS REPARTICION</c:v>
                </c:pt>
                <c:pt idx="15">
                  <c:v>GTS MAJES</c:v>
                </c:pt>
                <c:pt idx="16">
                  <c:v>EGECSAC</c:v>
                </c:pt>
                <c:pt idx="17">
                  <c:v>IYEPSA</c:v>
                </c:pt>
                <c:pt idx="18">
                  <c:v>MOQUEGUA FV</c:v>
                </c:pt>
                <c:pt idx="19">
                  <c:v>PETRAMAS</c:v>
                </c:pt>
                <c:pt idx="20">
                  <c:v>PANAMERICANA SOLAR</c:v>
                </c:pt>
                <c:pt idx="21">
                  <c:v>TACNA SOLAR</c:v>
                </c:pt>
                <c:pt idx="22">
                  <c:v>GEPSA</c:v>
                </c:pt>
                <c:pt idx="23">
                  <c:v>SINERSA</c:v>
                </c:pt>
                <c:pt idx="24">
                  <c:v>AIPSA</c:v>
                </c:pt>
                <c:pt idx="25">
                  <c:v>HUAURA POWER</c:v>
                </c:pt>
                <c:pt idx="26">
                  <c:v>P.E. MARCONA</c:v>
                </c:pt>
                <c:pt idx="27">
                  <c:v>RIO DOBLE</c:v>
                </c:pt>
                <c:pt idx="28">
                  <c:v>AGUA AZUL</c:v>
                </c:pt>
                <c:pt idx="29">
                  <c:v>HIDROELECTRICA HUANCHOR</c:v>
                </c:pt>
                <c:pt idx="30">
                  <c:v>CELEPSA RENOVABLES (**)</c:v>
                </c:pt>
                <c:pt idx="31">
                  <c:v>SANTA ANA</c:v>
                </c:pt>
                <c:pt idx="32">
                  <c:v>EGESUR</c:v>
                </c:pt>
                <c:pt idx="33">
                  <c:v>SDF ENERGIA</c:v>
                </c:pt>
                <c:pt idx="34">
                  <c:v>SANTA CRUZ</c:v>
                </c:pt>
                <c:pt idx="35">
                  <c:v>EMGE JUNÍN</c:v>
                </c:pt>
                <c:pt idx="36">
                  <c:v>ENEL GENERACION PIURA</c:v>
                </c:pt>
                <c:pt idx="37">
                  <c:v>ENERGÍA EÓLICA</c:v>
                </c:pt>
                <c:pt idx="38">
                  <c:v>EMGE HUANZA</c:v>
                </c:pt>
                <c:pt idx="39">
                  <c:v>P.E. TRES HERMANAS</c:v>
                </c:pt>
                <c:pt idx="40">
                  <c:v>LUZ DEL SUR / INLAND (*)</c:v>
                </c:pt>
                <c:pt idx="41">
                  <c:v>ENEL GREEN POWER PERU</c:v>
                </c:pt>
                <c:pt idx="42">
                  <c:v>SAN GABAN</c:v>
                </c:pt>
                <c:pt idx="43">
                  <c:v>EGASA</c:v>
                </c:pt>
                <c:pt idx="44">
                  <c:v>EGEMSA</c:v>
                </c:pt>
                <c:pt idx="45">
                  <c:v>TERMOCHILCA</c:v>
                </c:pt>
                <c:pt idx="46">
                  <c:v>CHINANGO</c:v>
                </c:pt>
                <c:pt idx="47">
                  <c:v>CELEPSA</c:v>
                </c:pt>
                <c:pt idx="48">
                  <c:v>ENGIE</c:v>
                </c:pt>
                <c:pt idx="49">
                  <c:v>ORAZUL ENERGY PERÚ</c:v>
                </c:pt>
                <c:pt idx="50">
                  <c:v>STATKRAFT</c:v>
                </c:pt>
                <c:pt idx="51">
                  <c:v>EMGE HUALLAGA</c:v>
                </c:pt>
                <c:pt idx="52">
                  <c:v>FENIX POWER</c:v>
                </c:pt>
                <c:pt idx="53">
                  <c:v>ENEL GENERACION PERU</c:v>
                </c:pt>
                <c:pt idx="54">
                  <c:v>ELECTROPERU</c:v>
                </c:pt>
                <c:pt idx="55">
                  <c:v>KALLPA</c:v>
                </c:pt>
              </c:strCache>
            </c:strRef>
          </c:cat>
          <c:val>
            <c:numRef>
              <c:f>'7. Generacion empresa'!$M$5:$M$60</c:f>
              <c:numCache>
                <c:formatCode>General</c:formatCode>
                <c:ptCount val="56"/>
                <c:pt idx="0">
                  <c:v>0</c:v>
                </c:pt>
                <c:pt idx="1">
                  <c:v>0</c:v>
                </c:pt>
                <c:pt idx="2">
                  <c:v>81.912645420000004</c:v>
                </c:pt>
                <c:pt idx="3">
                  <c:v>7.6088593950000005</c:v>
                </c:pt>
                <c:pt idx="4">
                  <c:v>0.24470726500000001</c:v>
                </c:pt>
                <c:pt idx="5">
                  <c:v>0</c:v>
                </c:pt>
                <c:pt idx="6">
                  <c:v>0.40776897750000002</c:v>
                </c:pt>
                <c:pt idx="7">
                  <c:v>0</c:v>
                </c:pt>
                <c:pt idx="8">
                  <c:v>0</c:v>
                </c:pt>
                <c:pt idx="9">
                  <c:v>4.574458355</c:v>
                </c:pt>
                <c:pt idx="10">
                  <c:v>2.0441999874999999</c:v>
                </c:pt>
                <c:pt idx="11">
                  <c:v>1.2563390649999999</c:v>
                </c:pt>
                <c:pt idx="12">
                  <c:v>1.8722867500000002</c:v>
                </c:pt>
                <c:pt idx="13">
                  <c:v>0</c:v>
                </c:pt>
                <c:pt idx="14">
                  <c:v>3.4773961800000004</c:v>
                </c:pt>
                <c:pt idx="15">
                  <c:v>3.6393710649999997</c:v>
                </c:pt>
                <c:pt idx="16">
                  <c:v>1.7563550000000001</c:v>
                </c:pt>
                <c:pt idx="17">
                  <c:v>9.5383417499999998E-2</c:v>
                </c:pt>
                <c:pt idx="18">
                  <c:v>3.8285054199999999</c:v>
                </c:pt>
                <c:pt idx="19">
                  <c:v>2.8657664250000003</c:v>
                </c:pt>
                <c:pt idx="20">
                  <c:v>4.0855275000000004</c:v>
                </c:pt>
                <c:pt idx="21">
                  <c:v>4.0577368074999995</c:v>
                </c:pt>
                <c:pt idx="22">
                  <c:v>4.0688837500000004</c:v>
                </c:pt>
                <c:pt idx="23">
                  <c:v>0.42652962</c:v>
                </c:pt>
                <c:pt idx="24">
                  <c:v>4.3071128999999999</c:v>
                </c:pt>
                <c:pt idx="26">
                  <c:v>16.073583652499998</c:v>
                </c:pt>
                <c:pt idx="27">
                  <c:v>13.555484230000001</c:v>
                </c:pt>
                <c:pt idx="28">
                  <c:v>3.0599999999999999E-2</c:v>
                </c:pt>
                <c:pt idx="29">
                  <c:v>10.449872000000001</c:v>
                </c:pt>
                <c:pt idx="32">
                  <c:v>16.830448659999998</c:v>
                </c:pt>
                <c:pt idx="33">
                  <c:v>19.464570392500001</c:v>
                </c:pt>
                <c:pt idx="34">
                  <c:v>21.150342434999999</c:v>
                </c:pt>
                <c:pt idx="35">
                  <c:v>26.35620626</c:v>
                </c:pt>
                <c:pt idx="36">
                  <c:v>26.533139590000001</c:v>
                </c:pt>
                <c:pt idx="37">
                  <c:v>31.034813639999999</c:v>
                </c:pt>
                <c:pt idx="38">
                  <c:v>34.451649957500003</c:v>
                </c:pt>
                <c:pt idx="39">
                  <c:v>45.858805932499997</c:v>
                </c:pt>
                <c:pt idx="40">
                  <c:v>63.4044227475</c:v>
                </c:pt>
                <c:pt idx="42">
                  <c:v>78.9004833475</c:v>
                </c:pt>
                <c:pt idx="43">
                  <c:v>114.27141940999998</c:v>
                </c:pt>
                <c:pt idx="44">
                  <c:v>119.18335080750001</c:v>
                </c:pt>
                <c:pt idx="45">
                  <c:v>0</c:v>
                </c:pt>
                <c:pt idx="46">
                  <c:v>129.11133297000001</c:v>
                </c:pt>
                <c:pt idx="47">
                  <c:v>143.15926459000002</c:v>
                </c:pt>
                <c:pt idx="48">
                  <c:v>526.53149707749992</c:v>
                </c:pt>
                <c:pt idx="49">
                  <c:v>239.070747125</c:v>
                </c:pt>
                <c:pt idx="50">
                  <c:v>223.59760478250001</c:v>
                </c:pt>
                <c:pt idx="51">
                  <c:v>291.71132715500005</c:v>
                </c:pt>
                <c:pt idx="52">
                  <c:v>335.86581682500002</c:v>
                </c:pt>
                <c:pt idx="53">
                  <c:v>407.37107582750002</c:v>
                </c:pt>
                <c:pt idx="54">
                  <c:v>582.73092744000007</c:v>
                </c:pt>
                <c:pt idx="55">
                  <c:v>314.50654908750005</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2017</c:v>
                </c:pt>
              </c:strCache>
            </c:strRef>
          </c:tx>
          <c:spPr>
            <a:solidFill>
              <a:schemeClr val="accent2"/>
            </a:solidFill>
          </c:spPr>
          <c:invertIfNegative val="0"/>
          <c:cat>
            <c:strRef>
              <c:f>'7. Generacion empresa'!$L$5:$L$60</c:f>
              <c:strCache>
                <c:ptCount val="56"/>
                <c:pt idx="0">
                  <c:v>RIO BAÑOS</c:v>
                </c:pt>
                <c:pt idx="1">
                  <c:v>ECELIM</c:v>
                </c:pt>
                <c:pt idx="2">
                  <c:v>CERRO DEL AGUILA</c:v>
                </c:pt>
                <c:pt idx="3">
                  <c:v>AYEPSA</c:v>
                </c:pt>
                <c:pt idx="4">
                  <c:v>SHOUGESA</c:v>
                </c:pt>
                <c:pt idx="5">
                  <c:v>PLANTA  ETEN</c:v>
                </c:pt>
                <c:pt idx="6">
                  <c:v>CERRO VERDE</c:v>
                </c:pt>
                <c:pt idx="7">
                  <c:v>AGROAURORA</c:v>
                </c:pt>
                <c:pt idx="8">
                  <c:v>ELECTRICA SANTA ROSA</c:v>
                </c:pt>
                <c:pt idx="9">
                  <c:v>SAMAY I</c:v>
                </c:pt>
                <c:pt idx="10">
                  <c:v>HIDROCAÑETE</c:v>
                </c:pt>
                <c:pt idx="11">
                  <c:v>ELECTRICA YANAPAMPA</c:v>
                </c:pt>
                <c:pt idx="12">
                  <c:v>MAJA ENERGIA</c:v>
                </c:pt>
                <c:pt idx="13">
                  <c:v>TERMOSELVA</c:v>
                </c:pt>
                <c:pt idx="14">
                  <c:v>GTS REPARTICION</c:v>
                </c:pt>
                <c:pt idx="15">
                  <c:v>GTS MAJES</c:v>
                </c:pt>
                <c:pt idx="16">
                  <c:v>EGECSAC</c:v>
                </c:pt>
                <c:pt idx="17">
                  <c:v>IYEPSA</c:v>
                </c:pt>
                <c:pt idx="18">
                  <c:v>MOQUEGUA FV</c:v>
                </c:pt>
                <c:pt idx="19">
                  <c:v>PETRAMAS</c:v>
                </c:pt>
                <c:pt idx="20">
                  <c:v>PANAMERICANA SOLAR</c:v>
                </c:pt>
                <c:pt idx="21">
                  <c:v>TACNA SOLAR</c:v>
                </c:pt>
                <c:pt idx="22">
                  <c:v>GEPSA</c:v>
                </c:pt>
                <c:pt idx="23">
                  <c:v>SINERSA</c:v>
                </c:pt>
                <c:pt idx="24">
                  <c:v>AIPSA</c:v>
                </c:pt>
                <c:pt idx="25">
                  <c:v>HUAURA POWER</c:v>
                </c:pt>
                <c:pt idx="26">
                  <c:v>P.E. MARCONA</c:v>
                </c:pt>
                <c:pt idx="27">
                  <c:v>RIO DOBLE</c:v>
                </c:pt>
                <c:pt idx="28">
                  <c:v>AGUA AZUL</c:v>
                </c:pt>
                <c:pt idx="29">
                  <c:v>HIDROELECTRICA HUANCHOR</c:v>
                </c:pt>
                <c:pt idx="30">
                  <c:v>CELEPSA RENOVABLES (**)</c:v>
                </c:pt>
                <c:pt idx="31">
                  <c:v>SANTA ANA</c:v>
                </c:pt>
                <c:pt idx="32">
                  <c:v>EGESUR</c:v>
                </c:pt>
                <c:pt idx="33">
                  <c:v>SDF ENERGIA</c:v>
                </c:pt>
                <c:pt idx="34">
                  <c:v>SANTA CRUZ</c:v>
                </c:pt>
                <c:pt idx="35">
                  <c:v>EMGE JUNÍN</c:v>
                </c:pt>
                <c:pt idx="36">
                  <c:v>ENEL GENERACION PIURA</c:v>
                </c:pt>
                <c:pt idx="37">
                  <c:v>ENERGÍA EÓLICA</c:v>
                </c:pt>
                <c:pt idx="38">
                  <c:v>EMGE HUANZA</c:v>
                </c:pt>
                <c:pt idx="39">
                  <c:v>P.E. TRES HERMANAS</c:v>
                </c:pt>
                <c:pt idx="40">
                  <c:v>LUZ DEL SUR / INLAND (*)</c:v>
                </c:pt>
                <c:pt idx="41">
                  <c:v>ENEL GREEN POWER PERU</c:v>
                </c:pt>
                <c:pt idx="42">
                  <c:v>SAN GABAN</c:v>
                </c:pt>
                <c:pt idx="43">
                  <c:v>EGASA</c:v>
                </c:pt>
                <c:pt idx="44">
                  <c:v>EGEMSA</c:v>
                </c:pt>
                <c:pt idx="45">
                  <c:v>TERMOCHILCA</c:v>
                </c:pt>
                <c:pt idx="46">
                  <c:v>CHINANGO</c:v>
                </c:pt>
                <c:pt idx="47">
                  <c:v>CELEPSA</c:v>
                </c:pt>
                <c:pt idx="48">
                  <c:v>ENGIE</c:v>
                </c:pt>
                <c:pt idx="49">
                  <c:v>ORAZUL ENERGY PERÚ</c:v>
                </c:pt>
                <c:pt idx="50">
                  <c:v>STATKRAFT</c:v>
                </c:pt>
                <c:pt idx="51">
                  <c:v>EMGE HUALLAGA</c:v>
                </c:pt>
                <c:pt idx="52">
                  <c:v>FENIX POWER</c:v>
                </c:pt>
                <c:pt idx="53">
                  <c:v>ENEL GENERACION PERU</c:v>
                </c:pt>
                <c:pt idx="54">
                  <c:v>ELECTROPERU</c:v>
                </c:pt>
                <c:pt idx="55">
                  <c:v>KALLPA</c:v>
                </c:pt>
              </c:strCache>
            </c:strRef>
          </c:cat>
          <c:val>
            <c:numRef>
              <c:f>'7. Generacion empresa'!$N$5:$N$60</c:f>
              <c:numCache>
                <c:formatCode>General</c:formatCode>
                <c:ptCount val="56"/>
                <c:pt idx="4">
                  <c:v>0</c:v>
                </c:pt>
                <c:pt idx="5">
                  <c:v>0</c:v>
                </c:pt>
                <c:pt idx="6">
                  <c:v>0</c:v>
                </c:pt>
                <c:pt idx="7">
                  <c:v>0</c:v>
                </c:pt>
                <c:pt idx="8">
                  <c:v>0.22759108749999998</c:v>
                </c:pt>
                <c:pt idx="9">
                  <c:v>0.33972637500000002</c:v>
                </c:pt>
                <c:pt idx="10">
                  <c:v>1.7214</c:v>
                </c:pt>
                <c:pt idx="11">
                  <c:v>2.4280124124999998</c:v>
                </c:pt>
                <c:pt idx="12">
                  <c:v>2.55572775</c:v>
                </c:pt>
                <c:pt idx="13">
                  <c:v>3.0498491149999998</c:v>
                </c:pt>
                <c:pt idx="14">
                  <c:v>3.2076275074999998</c:v>
                </c:pt>
                <c:pt idx="15">
                  <c:v>3.2322990749999998</c:v>
                </c:pt>
                <c:pt idx="16">
                  <c:v>3.5220719999999996</c:v>
                </c:pt>
                <c:pt idx="17">
                  <c:v>3.5581746674999999</c:v>
                </c:pt>
                <c:pt idx="18">
                  <c:v>3.7161225949999999</c:v>
                </c:pt>
                <c:pt idx="19">
                  <c:v>3.8766369750000003</c:v>
                </c:pt>
                <c:pt idx="20">
                  <c:v>4.0056564999999997</c:v>
                </c:pt>
                <c:pt idx="21">
                  <c:v>4.0577368074999995</c:v>
                </c:pt>
                <c:pt idx="22">
                  <c:v>4.4244818375000001</c:v>
                </c:pt>
                <c:pt idx="23">
                  <c:v>5.942144345</c:v>
                </c:pt>
                <c:pt idx="24">
                  <c:v>7.4688760849999998</c:v>
                </c:pt>
                <c:pt idx="25">
                  <c:v>7.6939949725000005</c:v>
                </c:pt>
                <c:pt idx="26">
                  <c:v>11.09447503</c:v>
                </c:pt>
                <c:pt idx="27">
                  <c:v>13.1516892225</c:v>
                </c:pt>
                <c:pt idx="28">
                  <c:v>13.2414003125</c:v>
                </c:pt>
                <c:pt idx="29">
                  <c:v>13.344035999999999</c:v>
                </c:pt>
                <c:pt idx="30">
                  <c:v>13.948280972499999</c:v>
                </c:pt>
                <c:pt idx="31">
                  <c:v>14.084475920000001</c:v>
                </c:pt>
                <c:pt idx="32">
                  <c:v>17.805957695</c:v>
                </c:pt>
                <c:pt idx="33">
                  <c:v>19.614166347499999</c:v>
                </c:pt>
                <c:pt idx="34">
                  <c:v>22.23221693</c:v>
                </c:pt>
                <c:pt idx="35">
                  <c:v>26.3550578125</c:v>
                </c:pt>
                <c:pt idx="36">
                  <c:v>26.759663507499997</c:v>
                </c:pt>
                <c:pt idx="37">
                  <c:v>30.809297149999999</c:v>
                </c:pt>
                <c:pt idx="38">
                  <c:v>35.7454269825</c:v>
                </c:pt>
                <c:pt idx="39">
                  <c:v>36.452785259999999</c:v>
                </c:pt>
                <c:pt idx="40">
                  <c:v>62.536225502500002</c:v>
                </c:pt>
                <c:pt idx="41">
                  <c:v>68.48977743750001</c:v>
                </c:pt>
                <c:pt idx="42">
                  <c:v>79.22212755000001</c:v>
                </c:pt>
                <c:pt idx="43">
                  <c:v>86.446789157500021</c:v>
                </c:pt>
                <c:pt idx="44">
                  <c:v>116.81996091250002</c:v>
                </c:pt>
                <c:pt idx="45">
                  <c:v>124.9771194625</c:v>
                </c:pt>
                <c:pt idx="46">
                  <c:v>129.9646957825</c:v>
                </c:pt>
                <c:pt idx="47">
                  <c:v>150.48492308499999</c:v>
                </c:pt>
                <c:pt idx="48">
                  <c:v>196.12275416249997</c:v>
                </c:pt>
                <c:pt idx="49">
                  <c:v>245.52694818500001</c:v>
                </c:pt>
                <c:pt idx="50">
                  <c:v>256.069488105</c:v>
                </c:pt>
                <c:pt idx="51">
                  <c:v>306.9613277725</c:v>
                </c:pt>
                <c:pt idx="52">
                  <c:v>338.99315323249999</c:v>
                </c:pt>
                <c:pt idx="53">
                  <c:v>433.15324207750007</c:v>
                </c:pt>
                <c:pt idx="54">
                  <c:v>596.20544987749997</c:v>
                </c:pt>
                <c:pt idx="55">
                  <c:v>656.25707589499996</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invertIfNegative val="0"/>
          <c:cat>
            <c:numRef>
              <c:f>('8. Max Potencia'!$G$7:$H$7,'8. Max Potencia'!$J$7)</c:f>
              <c:numCache>
                <c:formatCode>General</c:formatCode>
                <c:ptCount val="3"/>
                <c:pt idx="0">
                  <c:v>2018</c:v>
                </c:pt>
                <c:pt idx="1">
                  <c:v>2017</c:v>
                </c:pt>
                <c:pt idx="2">
                  <c:v>2016</c:v>
                </c:pt>
              </c:numCache>
            </c:numRef>
          </c:cat>
          <c:val>
            <c:numRef>
              <c:f>('8. Max Potencia'!$G$10:$H$10,'8. Max Potencia'!$J$10)</c:f>
              <c:numCache>
                <c:formatCode>_(* #,##0.00_);_(* \(#,##0.00\);_(* "-"??_);_(@_)</c:formatCode>
                <c:ptCount val="3"/>
                <c:pt idx="0">
                  <c:v>4457.8647499999988</c:v>
                </c:pt>
                <c:pt idx="1">
                  <c:v>4181.7234999999982</c:v>
                </c:pt>
                <c:pt idx="2">
                  <c:v>3527.2958100000001</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2018</c:v>
                </c:pt>
                <c:pt idx="1">
                  <c:v>2017</c:v>
                </c:pt>
                <c:pt idx="2">
                  <c:v>2016</c:v>
                </c:pt>
              </c:numCache>
            </c:numRef>
          </c:cat>
          <c:val>
            <c:numRef>
              <c:f>('8. Max Potencia'!$G$11:$H$11,'8. Max Potencia'!$J$11)</c:f>
              <c:numCache>
                <c:formatCode>_(* #,##0.00_);_(* \(#,##0.00\);_(* "-"??_);_(@_)</c:formatCode>
                <c:ptCount val="3"/>
                <c:pt idx="0">
                  <c:v>1943.7948299999998</c:v>
                </c:pt>
                <c:pt idx="1">
                  <c:v>2286.1302900000001</c:v>
                </c:pt>
                <c:pt idx="2">
                  <c:v>2770.9643299999998</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2018</c:v>
                </c:pt>
                <c:pt idx="1">
                  <c:v>2017</c:v>
                </c:pt>
                <c:pt idx="2">
                  <c:v>2016</c:v>
                </c:pt>
              </c:numCache>
            </c:numRef>
          </c:cat>
          <c:val>
            <c:numRef>
              <c:f>('8. Max Potencia'!$G$12:$H$12,'8. Max Potencia'!$J$12)</c:f>
              <c:numCache>
                <c:formatCode>_(* #,##0.00_);_(* \(#,##0.00\);_(* "-"??_);_(@_)</c:formatCode>
                <c:ptCount val="3"/>
                <c:pt idx="0">
                  <c:v>309.01528000000002</c:v>
                </c:pt>
                <c:pt idx="1">
                  <c:v>91.209550000000007</c:v>
                </c:pt>
                <c:pt idx="2">
                  <c:v>146.64738</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General" sourceLinked="1"/>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General"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267040216042763"/>
        </c:manualLayout>
      </c:layout>
      <c:barChart>
        <c:barDir val="bar"/>
        <c:grouping val="clustered"/>
        <c:varyColors val="0"/>
        <c:ser>
          <c:idx val="0"/>
          <c:order val="0"/>
          <c:tx>
            <c:strRef>
              <c:f>'9. Pot. Empresa'!$M$6</c:f>
              <c:strCache>
                <c:ptCount val="1"/>
                <c:pt idx="0">
                  <c:v>2018</c:v>
                </c:pt>
              </c:strCache>
            </c:strRef>
          </c:tx>
          <c:spPr>
            <a:solidFill>
              <a:schemeClr val="accent5">
                <a:lumMod val="75000"/>
              </a:schemeClr>
            </a:solidFill>
          </c:spPr>
          <c:invertIfNegative val="0"/>
          <c:cat>
            <c:strRef>
              <c:f>'9. Pot. Empresa'!$L$7:$L$62</c:f>
              <c:strCache>
                <c:ptCount val="56"/>
                <c:pt idx="0">
                  <c:v>RIO BAÑOS</c:v>
                </c:pt>
                <c:pt idx="1">
                  <c:v>ECELIM</c:v>
                </c:pt>
                <c:pt idx="2">
                  <c:v>AYEPSA</c:v>
                </c:pt>
                <c:pt idx="3">
                  <c:v>CERRO DEL AGUILA</c:v>
                </c:pt>
                <c:pt idx="4">
                  <c:v>TERMOSELVA</c:v>
                </c:pt>
                <c:pt idx="5">
                  <c:v>TERMOCHILCA</c:v>
                </c:pt>
                <c:pt idx="6">
                  <c:v>TACNA SOLAR</c:v>
                </c:pt>
                <c:pt idx="7">
                  <c:v>SHOUGESA</c:v>
                </c:pt>
                <c:pt idx="8">
                  <c:v>SAMAY I</c:v>
                </c:pt>
                <c:pt idx="9">
                  <c:v>PLANTA  ETEN</c:v>
                </c:pt>
                <c:pt idx="10">
                  <c:v>PANAMERICANA SOLAR</c:v>
                </c:pt>
                <c:pt idx="11">
                  <c:v>MOQUEGUA FV</c:v>
                </c:pt>
                <c:pt idx="12">
                  <c:v>IYEPSA</c:v>
                </c:pt>
                <c:pt idx="13">
                  <c:v>GTS REPARTICION</c:v>
                </c:pt>
                <c:pt idx="14">
                  <c:v>GTS MAJES</c:v>
                </c:pt>
                <c:pt idx="15">
                  <c:v>CERRO VERDE</c:v>
                </c:pt>
                <c:pt idx="16">
                  <c:v>AGROAURORA</c:v>
                </c:pt>
                <c:pt idx="17">
                  <c:v>EMGE HUANZA</c:v>
                </c:pt>
                <c:pt idx="18">
                  <c:v>ELECTRICA SANTA ROSA</c:v>
                </c:pt>
                <c:pt idx="19">
                  <c:v>ELECTRICA YANAPAMPA</c:v>
                </c:pt>
                <c:pt idx="20">
                  <c:v>HIDROCAÑETE</c:v>
                </c:pt>
                <c:pt idx="21">
                  <c:v>MAJA ENERGIA</c:v>
                </c:pt>
                <c:pt idx="22">
                  <c:v>EGECSAC</c:v>
                </c:pt>
                <c:pt idx="23">
                  <c:v>PETRAMAS</c:v>
                </c:pt>
                <c:pt idx="24">
                  <c:v>SINERSA</c:v>
                </c:pt>
                <c:pt idx="25">
                  <c:v>GEPSA</c:v>
                </c:pt>
                <c:pt idx="26">
                  <c:v>RIO DOBLE</c:v>
                </c:pt>
                <c:pt idx="27">
                  <c:v>AIPSA</c:v>
                </c:pt>
                <c:pt idx="28">
                  <c:v>ENERGÍA EÓLICA</c:v>
                </c:pt>
                <c:pt idx="29">
                  <c:v>CELEPSA RENOVABLES (**)</c:v>
                </c:pt>
                <c:pt idx="30">
                  <c:v>HIDROMARAÑON</c:v>
                </c:pt>
                <c:pt idx="31">
                  <c:v>HIDROELECTRICA HUANCHOR</c:v>
                </c:pt>
                <c:pt idx="32">
                  <c:v>SANTA ANA</c:v>
                </c:pt>
                <c:pt idx="33">
                  <c:v>AGUA AZUL</c:v>
                </c:pt>
                <c:pt idx="34">
                  <c:v>SDF ENERGIA</c:v>
                </c:pt>
                <c:pt idx="35">
                  <c:v>P.E. MARCONA</c:v>
                </c:pt>
                <c:pt idx="36">
                  <c:v>SANTA CRUZ</c:v>
                </c:pt>
                <c:pt idx="37">
                  <c:v>EMGE JUNÍN</c:v>
                </c:pt>
                <c:pt idx="38">
                  <c:v>EGESUR</c:v>
                </c:pt>
                <c:pt idx="39">
                  <c:v>ENEL GENERACION PIURA</c:v>
                </c:pt>
                <c:pt idx="40">
                  <c:v>ENEL GREEN POWER PERU</c:v>
                </c:pt>
                <c:pt idx="41">
                  <c:v>LUZ DEL SUR</c:v>
                </c:pt>
                <c:pt idx="42">
                  <c:v>P.E. TRES HERMANAS</c:v>
                </c:pt>
                <c:pt idx="43">
                  <c:v>SAN GABAN</c:v>
                </c:pt>
                <c:pt idx="44">
                  <c:v>EGEMSA</c:v>
                </c:pt>
                <c:pt idx="45">
                  <c:v>EGASA</c:v>
                </c:pt>
                <c:pt idx="46">
                  <c:v>CHINANGO</c:v>
                </c:pt>
                <c:pt idx="47">
                  <c:v>CELEPSA</c:v>
                </c:pt>
                <c:pt idx="48">
                  <c:v>ORAZUL ENERGY PERÚ</c:v>
                </c:pt>
                <c:pt idx="49">
                  <c:v>ENGIE</c:v>
                </c:pt>
                <c:pt idx="50">
                  <c:v>STATKRAFT</c:v>
                </c:pt>
                <c:pt idx="51">
                  <c:v>EMGE HUALLAGA</c:v>
                </c:pt>
                <c:pt idx="52">
                  <c:v>FENIX POWER</c:v>
                </c:pt>
                <c:pt idx="53">
                  <c:v>ELECTROPERU</c:v>
                </c:pt>
                <c:pt idx="54">
                  <c:v>ENEL GENERACION PERU</c:v>
                </c:pt>
                <c:pt idx="55">
                  <c:v>KALLPA</c:v>
                </c:pt>
              </c:strCache>
            </c:strRef>
          </c:cat>
          <c:val>
            <c:numRef>
              <c:f>'9. Pot. Empresa'!$M$7:$M$62</c:f>
              <c:numCache>
                <c:formatCode>General</c:formatCode>
                <c:ptCount val="56"/>
                <c:pt idx="4" formatCode="0.00">
                  <c:v>0</c:v>
                </c:pt>
                <c:pt idx="5" formatCode="0.00">
                  <c:v>0</c:v>
                </c:pt>
                <c:pt idx="6" formatCode="0.00">
                  <c:v>0</c:v>
                </c:pt>
                <c:pt idx="7" formatCode="0.00">
                  <c:v>0</c:v>
                </c:pt>
                <c:pt idx="8" formatCode="0.00">
                  <c:v>0</c:v>
                </c:pt>
                <c:pt idx="9" formatCode="0.00">
                  <c:v>0</c:v>
                </c:pt>
                <c:pt idx="10">
                  <c:v>0</c:v>
                </c:pt>
                <c:pt idx="11" formatCode="0.00">
                  <c:v>0</c:v>
                </c:pt>
                <c:pt idx="12" formatCode="0.00">
                  <c:v>0</c:v>
                </c:pt>
                <c:pt idx="13" formatCode="0.00">
                  <c:v>0</c:v>
                </c:pt>
                <c:pt idx="14">
                  <c:v>0</c:v>
                </c:pt>
                <c:pt idx="15">
                  <c:v>0</c:v>
                </c:pt>
                <c:pt idx="16" formatCode="0.00">
                  <c:v>0</c:v>
                </c:pt>
                <c:pt idx="17" formatCode="0.00">
                  <c:v>0.46811000000000003</c:v>
                </c:pt>
                <c:pt idx="18" formatCode="0.00">
                  <c:v>0.59999000000000002</c:v>
                </c:pt>
                <c:pt idx="19" formatCode="0.00">
                  <c:v>3.5316099999999997</c:v>
                </c:pt>
                <c:pt idx="20" formatCode="0.00">
                  <c:v>3.6</c:v>
                </c:pt>
                <c:pt idx="21" formatCode="0.00">
                  <c:v>3.7729999999999997</c:v>
                </c:pt>
                <c:pt idx="22" formatCode="0.00">
                  <c:v>5.04</c:v>
                </c:pt>
                <c:pt idx="23" formatCode="0.00">
                  <c:v>7.4263000000000003</c:v>
                </c:pt>
                <c:pt idx="24" formatCode="0.00">
                  <c:v>8.0326400000000007</c:v>
                </c:pt>
                <c:pt idx="25" formatCode="0.00">
                  <c:v>8.3485700000000005</c:v>
                </c:pt>
                <c:pt idx="26" formatCode="0.00">
                  <c:v>12.44139</c:v>
                </c:pt>
                <c:pt idx="27" formatCode="0.00">
                  <c:v>14.48199</c:v>
                </c:pt>
                <c:pt idx="28" formatCode="0.00">
                  <c:v>16.338909999999998</c:v>
                </c:pt>
                <c:pt idx="29" formatCode="0.00">
                  <c:v>19.28547</c:v>
                </c:pt>
                <c:pt idx="30" formatCode="0.00">
                  <c:v>19.460709999999999</c:v>
                </c:pt>
                <c:pt idx="31" formatCode="0.00">
                  <c:v>19.64</c:v>
                </c:pt>
                <c:pt idx="32" formatCode="0.00">
                  <c:v>20.100000000000001</c:v>
                </c:pt>
                <c:pt idx="33" formatCode="0.00">
                  <c:v>20.21865</c:v>
                </c:pt>
                <c:pt idx="34" formatCode="0.00">
                  <c:v>26.998449999999998</c:v>
                </c:pt>
                <c:pt idx="35" formatCode="0.00">
                  <c:v>27.94117</c:v>
                </c:pt>
                <c:pt idx="36" formatCode="0.00">
                  <c:v>32.922269999999997</c:v>
                </c:pt>
                <c:pt idx="37" formatCode="0.00">
                  <c:v>37.237279999999998</c:v>
                </c:pt>
                <c:pt idx="38" formatCode="0.00">
                  <c:v>41.949539999999999</c:v>
                </c:pt>
                <c:pt idx="39" formatCode="0.00">
                  <c:v>50.580829999999999</c:v>
                </c:pt>
                <c:pt idx="40" formatCode="0.00">
                  <c:v>68.84151</c:v>
                </c:pt>
                <c:pt idx="41" formatCode="0.00">
                  <c:v>90.123379999999997</c:v>
                </c:pt>
                <c:pt idx="42" formatCode="0.00">
                  <c:v>92.023880000000005</c:v>
                </c:pt>
                <c:pt idx="43" formatCode="0.00">
                  <c:v>111.25274999999999</c:v>
                </c:pt>
                <c:pt idx="44" formatCode="0.00">
                  <c:v>164.70982999999998</c:v>
                </c:pt>
                <c:pt idx="45" formatCode="0.00">
                  <c:v>183.01977000000005</c:v>
                </c:pt>
                <c:pt idx="46" formatCode="0.00">
                  <c:v>192.97874000000002</c:v>
                </c:pt>
                <c:pt idx="47" formatCode="0.00">
                  <c:v>216.76038</c:v>
                </c:pt>
                <c:pt idx="48" formatCode="0.00">
                  <c:v>353.78869999999995</c:v>
                </c:pt>
                <c:pt idx="49" formatCode="0.00">
                  <c:v>403.77977999999996</c:v>
                </c:pt>
                <c:pt idx="50" formatCode="0.00">
                  <c:v>408.46721000000002</c:v>
                </c:pt>
                <c:pt idx="51" formatCode="0.00">
                  <c:v>464.36599999999999</c:v>
                </c:pt>
                <c:pt idx="52" formatCode="0.00">
                  <c:v>562.00026000000003</c:v>
                </c:pt>
                <c:pt idx="53" formatCode="0.00">
                  <c:v>787.60464000000002</c:v>
                </c:pt>
                <c:pt idx="54" formatCode="0.00">
                  <c:v>926.37645999999995</c:v>
                </c:pt>
                <c:pt idx="55" formatCode="0.00">
                  <c:v>1213.1831199999997</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2017</c:v>
                </c:pt>
              </c:strCache>
            </c:strRef>
          </c:tx>
          <c:spPr>
            <a:solidFill>
              <a:srgbClr val="FF6600"/>
            </a:solidFill>
          </c:spPr>
          <c:invertIfNegative val="0"/>
          <c:cat>
            <c:strRef>
              <c:f>'9. Pot. Empresa'!$L$7:$L$62</c:f>
              <c:strCache>
                <c:ptCount val="56"/>
                <c:pt idx="0">
                  <c:v>RIO BAÑOS</c:v>
                </c:pt>
                <c:pt idx="1">
                  <c:v>ECELIM</c:v>
                </c:pt>
                <c:pt idx="2">
                  <c:v>AYEPSA</c:v>
                </c:pt>
                <c:pt idx="3">
                  <c:v>CERRO DEL AGUILA</c:v>
                </c:pt>
                <c:pt idx="4">
                  <c:v>TERMOSELVA</c:v>
                </c:pt>
                <c:pt idx="5">
                  <c:v>TERMOCHILCA</c:v>
                </c:pt>
                <c:pt idx="6">
                  <c:v>TACNA SOLAR</c:v>
                </c:pt>
                <c:pt idx="7">
                  <c:v>SHOUGESA</c:v>
                </c:pt>
                <c:pt idx="8">
                  <c:v>SAMAY I</c:v>
                </c:pt>
                <c:pt idx="9">
                  <c:v>PLANTA  ETEN</c:v>
                </c:pt>
                <c:pt idx="10">
                  <c:v>PANAMERICANA SOLAR</c:v>
                </c:pt>
                <c:pt idx="11">
                  <c:v>MOQUEGUA FV</c:v>
                </c:pt>
                <c:pt idx="12">
                  <c:v>IYEPSA</c:v>
                </c:pt>
                <c:pt idx="13">
                  <c:v>GTS REPARTICION</c:v>
                </c:pt>
                <c:pt idx="14">
                  <c:v>GTS MAJES</c:v>
                </c:pt>
                <c:pt idx="15">
                  <c:v>CERRO VERDE</c:v>
                </c:pt>
                <c:pt idx="16">
                  <c:v>AGROAURORA</c:v>
                </c:pt>
                <c:pt idx="17">
                  <c:v>EMGE HUANZA</c:v>
                </c:pt>
                <c:pt idx="18">
                  <c:v>ELECTRICA SANTA ROSA</c:v>
                </c:pt>
                <c:pt idx="19">
                  <c:v>ELECTRICA YANAPAMPA</c:v>
                </c:pt>
                <c:pt idx="20">
                  <c:v>HIDROCAÑETE</c:v>
                </c:pt>
                <c:pt idx="21">
                  <c:v>MAJA ENERGIA</c:v>
                </c:pt>
                <c:pt idx="22">
                  <c:v>EGECSAC</c:v>
                </c:pt>
                <c:pt idx="23">
                  <c:v>PETRAMAS</c:v>
                </c:pt>
                <c:pt idx="24">
                  <c:v>SINERSA</c:v>
                </c:pt>
                <c:pt idx="25">
                  <c:v>GEPSA</c:v>
                </c:pt>
                <c:pt idx="26">
                  <c:v>RIO DOBLE</c:v>
                </c:pt>
                <c:pt idx="27">
                  <c:v>AIPSA</c:v>
                </c:pt>
                <c:pt idx="28">
                  <c:v>ENERGÍA EÓLICA</c:v>
                </c:pt>
                <c:pt idx="29">
                  <c:v>CELEPSA RENOVABLES (**)</c:v>
                </c:pt>
                <c:pt idx="30">
                  <c:v>HIDROMARAÑON</c:v>
                </c:pt>
                <c:pt idx="31">
                  <c:v>HIDROELECTRICA HUANCHOR</c:v>
                </c:pt>
                <c:pt idx="32">
                  <c:v>SANTA ANA</c:v>
                </c:pt>
                <c:pt idx="33">
                  <c:v>AGUA AZUL</c:v>
                </c:pt>
                <c:pt idx="34">
                  <c:v>SDF ENERGIA</c:v>
                </c:pt>
                <c:pt idx="35">
                  <c:v>P.E. MARCONA</c:v>
                </c:pt>
                <c:pt idx="36">
                  <c:v>SANTA CRUZ</c:v>
                </c:pt>
                <c:pt idx="37">
                  <c:v>EMGE JUNÍN</c:v>
                </c:pt>
                <c:pt idx="38">
                  <c:v>EGESUR</c:v>
                </c:pt>
                <c:pt idx="39">
                  <c:v>ENEL GENERACION PIURA</c:v>
                </c:pt>
                <c:pt idx="40">
                  <c:v>ENEL GREEN POWER PERU</c:v>
                </c:pt>
                <c:pt idx="41">
                  <c:v>LUZ DEL SUR</c:v>
                </c:pt>
                <c:pt idx="42">
                  <c:v>P.E. TRES HERMANAS</c:v>
                </c:pt>
                <c:pt idx="43">
                  <c:v>SAN GABAN</c:v>
                </c:pt>
                <c:pt idx="44">
                  <c:v>EGEMSA</c:v>
                </c:pt>
                <c:pt idx="45">
                  <c:v>EGASA</c:v>
                </c:pt>
                <c:pt idx="46">
                  <c:v>CHINANGO</c:v>
                </c:pt>
                <c:pt idx="47">
                  <c:v>CELEPSA</c:v>
                </c:pt>
                <c:pt idx="48">
                  <c:v>ORAZUL ENERGY PERÚ</c:v>
                </c:pt>
                <c:pt idx="49">
                  <c:v>ENGIE</c:v>
                </c:pt>
                <c:pt idx="50">
                  <c:v>STATKRAFT</c:v>
                </c:pt>
                <c:pt idx="51">
                  <c:v>EMGE HUALLAGA</c:v>
                </c:pt>
                <c:pt idx="52">
                  <c:v>FENIX POWER</c:v>
                </c:pt>
                <c:pt idx="53">
                  <c:v>ELECTROPERU</c:v>
                </c:pt>
                <c:pt idx="54">
                  <c:v>ENEL GENERACION PERU</c:v>
                </c:pt>
                <c:pt idx="55">
                  <c:v>KALLPA</c:v>
                </c:pt>
              </c:strCache>
            </c:strRef>
          </c:cat>
          <c:val>
            <c:numRef>
              <c:f>'9. Pot. Empresa'!$N$7:$N$62</c:f>
              <c:numCache>
                <c:formatCode>General</c:formatCode>
                <c:ptCount val="56"/>
                <c:pt idx="0">
                  <c:v>20.295780000000001</c:v>
                </c:pt>
                <c:pt idx="1">
                  <c:v>0</c:v>
                </c:pt>
                <c:pt idx="2">
                  <c:v>11.861000000000001</c:v>
                </c:pt>
                <c:pt idx="3" formatCode="0.00">
                  <c:v>238.51834000000002</c:v>
                </c:pt>
                <c:pt idx="4" formatCode="0.00">
                  <c:v>122.69233</c:v>
                </c:pt>
                <c:pt idx="5">
                  <c:v>172.17124999999999</c:v>
                </c:pt>
                <c:pt idx="6" formatCode="0.00">
                  <c:v>0</c:v>
                </c:pt>
                <c:pt idx="7" formatCode="0.00">
                  <c:v>0</c:v>
                </c:pt>
                <c:pt idx="8" formatCode="0.00">
                  <c:v>129.16291000000001</c:v>
                </c:pt>
                <c:pt idx="9" formatCode="0.00">
                  <c:v>0</c:v>
                </c:pt>
                <c:pt idx="10">
                  <c:v>0</c:v>
                </c:pt>
                <c:pt idx="11" formatCode="0.00">
                  <c:v>0</c:v>
                </c:pt>
                <c:pt idx="12" formatCode="0.00">
                  <c:v>0</c:v>
                </c:pt>
                <c:pt idx="13" formatCode="0.00">
                  <c:v>0</c:v>
                </c:pt>
                <c:pt idx="14">
                  <c:v>0</c:v>
                </c:pt>
                <c:pt idx="15">
                  <c:v>0</c:v>
                </c:pt>
                <c:pt idx="16" formatCode="0.00">
                  <c:v>0</c:v>
                </c:pt>
                <c:pt idx="17" formatCode="0.00">
                  <c:v>93.507350000000002</c:v>
                </c:pt>
                <c:pt idx="18">
                  <c:v>0</c:v>
                </c:pt>
                <c:pt idx="19" formatCode="0.00">
                  <c:v>3.2308500000000002</c:v>
                </c:pt>
                <c:pt idx="20" formatCode="0.00">
                  <c:v>3.2</c:v>
                </c:pt>
                <c:pt idx="21" formatCode="0.00">
                  <c:v>3.8529999999999998</c:v>
                </c:pt>
                <c:pt idx="22" formatCode="0.00">
                  <c:v>0</c:v>
                </c:pt>
                <c:pt idx="23" formatCode="0.00">
                  <c:v>4.5601000000000003</c:v>
                </c:pt>
                <c:pt idx="24" formatCode="0.00">
                  <c:v>20.301360000000003</c:v>
                </c:pt>
                <c:pt idx="25" formatCode="0.00">
                  <c:v>6.8383699999999994</c:v>
                </c:pt>
                <c:pt idx="26" formatCode="0.00">
                  <c:v>19.433199999999999</c:v>
                </c:pt>
                <c:pt idx="27" formatCode="0.00">
                  <c:v>0</c:v>
                </c:pt>
                <c:pt idx="28" formatCode="0.00">
                  <c:v>17.57508</c:v>
                </c:pt>
                <c:pt idx="31" formatCode="0.00">
                  <c:v>0</c:v>
                </c:pt>
                <c:pt idx="34" formatCode="0.00">
                  <c:v>26.39648</c:v>
                </c:pt>
                <c:pt idx="35" formatCode="0.00">
                  <c:v>16.99982</c:v>
                </c:pt>
                <c:pt idx="36" formatCode="0.00">
                  <c:v>32.93768</c:v>
                </c:pt>
                <c:pt idx="37" formatCode="0.00">
                  <c:v>37.327280000000002</c:v>
                </c:pt>
                <c:pt idx="38" formatCode="0.00">
                  <c:v>49.393899999999995</c:v>
                </c:pt>
                <c:pt idx="39" formatCode="0.00">
                  <c:v>83.772379999999998</c:v>
                </c:pt>
                <c:pt idx="41" formatCode="0.00">
                  <c:v>90.278629999999993</c:v>
                </c:pt>
                <c:pt idx="42" formatCode="0.00">
                  <c:v>56.634650000000001</c:v>
                </c:pt>
                <c:pt idx="43" formatCode="0.00">
                  <c:v>110.68579</c:v>
                </c:pt>
                <c:pt idx="44" formatCode="0.00">
                  <c:v>168.08004999999997</c:v>
                </c:pt>
                <c:pt idx="45" formatCode="0.00">
                  <c:v>197.24307999999999</c:v>
                </c:pt>
                <c:pt idx="46" formatCode="0.00">
                  <c:v>197.39031</c:v>
                </c:pt>
                <c:pt idx="47" formatCode="0.00">
                  <c:v>215.91942999999998</c:v>
                </c:pt>
                <c:pt idx="48" formatCode="0.00">
                  <c:v>361.23822000000001</c:v>
                </c:pt>
                <c:pt idx="49" formatCode="0.00">
                  <c:v>1105.33825</c:v>
                </c:pt>
                <c:pt idx="50" formatCode="0.00">
                  <c:v>327.91179</c:v>
                </c:pt>
                <c:pt idx="51" formatCode="0.00">
                  <c:v>455.30390999999997</c:v>
                </c:pt>
                <c:pt idx="52" formatCode="0.00">
                  <c:v>0</c:v>
                </c:pt>
                <c:pt idx="53" formatCode="0.00">
                  <c:v>851.45999999999992</c:v>
                </c:pt>
                <c:pt idx="54" formatCode="0.00">
                  <c:v>899.98611000000017</c:v>
                </c:pt>
                <c:pt idx="55" formatCode="0.00">
                  <c:v>407.56466</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00"/>
          <c:min val="0"/>
        </c:scaling>
        <c:delete val="0"/>
        <c:axPos val="b"/>
        <c:majorGridlines/>
        <c:title>
          <c:tx>
            <c:rich>
              <a:bodyPr/>
              <a:lstStyle/>
              <a:p>
                <a:pPr>
                  <a:defRPr/>
                </a:pPr>
                <a:r>
                  <a:rPr lang="es-PE"/>
                  <a:t>MW</a:t>
                </a:r>
              </a:p>
            </c:rich>
          </c:tx>
          <c:layout>
            <c:manualLayout>
              <c:xMode val="edge"/>
              <c:yMode val="edge"/>
              <c:x val="0.88336355949615164"/>
              <c:y val="0.97430729251971848"/>
            </c:manualLayout>
          </c:layout>
          <c:overlay val="0"/>
        </c:title>
        <c:numFmt formatCode="General" sourceLinked="1"/>
        <c:majorTickMark val="out"/>
        <c:minorTickMark val="none"/>
        <c:tickLblPos val="nextTo"/>
        <c:txPr>
          <a:bodyPr/>
          <a:lstStyle/>
          <a:p>
            <a:pPr>
              <a:defRPr sz="900" b="1"/>
            </a:pPr>
            <a:endParaRPr lang="es-PE"/>
          </a:p>
        </c:txPr>
        <c:crossAx val="351364992"/>
        <c:crosses val="autoZero"/>
        <c:crossBetween val="between"/>
        <c:majorUnit val="400"/>
      </c:valAx>
    </c:plotArea>
    <c:legend>
      <c:legendPos val="r"/>
      <c:layout>
        <c:manualLayout>
          <c:xMode val="edge"/>
          <c:yMode val="edge"/>
          <c:x val="0.65664099747654348"/>
          <c:y val="0.39830739581538593"/>
          <c:w val="0.22095413152862417"/>
          <c:h val="6.0980304677881472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VOLÚMEN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0"/>
          <c:order val="0"/>
          <c:tx>
            <c:v>2018</c:v>
          </c:tx>
          <c:marker>
            <c:symbol val="circle"/>
            <c:size val="4"/>
            <c:spPr>
              <a:solidFill>
                <a:schemeClr val="accent1"/>
              </a:solidFill>
              <a:ln w="9525">
                <a:solidFill>
                  <a:schemeClr val="bg1">
                    <a:lumMod val="95000"/>
                  </a:schemeClr>
                </a:solidFill>
              </a:ln>
            </c:spPr>
          </c:marker>
          <c:val>
            <c:numRef>
              <c:f>'10. Volúmenes'!$P$12:$P$63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numCache>
            </c:numRef>
          </c:val>
          <c:smooth val="0"/>
          <c:extLst>
            <c:ext xmlns:c16="http://schemas.microsoft.com/office/drawing/2014/chart" uri="{C3380CC4-5D6E-409C-BE32-E72D297353CC}">
              <c16:uniqueId val="{00000000-70C0-4DC4-934D-909B877B1C5A}"/>
            </c:ext>
          </c:extLst>
        </c:ser>
        <c:ser>
          <c:idx val="3"/>
          <c:order val="1"/>
          <c:tx>
            <c:v>2017</c:v>
          </c:tx>
          <c:spPr>
            <a:ln w="22225">
              <a:solidFill>
                <a:srgbClr val="C00000"/>
              </a:solidFill>
            </a:ln>
          </c:spPr>
          <c:marker>
            <c:symbol val="triangle"/>
            <c:size val="7"/>
            <c:spPr>
              <a:solidFill>
                <a:srgbClr val="C00000"/>
              </a:solidFill>
              <a:ln w="12700">
                <a:solidFill>
                  <a:schemeClr val="bg1"/>
                </a:solidFill>
              </a:ln>
            </c:spPr>
          </c:marker>
          <c:val>
            <c:numRef>
              <c:f>'10. Volúmenes'!$O$12:$O$63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1-70C0-4DC4-934D-909B877B1C5A}"/>
            </c:ext>
          </c:extLst>
        </c:ser>
        <c:ser>
          <c:idx val="2"/>
          <c:order val="2"/>
          <c:tx>
            <c:v>2016</c:v>
          </c:tx>
          <c:spPr>
            <a:ln w="19050">
              <a:solidFill>
                <a:schemeClr val="accent6"/>
              </a:solidFill>
            </a:ln>
          </c:spPr>
          <c:marker>
            <c:symbol val="star"/>
            <c:size val="7"/>
            <c:spPr>
              <a:noFill/>
              <a:ln>
                <a:solidFill>
                  <a:srgbClr val="00B050"/>
                </a:solidFill>
              </a:ln>
              <a:effectLst/>
            </c:spPr>
          </c:marker>
          <c:val>
            <c:numRef>
              <c:f>'10. Volúmenes'!$N$12:$N$63</c:f>
              <c:numCache>
                <c:formatCode>0.00</c:formatCode>
                <c:ptCount val="52"/>
                <c:pt idx="0">
                  <c:v>138.54</c:v>
                </c:pt>
                <c:pt idx="1">
                  <c:v>140.53</c:v>
                </c:pt>
                <c:pt idx="2">
                  <c:v>140.53</c:v>
                </c:pt>
                <c:pt idx="3">
                  <c:v>137.43800000000002</c:v>
                </c:pt>
                <c:pt idx="4">
                  <c:v>137.43800000000002</c:v>
                </c:pt>
                <c:pt idx="5">
                  <c:v>137.43800000000002</c:v>
                </c:pt>
                <c:pt idx="6">
                  <c:v>151.05499267578099</c:v>
                </c:pt>
                <c:pt idx="7">
                  <c:v>151.05499267578099</c:v>
                </c:pt>
                <c:pt idx="8">
                  <c:v>165.00500489999999</c:v>
                </c:pt>
                <c:pt idx="9">
                  <c:v>165.00500489999999</c:v>
                </c:pt>
                <c:pt idx="10">
                  <c:v>186.45199584960901</c:v>
                </c:pt>
                <c:pt idx="11">
                  <c:v>186.45199584960901</c:v>
                </c:pt>
                <c:pt idx="12">
                  <c:v>195.64999389648401</c:v>
                </c:pt>
                <c:pt idx="13">
                  <c:v>195.64999389648401</c:v>
                </c:pt>
                <c:pt idx="14">
                  <c:v>201.93600463867099</c:v>
                </c:pt>
                <c:pt idx="15">
                  <c:v>201.93600463867099</c:v>
                </c:pt>
                <c:pt idx="16">
                  <c:v>201.93600463867099</c:v>
                </c:pt>
                <c:pt idx="17">
                  <c:v>207.58900451660099</c:v>
                </c:pt>
                <c:pt idx="18">
                  <c:v>207.58900451660099</c:v>
                </c:pt>
                <c:pt idx="19">
                  <c:v>205.7</c:v>
                </c:pt>
                <c:pt idx="20">
                  <c:v>205.7</c:v>
                </c:pt>
                <c:pt idx="21">
                  <c:v>204.65</c:v>
                </c:pt>
                <c:pt idx="22">
                  <c:v>204.65</c:v>
                </c:pt>
                <c:pt idx="23">
                  <c:v>200.38</c:v>
                </c:pt>
                <c:pt idx="24">
                  <c:v>200.38</c:v>
                </c:pt>
                <c:pt idx="25">
                  <c:v>193.55099487304599</c:v>
                </c:pt>
                <c:pt idx="26">
                  <c:v>193.55099487304599</c:v>
                </c:pt>
                <c:pt idx="27">
                  <c:v>186.01199339999999</c:v>
                </c:pt>
                <c:pt idx="28">
                  <c:v>186.01199339999999</c:v>
                </c:pt>
                <c:pt idx="29">
                  <c:v>186.01199339999999</c:v>
                </c:pt>
                <c:pt idx="30">
                  <c:v>178.58200070000001</c:v>
                </c:pt>
                <c:pt idx="31">
                  <c:v>178.58200070000001</c:v>
                </c:pt>
                <c:pt idx="32">
                  <c:v>169.01100159999999</c:v>
                </c:pt>
                <c:pt idx="33">
                  <c:v>169.01100159999999</c:v>
                </c:pt>
                <c:pt idx="34">
                  <c:v>158.09199523925699</c:v>
                </c:pt>
                <c:pt idx="35">
                  <c:v>158.09199523925699</c:v>
                </c:pt>
                <c:pt idx="36">
                  <c:v>147.0650024</c:v>
                </c:pt>
                <c:pt idx="37">
                  <c:v>147.0650024</c:v>
                </c:pt>
                <c:pt idx="38">
                  <c:v>139.11000060000001</c:v>
                </c:pt>
                <c:pt idx="39">
                  <c:v>139.11000060000001</c:v>
                </c:pt>
                <c:pt idx="40">
                  <c:v>139.11000060000001</c:v>
                </c:pt>
                <c:pt idx="41">
                  <c:v>128.34500120000001</c:v>
                </c:pt>
                <c:pt idx="42">
                  <c:v>128.34500120000001</c:v>
                </c:pt>
                <c:pt idx="43">
                  <c:v>121.20099639999999</c:v>
                </c:pt>
                <c:pt idx="44">
                  <c:v>121.20099639999999</c:v>
                </c:pt>
                <c:pt idx="45">
                  <c:v>112.1429977</c:v>
                </c:pt>
                <c:pt idx="46">
                  <c:v>112.1429977</c:v>
                </c:pt>
                <c:pt idx="47">
                  <c:v>101.13500209999999</c:v>
                </c:pt>
                <c:pt idx="48">
                  <c:v>101.13500209999999</c:v>
                </c:pt>
                <c:pt idx="49">
                  <c:v>96.752998349999999</c:v>
                </c:pt>
                <c:pt idx="50">
                  <c:v>96.752998349999999</c:v>
                </c:pt>
                <c:pt idx="51">
                  <c:v>96.752998349999999</c:v>
                </c:pt>
              </c:numCache>
            </c:numRef>
          </c:val>
          <c:smooth val="0"/>
          <c:extLst>
            <c:ext xmlns:c16="http://schemas.microsoft.com/office/drawing/2014/chart" uri="{C3380CC4-5D6E-409C-BE32-E72D297353CC}">
              <c16:uniqueId val="{00000002-70C0-4DC4-934D-909B877B1C5A}"/>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33219974950640307"/>
          <c:h val="5.1185691640827126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0"/>
          <c:order val="0"/>
          <c:tx>
            <c:v>2018</c:v>
          </c:tx>
          <c:spPr>
            <a:ln w="19050"/>
          </c:spPr>
          <c:marker>
            <c:symbol val="circle"/>
            <c:size val="4"/>
            <c:spPr>
              <a:solidFill>
                <a:schemeClr val="accent1"/>
              </a:solidFill>
              <a:ln w="9525">
                <a:solidFill>
                  <a:schemeClr val="bg1">
                    <a:lumMod val="95000"/>
                  </a:schemeClr>
                </a:solidFill>
              </a:ln>
            </c:spPr>
          </c:marker>
          <c:val>
            <c:numRef>
              <c:f>'11. Volúmenes'!$Q$6:$Q$57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numCache>
            </c:numRef>
          </c:val>
          <c:smooth val="0"/>
          <c:extLst>
            <c:ext xmlns:c16="http://schemas.microsoft.com/office/drawing/2014/chart" uri="{C3380CC4-5D6E-409C-BE32-E72D297353CC}">
              <c16:uniqueId val="{00000000-E67E-478C-BF33-2DFC489EAE4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1-E67E-478C-BF33-2DFC489EAE45}"/>
            </c:ext>
          </c:extLst>
        </c:ser>
        <c:ser>
          <c:idx val="2"/>
          <c:order val="2"/>
          <c:tx>
            <c:v>2016</c:v>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119.86</c:v>
                </c:pt>
                <c:pt idx="1">
                  <c:v>113.21</c:v>
                </c:pt>
                <c:pt idx="2">
                  <c:v>117.64</c:v>
                </c:pt>
                <c:pt idx="3">
                  <c:v>117.64</c:v>
                </c:pt>
                <c:pt idx="4">
                  <c:v>133.43</c:v>
                </c:pt>
                <c:pt idx="5">
                  <c:v>159.2149963</c:v>
                </c:pt>
                <c:pt idx="6">
                  <c:v>186.18299870000001</c:v>
                </c:pt>
                <c:pt idx="7">
                  <c:v>206.53900150000001</c:v>
                </c:pt>
                <c:pt idx="8">
                  <c:v>240.9539948</c:v>
                </c:pt>
                <c:pt idx="9">
                  <c:v>279.86401369999999</c:v>
                </c:pt>
                <c:pt idx="10">
                  <c:v>308.83</c:v>
                </c:pt>
                <c:pt idx="11">
                  <c:v>308.829986572265</c:v>
                </c:pt>
                <c:pt idx="12">
                  <c:v>308.829986572265</c:v>
                </c:pt>
                <c:pt idx="13">
                  <c:v>302.95901489257801</c:v>
                </c:pt>
                <c:pt idx="14">
                  <c:v>311.781005859375</c:v>
                </c:pt>
                <c:pt idx="15">
                  <c:v>320.69100952148398</c:v>
                </c:pt>
                <c:pt idx="16">
                  <c:v>326.67999267578102</c:v>
                </c:pt>
                <c:pt idx="17">
                  <c:v>314.74099731445301</c:v>
                </c:pt>
                <c:pt idx="18">
                  <c:v>308.829986572265</c:v>
                </c:pt>
                <c:pt idx="19">
                  <c:v>308.8</c:v>
                </c:pt>
                <c:pt idx="20">
                  <c:v>311.781005859375</c:v>
                </c:pt>
                <c:pt idx="21">
                  <c:v>314.74</c:v>
                </c:pt>
                <c:pt idx="22">
                  <c:v>308.83</c:v>
                </c:pt>
                <c:pt idx="23">
                  <c:v>300.04000000000002</c:v>
                </c:pt>
                <c:pt idx="24">
                  <c:v>282.71701050000001</c:v>
                </c:pt>
                <c:pt idx="25">
                  <c:v>262.95300292968699</c:v>
                </c:pt>
                <c:pt idx="26">
                  <c:v>254.63000489999999</c:v>
                </c:pt>
                <c:pt idx="27">
                  <c:v>240.9539948</c:v>
                </c:pt>
                <c:pt idx="28">
                  <c:v>227.5220032</c:v>
                </c:pt>
                <c:pt idx="29">
                  <c:v>216.95199584960901</c:v>
                </c:pt>
                <c:pt idx="30">
                  <c:v>216.95199579999999</c:v>
                </c:pt>
                <c:pt idx="31">
                  <c:v>201.39199830000001</c:v>
                </c:pt>
                <c:pt idx="32">
                  <c:v>193.74299621582</c:v>
                </c:pt>
                <c:pt idx="33">
                  <c:v>181.19200129999999</c:v>
                </c:pt>
                <c:pt idx="34">
                  <c:v>171.32600400000001</c:v>
                </c:pt>
                <c:pt idx="35">
                  <c:v>164.02999879999999</c:v>
                </c:pt>
                <c:pt idx="36">
                  <c:v>147.34800720000001</c:v>
                </c:pt>
                <c:pt idx="37">
                  <c:v>131.14500430000001</c:v>
                </c:pt>
                <c:pt idx="38">
                  <c:v>119.8639984</c:v>
                </c:pt>
                <c:pt idx="39">
                  <c:v>119.8639984</c:v>
                </c:pt>
                <c:pt idx="40">
                  <c:v>113.213996887207</c:v>
                </c:pt>
                <c:pt idx="41">
                  <c:v>100.1760025</c:v>
                </c:pt>
                <c:pt idx="42">
                  <c:v>89.581001279999995</c:v>
                </c:pt>
                <c:pt idx="43">
                  <c:v>75.156997680000003</c:v>
                </c:pt>
                <c:pt idx="44">
                  <c:v>61.2140007</c:v>
                </c:pt>
                <c:pt idx="45">
                  <c:v>43.990001679999999</c:v>
                </c:pt>
                <c:pt idx="46">
                  <c:v>25.781999590000002</c:v>
                </c:pt>
                <c:pt idx="47">
                  <c:v>29.344999309999999</c:v>
                </c:pt>
                <c:pt idx="48">
                  <c:v>34.763999939999998</c:v>
                </c:pt>
                <c:pt idx="49">
                  <c:v>32.948001859999998</c:v>
                </c:pt>
                <c:pt idx="50">
                  <c:v>25.781999590000002</c:v>
                </c:pt>
                <c:pt idx="51">
                  <c:v>22.256999969999999</c:v>
                </c:pt>
              </c:numCache>
            </c:numRef>
          </c:val>
          <c:smooth val="0"/>
          <c:extLst>
            <c:ext xmlns:c16="http://schemas.microsoft.com/office/drawing/2014/chart" uri="{C3380CC4-5D6E-409C-BE32-E72D297353CC}">
              <c16:uniqueId val="{00000002-E67E-478C-BF33-2DFC489EAE45}"/>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33219974950640307"/>
          <c:h val="5.1185691640827126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0"/>
          <c:order val="0"/>
          <c:tx>
            <c:v>2018</c:v>
          </c:tx>
          <c:spPr>
            <a:ln w="19050"/>
          </c:spPr>
          <c:marker>
            <c:symbol val="circle"/>
            <c:size val="5"/>
            <c:spPr>
              <a:solidFill>
                <a:schemeClr val="accent5">
                  <a:lumMod val="75000"/>
                </a:schemeClr>
              </a:solidFill>
              <a:ln w="9525">
                <a:solidFill>
                  <a:schemeClr val="bg1"/>
                </a:solidFill>
              </a:ln>
            </c:spPr>
          </c:marker>
          <c:val>
            <c:numRef>
              <c:f>'11. Volúmenes'!$V$6:$V$57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numCache>
            </c:numRef>
          </c:val>
          <c:smooth val="0"/>
          <c:extLst>
            <c:ext xmlns:c16="http://schemas.microsoft.com/office/drawing/2014/chart" uri="{C3380CC4-5D6E-409C-BE32-E72D297353CC}">
              <c16:uniqueId val="{00000000-47CE-4929-AC22-8EC51378828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Volúmenes'!$U$6:$U$57</c:f>
              <c:numCache>
                <c:formatCode>0.00</c:formatCode>
                <c:ptCount val="52"/>
                <c:pt idx="0">
                  <c:v>122.19600180599998</c:v>
                </c:pt>
                <c:pt idx="1">
                  <c:v>136.535000822</c:v>
                </c:pt>
                <c:pt idx="2">
                  <c:v>170.80799961000002</c:v>
                </c:pt>
                <c:pt idx="3">
                  <c:v>186.385000214</c:v>
                </c:pt>
                <c:pt idx="4">
                  <c:v>204.80799868699998</c:v>
                </c:pt>
                <c:pt idx="5">
                  <c:v>201.82999366799999</c:v>
                </c:pt>
                <c:pt idx="6">
                  <c:v>199.59600258</c:v>
                </c:pt>
                <c:pt idx="7">
                  <c:v>214.34299659800001</c:v>
                </c:pt>
                <c:pt idx="8">
                  <c:v>250.89400288000002</c:v>
                </c:pt>
                <c:pt idx="9">
                  <c:v>298.99899296000001</c:v>
                </c:pt>
                <c:pt idx="10">
                  <c:v>321.03300188000003</c:v>
                </c:pt>
                <c:pt idx="11">
                  <c:v>332.34900279999999</c:v>
                </c:pt>
                <c:pt idx="12">
                  <c:v>366.02899361000004</c:v>
                </c:pt>
                <c:pt idx="13">
                  <c:v>382.58400344</c:v>
                </c:pt>
                <c:pt idx="14">
                  <c:v>385.29699126999998</c:v>
                </c:pt>
                <c:pt idx="15">
                  <c:v>384.95899003</c:v>
                </c:pt>
                <c:pt idx="16">
                  <c:v>381.86699488000005</c:v>
                </c:pt>
                <c:pt idx="17">
                  <c:v>382.77999115</c:v>
                </c:pt>
                <c:pt idx="18">
                  <c:v>381.91700169999996</c:v>
                </c:pt>
                <c:pt idx="19">
                  <c:v>379.35699083999998</c:v>
                </c:pt>
                <c:pt idx="20">
                  <c:v>375.59600258</c:v>
                </c:pt>
                <c:pt idx="21">
                  <c:v>373.52000000000004</c:v>
                </c:pt>
                <c:pt idx="22">
                  <c:v>369.22100255000004</c:v>
                </c:pt>
                <c:pt idx="23">
                  <c:v>364.44200138999997</c:v>
                </c:pt>
                <c:pt idx="24">
                  <c:v>359.61999897999999</c:v>
                </c:pt>
                <c:pt idx="25">
                  <c:v>354.77499773999995</c:v>
                </c:pt>
                <c:pt idx="26">
                  <c:v>349.77999684000002</c:v>
                </c:pt>
                <c:pt idx="27">
                  <c:v>344.32400322999996</c:v>
                </c:pt>
                <c:pt idx="28">
                  <c:v>338.60699847999996</c:v>
                </c:pt>
                <c:pt idx="29">
                  <c:v>332.49400331000004</c:v>
                </c:pt>
                <c:pt idx="30">
                  <c:v>324</c:v>
                </c:pt>
                <c:pt idx="31">
                  <c:v>320.73399734000003</c:v>
                </c:pt>
                <c:pt idx="32">
                  <c:v>314.19900131999998</c:v>
                </c:pt>
                <c:pt idx="33">
                  <c:v>307.85200500000002</c:v>
                </c:pt>
                <c:pt idx="34">
                  <c:v>300.83900069999999</c:v>
                </c:pt>
                <c:pt idx="35">
                  <c:v>293.46100233999999</c:v>
                </c:pt>
                <c:pt idx="36">
                  <c:v>287.76599501999999</c:v>
                </c:pt>
                <c:pt idx="37">
                  <c:v>282.07300377000001</c:v>
                </c:pt>
                <c:pt idx="38">
                  <c:v>275.53000069000001</c:v>
                </c:pt>
                <c:pt idx="39">
                  <c:v>268.25699615000002</c:v>
                </c:pt>
                <c:pt idx="40">
                  <c:v>261.21399689000003</c:v>
                </c:pt>
                <c:pt idx="41">
                  <c:v>255.58900451</c:v>
                </c:pt>
                <c:pt idx="42">
                  <c:v>249.85500335</c:v>
                </c:pt>
                <c:pt idx="43">
                  <c:v>242.79000000000002</c:v>
                </c:pt>
                <c:pt idx="44">
                  <c:v>235.60499572000001</c:v>
                </c:pt>
                <c:pt idx="45">
                  <c:v>230.54900361099999</c:v>
                </c:pt>
                <c:pt idx="46">
                  <c:v>223.60000467499998</c:v>
                </c:pt>
                <c:pt idx="47">
                  <c:v>217.17600035300001</c:v>
                </c:pt>
                <c:pt idx="48">
                  <c:v>210.45100211699997</c:v>
                </c:pt>
                <c:pt idx="49">
                  <c:v>203.37099885499998</c:v>
                </c:pt>
                <c:pt idx="50">
                  <c:v>202.35899971500001</c:v>
                </c:pt>
                <c:pt idx="51">
                  <c:v>201.25199794899999</c:v>
                </c:pt>
              </c:numCache>
            </c:numRef>
          </c:val>
          <c:smooth val="0"/>
          <c:extLst>
            <c:ext xmlns:c15="http://schemas.microsoft.com/office/drawing/2012/chart" uri="{02D57815-91ED-43cb-92C2-25804820EDAC}">
              <c15:filteredCategoryTitle>
                <c15:cat>
                  <c:numLit>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Lit>
                </c15:cat>
              </c15:filteredCategoryTitle>
            </c:ext>
            <c:ext xmlns:c16="http://schemas.microsoft.com/office/drawing/2014/chart" uri="{C3380CC4-5D6E-409C-BE32-E72D297353CC}">
              <c16:uniqueId val="{00000001-47CE-4929-AC22-8EC513788285}"/>
            </c:ext>
          </c:extLst>
        </c:ser>
        <c:ser>
          <c:idx val="2"/>
          <c:order val="2"/>
          <c:tx>
            <c:v>2016</c:v>
          </c:tx>
          <c:spPr>
            <a:ln w="19050">
              <a:solidFill>
                <a:schemeClr val="accent6"/>
              </a:solidFill>
            </a:ln>
          </c:spPr>
          <c:marker>
            <c:symbol val="star"/>
            <c:size val="7"/>
            <c:spPr>
              <a:noFill/>
              <a:ln>
                <a:solidFill>
                  <a:srgbClr val="00B050"/>
                </a:solidFill>
              </a:ln>
              <a:effectLst/>
            </c:spPr>
          </c:marker>
          <c:val>
            <c:numRef>
              <c:f>'11. Volúmenes'!$T$7:$T$57</c:f>
              <c:numCache>
                <c:formatCode>0.00</c:formatCode>
                <c:ptCount val="51"/>
                <c:pt idx="0">
                  <c:v>145.21</c:v>
                </c:pt>
                <c:pt idx="1">
                  <c:v>143.88</c:v>
                </c:pt>
                <c:pt idx="2">
                  <c:v>139.38200000000001</c:v>
                </c:pt>
                <c:pt idx="3">
                  <c:v>135.79099490000002</c:v>
                </c:pt>
                <c:pt idx="4">
                  <c:v>150.04800029899999</c:v>
                </c:pt>
                <c:pt idx="5">
                  <c:v>174.31999966699999</c:v>
                </c:pt>
                <c:pt idx="6">
                  <c:v>262.93500039999998</c:v>
                </c:pt>
                <c:pt idx="7">
                  <c:v>279.08800121000002</c:v>
                </c:pt>
                <c:pt idx="8">
                  <c:v>283.79400062561007</c:v>
                </c:pt>
                <c:pt idx="9">
                  <c:v>286.24</c:v>
                </c:pt>
                <c:pt idx="10">
                  <c:v>285.01299476623473</c:v>
                </c:pt>
                <c:pt idx="11">
                  <c:v>279.96900081634436</c:v>
                </c:pt>
                <c:pt idx="12">
                  <c:v>286.54100227355917</c:v>
                </c:pt>
                <c:pt idx="13">
                  <c:v>288.78499984741165</c:v>
                </c:pt>
                <c:pt idx="14">
                  <c:v>293.26400000000001</c:v>
                </c:pt>
                <c:pt idx="15">
                  <c:v>292.87300071716299</c:v>
                </c:pt>
                <c:pt idx="16">
                  <c:v>289.06400012969908</c:v>
                </c:pt>
                <c:pt idx="17">
                  <c:v>283.7310012817382</c:v>
                </c:pt>
                <c:pt idx="18">
                  <c:v>278.90000000000003</c:v>
                </c:pt>
                <c:pt idx="19">
                  <c:v>274.65599975585928</c:v>
                </c:pt>
                <c:pt idx="20">
                  <c:v>269.74</c:v>
                </c:pt>
                <c:pt idx="21">
                  <c:v>265.4609997</c:v>
                </c:pt>
                <c:pt idx="22">
                  <c:v>261.10000000000002</c:v>
                </c:pt>
                <c:pt idx="23">
                  <c:v>256.25999989000002</c:v>
                </c:pt>
                <c:pt idx="24">
                  <c:v>252.54899978637627</c:v>
                </c:pt>
                <c:pt idx="25">
                  <c:v>248.26700022</c:v>
                </c:pt>
                <c:pt idx="26">
                  <c:v>243.86400222</c:v>
                </c:pt>
                <c:pt idx="27">
                  <c:v>239.07999988</c:v>
                </c:pt>
                <c:pt idx="28">
                  <c:v>234.2539968490598</c:v>
                </c:pt>
                <c:pt idx="29">
                  <c:v>229.68000125999998</c:v>
                </c:pt>
                <c:pt idx="30">
                  <c:v>224.73799990999998</c:v>
                </c:pt>
                <c:pt idx="31">
                  <c:v>219.00299835205058</c:v>
                </c:pt>
                <c:pt idx="32">
                  <c:v>214.38699817</c:v>
                </c:pt>
                <c:pt idx="33">
                  <c:v>208.95000171000001</c:v>
                </c:pt>
                <c:pt idx="34">
                  <c:v>202.97300145000003</c:v>
                </c:pt>
                <c:pt idx="35">
                  <c:v>196.95000080099999</c:v>
                </c:pt>
                <c:pt idx="36">
                  <c:v>190.78400421900002</c:v>
                </c:pt>
                <c:pt idx="37">
                  <c:v>184.44099947499998</c:v>
                </c:pt>
                <c:pt idx="38">
                  <c:v>177.93399906500002</c:v>
                </c:pt>
                <c:pt idx="39">
                  <c:v>171.68900227546672</c:v>
                </c:pt>
                <c:pt idx="40">
                  <c:v>165.69499874400003</c:v>
                </c:pt>
                <c:pt idx="41">
                  <c:v>160.397996525</c:v>
                </c:pt>
                <c:pt idx="42">
                  <c:v>154.79199918699999</c:v>
                </c:pt>
                <c:pt idx="43">
                  <c:v>149.715000041</c:v>
                </c:pt>
                <c:pt idx="44">
                  <c:v>144.11800040400001</c:v>
                </c:pt>
                <c:pt idx="45">
                  <c:v>138.82499813000001</c:v>
                </c:pt>
                <c:pt idx="46">
                  <c:v>133.112998957</c:v>
                </c:pt>
                <c:pt idx="47">
                  <c:v>128.370002666</c:v>
                </c:pt>
                <c:pt idx="48">
                  <c:v>122.71499820000001</c:v>
                </c:pt>
                <c:pt idx="49">
                  <c:v>120.15600296300001</c:v>
                </c:pt>
                <c:pt idx="50">
                  <c:v>116.12899696700001</c:v>
                </c:pt>
              </c:numCache>
            </c:numRef>
          </c:val>
          <c:smooth val="0"/>
          <c:extLst>
            <c:ext xmlns:c15="http://schemas.microsoft.com/office/drawing/2012/chart" uri="{02D57815-91ED-43cb-92C2-25804820EDAC}">
              <c15:filteredCategoryTitle>
                <c15:cat>
                  <c:numLit>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Lit>
                </c15:cat>
              </c15:filteredCategoryTitle>
            </c:ext>
            <c:ext xmlns:c16="http://schemas.microsoft.com/office/drawing/2014/chart" uri="{C3380CC4-5D6E-409C-BE32-E72D297353CC}">
              <c16:uniqueId val="{00000002-47CE-4929-AC22-8EC513788285}"/>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33219974950640307"/>
          <c:h val="4.8898150517889913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3762AF"/>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4.173841607633004E-2"/>
                  <c:y val="-0.1053267435475013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2575.6931020716493</c:v>
                </c:pt>
                <c:pt idx="1">
                  <c:v>1198.4361964136247</c:v>
                </c:pt>
                <c:pt idx="2">
                  <c:v>61.619238063476601</c:v>
                </c:pt>
                <c:pt idx="3">
                  <c:v>8.758008694878999</c:v>
                </c:pt>
                <c:pt idx="4">
                  <c:v>7.1728792886017505</c:v>
                </c:pt>
                <c:pt idx="5">
                  <c:v>92.967202730385409</c:v>
                </c:pt>
                <c:pt idx="6">
                  <c:v>19.088536792355001</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995.94077303749975</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6.6665021175000003</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8.2433951325000017</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11.345513060000002</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115.011208025</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58.171585880000009</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5283840646682012"/>
        </c:manualLayout>
      </c:layout>
      <c:areaChart>
        <c:grouping val="standard"/>
        <c:varyColors val="0"/>
        <c:ser>
          <c:idx val="2"/>
          <c:order val="0"/>
          <c:tx>
            <c:strRef>
              <c:f>'12.Caudales'!$N$3</c:f>
              <c:strCache>
                <c:ptCount val="1"/>
                <c:pt idx="0">
                  <c:v>SANTA</c:v>
                </c:pt>
              </c:strCache>
            </c:strRef>
          </c:tx>
          <c:spPr>
            <a:solidFill>
              <a:schemeClr val="accent5"/>
            </a:solidFill>
          </c:spPr>
          <c:cat>
            <c:multiLvlStrRef>
              <c:f>'12.Caudales'!$J$4:$K$125</c:f>
              <c:multiLvlStrCache>
                <c:ptCount val="12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lvl>
                <c:lvl>
                  <c:pt idx="0">
                    <c:v>2016</c:v>
                  </c:pt>
                  <c:pt idx="52">
                    <c:v>2017</c:v>
                  </c:pt>
                  <c:pt idx="104">
                    <c:v>2018</c:v>
                  </c:pt>
                </c:lvl>
              </c:multiLvlStrCache>
            </c:multiLvlStrRef>
          </c:cat>
          <c:val>
            <c:numRef>
              <c:f>'12.Caudales'!$N$4:$N$125</c:f>
              <c:numCache>
                <c:formatCode>0.0</c:formatCode>
                <c:ptCount val="122"/>
                <c:pt idx="0">
                  <c:v>96.75</c:v>
                </c:pt>
                <c:pt idx="1">
                  <c:v>76.510000000000005</c:v>
                </c:pt>
                <c:pt idx="2">
                  <c:v>80.096000000000004</c:v>
                </c:pt>
                <c:pt idx="3">
                  <c:v>77.09</c:v>
                </c:pt>
                <c:pt idx="4">
                  <c:v>140.12</c:v>
                </c:pt>
                <c:pt idx="5">
                  <c:v>144.66999999999999</c:v>
                </c:pt>
                <c:pt idx="6">
                  <c:v>117.32</c:v>
                </c:pt>
                <c:pt idx="7">
                  <c:v>140.31</c:v>
                </c:pt>
                <c:pt idx="8">
                  <c:v>268.94750210000001</c:v>
                </c:pt>
                <c:pt idx="9">
                  <c:v>243.71150207519463</c:v>
                </c:pt>
                <c:pt idx="10">
                  <c:v>154.21</c:v>
                </c:pt>
                <c:pt idx="11">
                  <c:v>116.62271445138057</c:v>
                </c:pt>
                <c:pt idx="12">
                  <c:v>120.78800201416</c:v>
                </c:pt>
                <c:pt idx="13">
                  <c:v>125.66285814557708</c:v>
                </c:pt>
                <c:pt idx="14">
                  <c:v>127.68985639299636</c:v>
                </c:pt>
                <c:pt idx="15">
                  <c:v>97.4</c:v>
                </c:pt>
                <c:pt idx="16">
                  <c:v>85.487143380301248</c:v>
                </c:pt>
                <c:pt idx="17">
                  <c:v>62.369998931884716</c:v>
                </c:pt>
                <c:pt idx="18">
                  <c:v>58.684285300118525</c:v>
                </c:pt>
                <c:pt idx="19">
                  <c:v>54</c:v>
                </c:pt>
                <c:pt idx="20">
                  <c:v>50.756999969482365</c:v>
                </c:pt>
                <c:pt idx="21">
                  <c:v>46.59</c:v>
                </c:pt>
                <c:pt idx="22">
                  <c:v>40.29</c:v>
                </c:pt>
                <c:pt idx="23">
                  <c:v>35.630000000000003</c:v>
                </c:pt>
                <c:pt idx="24">
                  <c:v>34.608428410000002</c:v>
                </c:pt>
                <c:pt idx="25">
                  <c:v>34.074285510000003</c:v>
                </c:pt>
                <c:pt idx="26">
                  <c:v>29.599571770000001</c:v>
                </c:pt>
                <c:pt idx="27">
                  <c:v>29.3955713</c:v>
                </c:pt>
                <c:pt idx="28">
                  <c:v>32.468857079999999</c:v>
                </c:pt>
                <c:pt idx="29">
                  <c:v>32.112285890000003</c:v>
                </c:pt>
                <c:pt idx="30">
                  <c:v>29.132714407784558</c:v>
                </c:pt>
                <c:pt idx="31">
                  <c:v>34.150143489999998</c:v>
                </c:pt>
                <c:pt idx="32">
                  <c:v>35.225571223667643</c:v>
                </c:pt>
                <c:pt idx="33">
                  <c:v>35.168570930000001</c:v>
                </c:pt>
                <c:pt idx="34">
                  <c:v>37.824428560000001</c:v>
                </c:pt>
                <c:pt idx="35">
                  <c:v>39.78</c:v>
                </c:pt>
                <c:pt idx="36">
                  <c:v>44.25</c:v>
                </c:pt>
                <c:pt idx="37">
                  <c:v>41.311858039999997</c:v>
                </c:pt>
                <c:pt idx="38">
                  <c:v>41.13</c:v>
                </c:pt>
                <c:pt idx="39">
                  <c:v>46.466000694285704</c:v>
                </c:pt>
                <c:pt idx="40">
                  <c:v>37.273714882986837</c:v>
                </c:pt>
                <c:pt idx="41">
                  <c:v>48.572000228571433</c:v>
                </c:pt>
                <c:pt idx="42">
                  <c:v>35.32</c:v>
                </c:pt>
                <c:pt idx="43">
                  <c:v>36.83</c:v>
                </c:pt>
                <c:pt idx="44">
                  <c:v>39.520000000000003</c:v>
                </c:pt>
                <c:pt idx="45">
                  <c:v>53.38</c:v>
                </c:pt>
                <c:pt idx="46">
                  <c:v>61.853000000000002</c:v>
                </c:pt>
                <c:pt idx="47">
                  <c:v>65.330427987142869</c:v>
                </c:pt>
                <c:pt idx="48">
                  <c:v>66.680000000000007</c:v>
                </c:pt>
                <c:pt idx="49">
                  <c:v>61.31</c:v>
                </c:pt>
                <c:pt idx="50">
                  <c:v>70.790000000000006</c:v>
                </c:pt>
                <c:pt idx="51">
                  <c:v>77.434859137142865</c:v>
                </c:pt>
                <c:pt idx="52">
                  <c:v>103.58</c:v>
                </c:pt>
                <c:pt idx="53">
                  <c:v>105.01</c:v>
                </c:pt>
                <c:pt idx="54">
                  <c:v>137.41</c:v>
                </c:pt>
                <c:pt idx="55">
                  <c:v>127.83</c:v>
                </c:pt>
                <c:pt idx="56">
                  <c:v>97.31</c:v>
                </c:pt>
                <c:pt idx="57">
                  <c:v>123.44</c:v>
                </c:pt>
                <c:pt idx="58">
                  <c:v>145.02000000000001</c:v>
                </c:pt>
                <c:pt idx="59">
                  <c:v>175.03</c:v>
                </c:pt>
                <c:pt idx="60">
                  <c:v>206.14</c:v>
                </c:pt>
                <c:pt idx="61">
                  <c:v>270.17</c:v>
                </c:pt>
                <c:pt idx="62">
                  <c:v>376.42</c:v>
                </c:pt>
                <c:pt idx="63">
                  <c:v>351.57</c:v>
                </c:pt>
                <c:pt idx="64">
                  <c:v>384.37</c:v>
                </c:pt>
                <c:pt idx="65">
                  <c:v>337.84</c:v>
                </c:pt>
                <c:pt idx="66">
                  <c:v>282.32</c:v>
                </c:pt>
                <c:pt idx="67">
                  <c:v>191.65</c:v>
                </c:pt>
                <c:pt idx="68">
                  <c:v>160.35</c:v>
                </c:pt>
                <c:pt idx="69">
                  <c:v>136.65</c:v>
                </c:pt>
                <c:pt idx="70">
                  <c:v>135.97</c:v>
                </c:pt>
                <c:pt idx="71">
                  <c:v>135.66</c:v>
                </c:pt>
                <c:pt idx="72">
                  <c:v>113.82</c:v>
                </c:pt>
                <c:pt idx="73">
                  <c:v>64.03</c:v>
                </c:pt>
                <c:pt idx="74">
                  <c:v>53.15</c:v>
                </c:pt>
                <c:pt idx="75">
                  <c:v>45.98</c:v>
                </c:pt>
                <c:pt idx="76">
                  <c:v>38.68</c:v>
                </c:pt>
                <c:pt idx="77">
                  <c:v>34.68</c:v>
                </c:pt>
                <c:pt idx="78">
                  <c:v>31.72</c:v>
                </c:pt>
                <c:pt idx="79">
                  <c:v>29.25</c:v>
                </c:pt>
                <c:pt idx="80">
                  <c:v>29.53</c:v>
                </c:pt>
                <c:pt idx="81">
                  <c:v>27.62</c:v>
                </c:pt>
                <c:pt idx="82">
                  <c:v>27.99</c:v>
                </c:pt>
                <c:pt idx="83">
                  <c:v>31.42</c:v>
                </c:pt>
                <c:pt idx="84">
                  <c:v>29.71</c:v>
                </c:pt>
                <c:pt idx="85">
                  <c:v>30.51</c:v>
                </c:pt>
                <c:pt idx="86">
                  <c:v>27.5</c:v>
                </c:pt>
                <c:pt idx="87">
                  <c:v>26.21</c:v>
                </c:pt>
                <c:pt idx="88">
                  <c:v>29.98</c:v>
                </c:pt>
                <c:pt idx="89">
                  <c:v>34.369999999999997</c:v>
                </c:pt>
                <c:pt idx="90">
                  <c:v>42.17</c:v>
                </c:pt>
                <c:pt idx="91">
                  <c:v>37.270000000000003</c:v>
                </c:pt>
                <c:pt idx="92">
                  <c:v>40.04</c:v>
                </c:pt>
                <c:pt idx="93">
                  <c:v>35.79</c:v>
                </c:pt>
                <c:pt idx="94">
                  <c:v>50.36</c:v>
                </c:pt>
                <c:pt idx="95">
                  <c:v>54.94</c:v>
                </c:pt>
                <c:pt idx="96">
                  <c:v>41.16</c:v>
                </c:pt>
                <c:pt idx="97">
                  <c:v>42.65</c:v>
                </c:pt>
                <c:pt idx="98">
                  <c:v>39.76</c:v>
                </c:pt>
                <c:pt idx="99">
                  <c:v>47.388000487142854</c:v>
                </c:pt>
                <c:pt idx="100">
                  <c:v>78.087428497142852</c:v>
                </c:pt>
                <c:pt idx="101">
                  <c:v>69.764142717142846</c:v>
                </c:pt>
                <c:pt idx="102">
                  <c:v>71.14499991142857</c:v>
                </c:pt>
                <c:pt idx="103">
                  <c:v>83.196000228571435</c:v>
                </c:pt>
                <c:pt idx="104">
                  <c:v>69.087142857142865</c:v>
                </c:pt>
                <c:pt idx="105">
                  <c:v>96.785858138571413</c:v>
                </c:pt>
                <c:pt idx="106">
                  <c:v>158.17728531428571</c:v>
                </c:pt>
                <c:pt idx="107">
                  <c:v>167.02357267142858</c:v>
                </c:pt>
                <c:pt idx="108">
                  <c:v>113.19585745142855</c:v>
                </c:pt>
                <c:pt idx="109">
                  <c:v>88.535714287142852</c:v>
                </c:pt>
                <c:pt idx="110">
                  <c:v>99.37822619047617</c:v>
                </c:pt>
                <c:pt idx="111">
                  <c:v>140.28</c:v>
                </c:pt>
                <c:pt idx="112">
                  <c:v>102.99642836285715</c:v>
                </c:pt>
                <c:pt idx="113">
                  <c:v>175.90485927142853</c:v>
                </c:pt>
                <c:pt idx="114">
                  <c:v>169.64671761428571</c:v>
                </c:pt>
                <c:pt idx="115">
                  <c:v>198.22</c:v>
                </c:pt>
                <c:pt idx="116">
                  <c:v>312.6314304857143</c:v>
                </c:pt>
                <c:pt idx="117">
                  <c:v>235.31328691428573</c:v>
                </c:pt>
                <c:pt idx="118">
                  <c:v>294.1721409428572</c:v>
                </c:pt>
                <c:pt idx="119">
                  <c:v>149.18</c:v>
                </c:pt>
                <c:pt idx="120">
                  <c:v>104.35</c:v>
                </c:pt>
                <c:pt idx="121">
                  <c:v>78.038143701428567</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'12.Caudales'!$J$4:$K$125</c:f>
              <c:multiLvlStrCache>
                <c:ptCount val="12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lvl>
                <c:lvl>
                  <c:pt idx="0">
                    <c:v>2016</c:v>
                  </c:pt>
                  <c:pt idx="52">
                    <c:v>2017</c:v>
                  </c:pt>
                  <c:pt idx="104">
                    <c:v>2018</c:v>
                  </c:pt>
                </c:lvl>
              </c:multiLvlStrCache>
            </c:multiLvlStrRef>
          </c:cat>
          <c:val>
            <c:numRef>
              <c:f>'12.Caudales'!$O$4:$O$125</c:f>
              <c:numCache>
                <c:formatCode>0.0</c:formatCode>
                <c:ptCount val="122"/>
                <c:pt idx="0">
                  <c:v>16.37</c:v>
                </c:pt>
                <c:pt idx="1">
                  <c:v>15.9</c:v>
                </c:pt>
                <c:pt idx="2">
                  <c:v>29.21</c:v>
                </c:pt>
                <c:pt idx="3">
                  <c:v>20.7</c:v>
                </c:pt>
                <c:pt idx="4">
                  <c:v>74.02</c:v>
                </c:pt>
                <c:pt idx="5">
                  <c:v>78.08</c:v>
                </c:pt>
                <c:pt idx="6">
                  <c:v>41.34</c:v>
                </c:pt>
                <c:pt idx="7">
                  <c:v>96.52</c:v>
                </c:pt>
                <c:pt idx="8">
                  <c:v>150.104332</c:v>
                </c:pt>
                <c:pt idx="9">
                  <c:v>181.79733530680286</c:v>
                </c:pt>
                <c:pt idx="10">
                  <c:v>79.12</c:v>
                </c:pt>
                <c:pt idx="11">
                  <c:v>41.373285293579045</c:v>
                </c:pt>
                <c:pt idx="12">
                  <c:v>93.665000915527301</c:v>
                </c:pt>
                <c:pt idx="13">
                  <c:v>131.74585723876913</c:v>
                </c:pt>
                <c:pt idx="14">
                  <c:v>71.706143515450577</c:v>
                </c:pt>
                <c:pt idx="15">
                  <c:v>53.49</c:v>
                </c:pt>
                <c:pt idx="16">
                  <c:v>51.424428122384178</c:v>
                </c:pt>
                <c:pt idx="17">
                  <c:v>34.353571755545424</c:v>
                </c:pt>
                <c:pt idx="18">
                  <c:v>29.207143238612552</c:v>
                </c:pt>
                <c:pt idx="19">
                  <c:v>22.1</c:v>
                </c:pt>
                <c:pt idx="20">
                  <c:v>17.473428726196214</c:v>
                </c:pt>
                <c:pt idx="21">
                  <c:v>17.04</c:v>
                </c:pt>
                <c:pt idx="22">
                  <c:v>22.12</c:v>
                </c:pt>
                <c:pt idx="23">
                  <c:v>13.87</c:v>
                </c:pt>
                <c:pt idx="24">
                  <c:v>10.78285721</c:v>
                </c:pt>
                <c:pt idx="25">
                  <c:v>9.5958572120000003</c:v>
                </c:pt>
                <c:pt idx="26">
                  <c:v>7.8892858370000001</c:v>
                </c:pt>
                <c:pt idx="27">
                  <c:v>7.2334286140000001</c:v>
                </c:pt>
                <c:pt idx="28">
                  <c:v>6.729428564</c:v>
                </c:pt>
                <c:pt idx="29">
                  <c:v>5.6338571819999999</c:v>
                </c:pt>
                <c:pt idx="30">
                  <c:v>5.181999887738904</c:v>
                </c:pt>
                <c:pt idx="31">
                  <c:v>4.8032856669999999</c:v>
                </c:pt>
                <c:pt idx="32">
                  <c:v>4.3821428843906904</c:v>
                </c:pt>
                <c:pt idx="33">
                  <c:v>13.837000059999999</c:v>
                </c:pt>
                <c:pt idx="34">
                  <c:v>3.922857182</c:v>
                </c:pt>
                <c:pt idx="35">
                  <c:v>4.9800000000000004</c:v>
                </c:pt>
                <c:pt idx="36">
                  <c:v>4.92</c:v>
                </c:pt>
                <c:pt idx="37">
                  <c:v>4.6447142870000002</c:v>
                </c:pt>
                <c:pt idx="38">
                  <c:v>4.2699999999999996</c:v>
                </c:pt>
                <c:pt idx="39">
                  <c:v>5.3634285927142864</c:v>
                </c:pt>
                <c:pt idx="40">
                  <c:v>6.9682856968470812</c:v>
                </c:pt>
                <c:pt idx="41">
                  <c:v>11.100428648285714</c:v>
                </c:pt>
                <c:pt idx="42">
                  <c:v>6.01</c:v>
                </c:pt>
                <c:pt idx="43">
                  <c:v>4.57</c:v>
                </c:pt>
                <c:pt idx="44">
                  <c:v>4.83</c:v>
                </c:pt>
                <c:pt idx="45">
                  <c:v>3.73</c:v>
                </c:pt>
                <c:pt idx="46">
                  <c:v>2.5211429999999999</c:v>
                </c:pt>
                <c:pt idx="47">
                  <c:v>3.571428503285714</c:v>
                </c:pt>
                <c:pt idx="48">
                  <c:v>6.1</c:v>
                </c:pt>
                <c:pt idx="49">
                  <c:v>6.69</c:v>
                </c:pt>
                <c:pt idx="50">
                  <c:v>13.15</c:v>
                </c:pt>
                <c:pt idx="51">
                  <c:v>17.75700037857143</c:v>
                </c:pt>
                <c:pt idx="52">
                  <c:v>29.67</c:v>
                </c:pt>
                <c:pt idx="53">
                  <c:v>51.2</c:v>
                </c:pt>
                <c:pt idx="54">
                  <c:v>43.26</c:v>
                </c:pt>
                <c:pt idx="55">
                  <c:v>32.72</c:v>
                </c:pt>
                <c:pt idx="56">
                  <c:v>48.46</c:v>
                </c:pt>
                <c:pt idx="57">
                  <c:v>72.52</c:v>
                </c:pt>
                <c:pt idx="58">
                  <c:v>59.16</c:v>
                </c:pt>
                <c:pt idx="59">
                  <c:v>24.36</c:v>
                </c:pt>
                <c:pt idx="60">
                  <c:v>39.07</c:v>
                </c:pt>
                <c:pt idx="61">
                  <c:v>109.16</c:v>
                </c:pt>
                <c:pt idx="62">
                  <c:v>188.18</c:v>
                </c:pt>
                <c:pt idx="63">
                  <c:v>159.6</c:v>
                </c:pt>
                <c:pt idx="64">
                  <c:v>161.77000000000001</c:v>
                </c:pt>
                <c:pt idx="65">
                  <c:v>115.43</c:v>
                </c:pt>
                <c:pt idx="66">
                  <c:v>98.92</c:v>
                </c:pt>
                <c:pt idx="67">
                  <c:v>82.48</c:v>
                </c:pt>
                <c:pt idx="68">
                  <c:v>77.02</c:v>
                </c:pt>
                <c:pt idx="69">
                  <c:v>62.63</c:v>
                </c:pt>
                <c:pt idx="70">
                  <c:v>93.03</c:v>
                </c:pt>
                <c:pt idx="71">
                  <c:v>72.349999999999994</c:v>
                </c:pt>
                <c:pt idx="72">
                  <c:v>90.75</c:v>
                </c:pt>
                <c:pt idx="73">
                  <c:v>53.02</c:v>
                </c:pt>
                <c:pt idx="74">
                  <c:v>32.43</c:v>
                </c:pt>
                <c:pt idx="75">
                  <c:v>27.75</c:v>
                </c:pt>
                <c:pt idx="76">
                  <c:v>24.81</c:v>
                </c:pt>
                <c:pt idx="77">
                  <c:v>21.81</c:v>
                </c:pt>
                <c:pt idx="78">
                  <c:v>18.649999999999999</c:v>
                </c:pt>
                <c:pt idx="79">
                  <c:v>14.27</c:v>
                </c:pt>
                <c:pt idx="80">
                  <c:v>11.51</c:v>
                </c:pt>
                <c:pt idx="81">
                  <c:v>9.7200000000000006</c:v>
                </c:pt>
                <c:pt idx="82">
                  <c:v>8.09</c:v>
                </c:pt>
                <c:pt idx="83">
                  <c:v>7.62</c:v>
                </c:pt>
                <c:pt idx="84">
                  <c:v>9.5500000000000007</c:v>
                </c:pt>
                <c:pt idx="85">
                  <c:v>10.75</c:v>
                </c:pt>
                <c:pt idx="86">
                  <c:v>8.31</c:v>
                </c:pt>
                <c:pt idx="87">
                  <c:v>6.53</c:v>
                </c:pt>
                <c:pt idx="88">
                  <c:v>9.7799999999999994</c:v>
                </c:pt>
                <c:pt idx="89">
                  <c:v>7.47</c:v>
                </c:pt>
                <c:pt idx="90">
                  <c:v>7.49</c:v>
                </c:pt>
                <c:pt idx="91">
                  <c:v>15.47</c:v>
                </c:pt>
                <c:pt idx="92">
                  <c:v>18</c:v>
                </c:pt>
                <c:pt idx="93">
                  <c:v>12.74</c:v>
                </c:pt>
                <c:pt idx="94">
                  <c:v>30.75</c:v>
                </c:pt>
                <c:pt idx="95">
                  <c:v>23.58</c:v>
                </c:pt>
                <c:pt idx="96">
                  <c:v>11.77</c:v>
                </c:pt>
                <c:pt idx="97">
                  <c:v>9.33</c:v>
                </c:pt>
                <c:pt idx="98">
                  <c:v>8.19</c:v>
                </c:pt>
                <c:pt idx="99">
                  <c:v>19.661285946</c:v>
                </c:pt>
                <c:pt idx="100">
                  <c:v>19.181428364285715</c:v>
                </c:pt>
                <c:pt idx="101">
                  <c:v>23.7245715</c:v>
                </c:pt>
                <c:pt idx="102">
                  <c:v>26.158142907142857</c:v>
                </c:pt>
                <c:pt idx="103">
                  <c:v>21.776999882857144</c:v>
                </c:pt>
                <c:pt idx="104">
                  <c:v>15.747142857142856</c:v>
                </c:pt>
                <c:pt idx="105">
                  <c:v>37.6</c:v>
                </c:pt>
                <c:pt idx="106">
                  <c:v>101.26128550142856</c:v>
                </c:pt>
                <c:pt idx="107">
                  <c:v>77.354000085714276</c:v>
                </c:pt>
                <c:pt idx="108">
                  <c:v>30.667142595714285</c:v>
                </c:pt>
                <c:pt idx="109">
                  <c:v>32.444142750000005</c:v>
                </c:pt>
                <c:pt idx="110">
                  <c:v>30.338148809523812</c:v>
                </c:pt>
                <c:pt idx="111">
                  <c:v>62.97</c:v>
                </c:pt>
                <c:pt idx="112">
                  <c:v>31.244571685714288</c:v>
                </c:pt>
                <c:pt idx="113">
                  <c:v>36.038285662857142</c:v>
                </c:pt>
                <c:pt idx="114">
                  <c:v>25.076428275714282</c:v>
                </c:pt>
                <c:pt idx="115">
                  <c:v>24.63</c:v>
                </c:pt>
                <c:pt idx="116">
                  <c:v>38.701428550000003</c:v>
                </c:pt>
                <c:pt idx="117">
                  <c:v>94.596427907142839</c:v>
                </c:pt>
                <c:pt idx="118">
                  <c:v>92.07</c:v>
                </c:pt>
                <c:pt idx="119">
                  <c:v>45.4</c:v>
                </c:pt>
                <c:pt idx="120">
                  <c:v>41.47</c:v>
                </c:pt>
                <c:pt idx="121">
                  <c:v>65.800999782857133</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val>
            <c:numRef>
              <c:f>'12.Caudales'!$M$4:$M$125</c:f>
              <c:numCache>
                <c:formatCode>0.0</c:formatCode>
                <c:ptCount val="122"/>
                <c:pt idx="0">
                  <c:v>40.61</c:v>
                </c:pt>
                <c:pt idx="1">
                  <c:v>29.82</c:v>
                </c:pt>
                <c:pt idx="2">
                  <c:v>27.06</c:v>
                </c:pt>
                <c:pt idx="3">
                  <c:v>27.93</c:v>
                </c:pt>
                <c:pt idx="4">
                  <c:v>49.585999999999999</c:v>
                </c:pt>
                <c:pt idx="5">
                  <c:v>57</c:v>
                </c:pt>
                <c:pt idx="6">
                  <c:v>52.31</c:v>
                </c:pt>
                <c:pt idx="7">
                  <c:v>57.96</c:v>
                </c:pt>
                <c:pt idx="8">
                  <c:v>100.51885660000001</c:v>
                </c:pt>
                <c:pt idx="9">
                  <c:v>75.15657152448378</c:v>
                </c:pt>
                <c:pt idx="10">
                  <c:v>52.24</c:v>
                </c:pt>
                <c:pt idx="11">
                  <c:v>44.628571101597331</c:v>
                </c:pt>
                <c:pt idx="12">
                  <c:v>42.599998474121001</c:v>
                </c:pt>
                <c:pt idx="13">
                  <c:v>49.743000030517535</c:v>
                </c:pt>
                <c:pt idx="14">
                  <c:v>54.414285387311615</c:v>
                </c:pt>
                <c:pt idx="15">
                  <c:v>47.73</c:v>
                </c:pt>
                <c:pt idx="16">
                  <c:v>42.142857687813873</c:v>
                </c:pt>
                <c:pt idx="17">
                  <c:v>27.452428545270582</c:v>
                </c:pt>
                <c:pt idx="18">
                  <c:v>21.857142584664455</c:v>
                </c:pt>
                <c:pt idx="19">
                  <c:v>19.5</c:v>
                </c:pt>
                <c:pt idx="20">
                  <c:v>19.485713958740185</c:v>
                </c:pt>
                <c:pt idx="21">
                  <c:v>16.329999999999998</c:v>
                </c:pt>
                <c:pt idx="22">
                  <c:v>15.18</c:v>
                </c:pt>
                <c:pt idx="23">
                  <c:v>15.1</c:v>
                </c:pt>
                <c:pt idx="24">
                  <c:v>18.016999930000001</c:v>
                </c:pt>
                <c:pt idx="25">
                  <c:v>16.489714209999999</c:v>
                </c:pt>
                <c:pt idx="26">
                  <c:v>16.199999810000001</c:v>
                </c:pt>
                <c:pt idx="27">
                  <c:v>12.016285760000001</c:v>
                </c:pt>
                <c:pt idx="28">
                  <c:v>10.423571450000001</c:v>
                </c:pt>
                <c:pt idx="29">
                  <c:v>10.043285640000001</c:v>
                </c:pt>
                <c:pt idx="30">
                  <c:v>10.086428642272944</c:v>
                </c:pt>
                <c:pt idx="31">
                  <c:v>12.08228561</c:v>
                </c:pt>
                <c:pt idx="32">
                  <c:v>11.874000004359614</c:v>
                </c:pt>
                <c:pt idx="33">
                  <c:v>10.842857090000001</c:v>
                </c:pt>
                <c:pt idx="34">
                  <c:v>10.48142842</c:v>
                </c:pt>
                <c:pt idx="35">
                  <c:v>11.85</c:v>
                </c:pt>
                <c:pt idx="36">
                  <c:v>12.08</c:v>
                </c:pt>
                <c:pt idx="37">
                  <c:v>11.88371427</c:v>
                </c:pt>
                <c:pt idx="38">
                  <c:v>13.06</c:v>
                </c:pt>
                <c:pt idx="39">
                  <c:v>15.945571764285715</c:v>
                </c:pt>
                <c:pt idx="40">
                  <c:v>15.848856789725129</c:v>
                </c:pt>
                <c:pt idx="41">
                  <c:v>15.549142972857144</c:v>
                </c:pt>
                <c:pt idx="42">
                  <c:v>13.17</c:v>
                </c:pt>
                <c:pt idx="43">
                  <c:v>13.18</c:v>
                </c:pt>
                <c:pt idx="44">
                  <c:v>13.49</c:v>
                </c:pt>
                <c:pt idx="45">
                  <c:v>15.4</c:v>
                </c:pt>
                <c:pt idx="46">
                  <c:v>16.408999999999999</c:v>
                </c:pt>
                <c:pt idx="47">
                  <c:v>16.328857422857144</c:v>
                </c:pt>
                <c:pt idx="48">
                  <c:v>20.236285890000001</c:v>
                </c:pt>
                <c:pt idx="49">
                  <c:v>19.809999999999999</c:v>
                </c:pt>
                <c:pt idx="50">
                  <c:v>21.91</c:v>
                </c:pt>
                <c:pt idx="51">
                  <c:v>22</c:v>
                </c:pt>
                <c:pt idx="52">
                  <c:v>41.55</c:v>
                </c:pt>
                <c:pt idx="53">
                  <c:v>39.6</c:v>
                </c:pt>
                <c:pt idx="54">
                  <c:v>73.650000000000006</c:v>
                </c:pt>
                <c:pt idx="55">
                  <c:v>65.03</c:v>
                </c:pt>
                <c:pt idx="56">
                  <c:v>56.95</c:v>
                </c:pt>
                <c:pt idx="57">
                  <c:v>61.87</c:v>
                </c:pt>
                <c:pt idx="58">
                  <c:v>77.569999999999993</c:v>
                </c:pt>
                <c:pt idx="59">
                  <c:v>86.94</c:v>
                </c:pt>
                <c:pt idx="60">
                  <c:v>85.13</c:v>
                </c:pt>
                <c:pt idx="61">
                  <c:v>84.78</c:v>
                </c:pt>
                <c:pt idx="62">
                  <c:v>84.78</c:v>
                </c:pt>
                <c:pt idx="63">
                  <c:v>106.16</c:v>
                </c:pt>
                <c:pt idx="64">
                  <c:v>101.71</c:v>
                </c:pt>
                <c:pt idx="65">
                  <c:v>83.1</c:v>
                </c:pt>
                <c:pt idx="66">
                  <c:v>61.23</c:v>
                </c:pt>
                <c:pt idx="67">
                  <c:v>49.8</c:v>
                </c:pt>
                <c:pt idx="68">
                  <c:v>40.21</c:v>
                </c:pt>
                <c:pt idx="69">
                  <c:v>43.46</c:v>
                </c:pt>
                <c:pt idx="70">
                  <c:v>35.65</c:v>
                </c:pt>
                <c:pt idx="71">
                  <c:v>26.22</c:v>
                </c:pt>
                <c:pt idx="72">
                  <c:v>27.95</c:v>
                </c:pt>
                <c:pt idx="73">
                  <c:v>32.409999999999997</c:v>
                </c:pt>
                <c:pt idx="74">
                  <c:v>28.93</c:v>
                </c:pt>
                <c:pt idx="75">
                  <c:v>26.59</c:v>
                </c:pt>
                <c:pt idx="76">
                  <c:v>23.61</c:v>
                </c:pt>
                <c:pt idx="77">
                  <c:v>24.94</c:v>
                </c:pt>
                <c:pt idx="78">
                  <c:v>25.54</c:v>
                </c:pt>
                <c:pt idx="79">
                  <c:v>23.56</c:v>
                </c:pt>
                <c:pt idx="80">
                  <c:v>22.4</c:v>
                </c:pt>
                <c:pt idx="81">
                  <c:v>21.29</c:v>
                </c:pt>
                <c:pt idx="82">
                  <c:v>19.34</c:v>
                </c:pt>
                <c:pt idx="83">
                  <c:v>19.649999999999999</c:v>
                </c:pt>
                <c:pt idx="84">
                  <c:v>18.420000000000002</c:v>
                </c:pt>
                <c:pt idx="85">
                  <c:v>17.170000000000002</c:v>
                </c:pt>
                <c:pt idx="86">
                  <c:v>17.47</c:v>
                </c:pt>
                <c:pt idx="87">
                  <c:v>13.42</c:v>
                </c:pt>
                <c:pt idx="88">
                  <c:v>11.2</c:v>
                </c:pt>
                <c:pt idx="89">
                  <c:v>11</c:v>
                </c:pt>
                <c:pt idx="90">
                  <c:v>11.14</c:v>
                </c:pt>
                <c:pt idx="91">
                  <c:v>12.8</c:v>
                </c:pt>
                <c:pt idx="92">
                  <c:v>14.41</c:v>
                </c:pt>
                <c:pt idx="93">
                  <c:v>15.87</c:v>
                </c:pt>
                <c:pt idx="94">
                  <c:v>19.61</c:v>
                </c:pt>
                <c:pt idx="95">
                  <c:v>21.85</c:v>
                </c:pt>
                <c:pt idx="96">
                  <c:v>16.79</c:v>
                </c:pt>
                <c:pt idx="97">
                  <c:v>16.010000000000002</c:v>
                </c:pt>
                <c:pt idx="98">
                  <c:v>14.72</c:v>
                </c:pt>
                <c:pt idx="99">
                  <c:v>18.932000297142856</c:v>
                </c:pt>
                <c:pt idx="100">
                  <c:v>28.48371397</c:v>
                </c:pt>
                <c:pt idx="101">
                  <c:v>32.583286012857144</c:v>
                </c:pt>
                <c:pt idx="102">
                  <c:v>34.501856668571428</c:v>
                </c:pt>
                <c:pt idx="103">
                  <c:v>27.781857355714287</c:v>
                </c:pt>
                <c:pt idx="104">
                  <c:v>29.44</c:v>
                </c:pt>
                <c:pt idx="105">
                  <c:v>42.880857194285717</c:v>
                </c:pt>
                <c:pt idx="106">
                  <c:v>74.002572194285705</c:v>
                </c:pt>
                <c:pt idx="107">
                  <c:v>77.812570845714291</c:v>
                </c:pt>
                <c:pt idx="108">
                  <c:v>61.531714848571433</c:v>
                </c:pt>
                <c:pt idx="109">
                  <c:v>54.024142672857138</c:v>
                </c:pt>
                <c:pt idx="110">
                  <c:v>59.271427155714285</c:v>
                </c:pt>
                <c:pt idx="111">
                  <c:v>78.025571005714284</c:v>
                </c:pt>
                <c:pt idx="112">
                  <c:v>61.11871501571428</c:v>
                </c:pt>
                <c:pt idx="113">
                  <c:v>84.500714981428573</c:v>
                </c:pt>
                <c:pt idx="114">
                  <c:v>83.643855504285725</c:v>
                </c:pt>
                <c:pt idx="115">
                  <c:v>98.99</c:v>
                </c:pt>
                <c:pt idx="116">
                  <c:v>106.64928652857144</c:v>
                </c:pt>
                <c:pt idx="117">
                  <c:v>86.488428389999996</c:v>
                </c:pt>
                <c:pt idx="118">
                  <c:v>88.217001778571429</c:v>
                </c:pt>
                <c:pt idx="119">
                  <c:v>65.84</c:v>
                </c:pt>
                <c:pt idx="120">
                  <c:v>51.88</c:v>
                </c:pt>
                <c:pt idx="121">
                  <c:v>49.672285897142899</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0917390718557145"/>
              <c:y val="0.95220372705602407"/>
            </c:manualLayout>
          </c:layout>
          <c:overlay val="0"/>
        </c:title>
        <c:numFmt formatCode="General" sourceLinked="1"/>
        <c:majorTickMark val="out"/>
        <c:minorTickMark val="none"/>
        <c:tickLblPos val="nextTo"/>
        <c:crossAx val="351131904"/>
        <c:crosses val="autoZero"/>
        <c:auto val="1"/>
        <c:lblAlgn val="ctr"/>
        <c:lblOffset val="100"/>
        <c:tickLblSkip val="4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'13.Caudales'!$N$4:$O$125</c:f>
              <c:multiLvlStrCache>
                <c:ptCount val="12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lvl>
                <c:lvl>
                  <c:pt idx="0">
                    <c:v>2016</c:v>
                  </c:pt>
                  <c:pt idx="52">
                    <c:v>2017</c:v>
                  </c:pt>
                  <c:pt idx="104">
                    <c:v>2018</c:v>
                  </c:pt>
                </c:lvl>
              </c:multiLvlStrCache>
            </c:multiLvlStrRef>
          </c:cat>
          <c:val>
            <c:numRef>
              <c:f>'13.Caudales'!$Q$4:$Q$125</c:f>
              <c:numCache>
                <c:formatCode>0.0</c:formatCode>
                <c:ptCount val="122"/>
                <c:pt idx="0">
                  <c:v>12.12</c:v>
                </c:pt>
                <c:pt idx="1">
                  <c:v>10.45</c:v>
                </c:pt>
                <c:pt idx="2">
                  <c:v>10.396000000000001</c:v>
                </c:pt>
                <c:pt idx="3">
                  <c:v>10.32</c:v>
                </c:pt>
                <c:pt idx="4">
                  <c:v>14.34</c:v>
                </c:pt>
                <c:pt idx="5">
                  <c:v>14.98</c:v>
                </c:pt>
                <c:pt idx="6">
                  <c:v>15.86</c:v>
                </c:pt>
                <c:pt idx="7">
                  <c:v>22.12</c:v>
                </c:pt>
                <c:pt idx="8">
                  <c:v>31.986428669999999</c:v>
                </c:pt>
                <c:pt idx="9">
                  <c:v>21.817856924874398</c:v>
                </c:pt>
                <c:pt idx="10">
                  <c:v>21.645000185285259</c:v>
                </c:pt>
                <c:pt idx="11">
                  <c:v>15.247000013078916</c:v>
                </c:pt>
                <c:pt idx="12">
                  <c:v>17.322999954223601</c:v>
                </c:pt>
                <c:pt idx="13">
                  <c:v>14.828142711094401</c:v>
                </c:pt>
                <c:pt idx="14">
                  <c:v>15.017142977033298</c:v>
                </c:pt>
                <c:pt idx="15">
                  <c:v>13.98</c:v>
                </c:pt>
                <c:pt idx="16">
                  <c:v>12.944285669999999</c:v>
                </c:pt>
                <c:pt idx="17">
                  <c:v>10.727142742701899</c:v>
                </c:pt>
                <c:pt idx="18">
                  <c:v>9.4342857088361427</c:v>
                </c:pt>
                <c:pt idx="19">
                  <c:v>9.1999999999999993</c:v>
                </c:pt>
                <c:pt idx="20">
                  <c:v>9.0128573008945967</c:v>
                </c:pt>
                <c:pt idx="21">
                  <c:v>7.95</c:v>
                </c:pt>
                <c:pt idx="22">
                  <c:v>7.6</c:v>
                </c:pt>
                <c:pt idx="23">
                  <c:v>9.57</c:v>
                </c:pt>
                <c:pt idx="24">
                  <c:v>9.0548571179999993</c:v>
                </c:pt>
                <c:pt idx="25">
                  <c:v>8.8612857550000008</c:v>
                </c:pt>
                <c:pt idx="26">
                  <c:v>8.3185714990000008</c:v>
                </c:pt>
                <c:pt idx="27">
                  <c:v>7.789714268</c:v>
                </c:pt>
                <c:pt idx="28">
                  <c:v>7.1615714349999999</c:v>
                </c:pt>
                <c:pt idx="29">
                  <c:v>6.6714285440000003</c:v>
                </c:pt>
                <c:pt idx="30">
                  <c:v>6.2387143543788328</c:v>
                </c:pt>
                <c:pt idx="31">
                  <c:v>6.1697142459999998</c:v>
                </c:pt>
                <c:pt idx="32">
                  <c:v>6.3728570940000004</c:v>
                </c:pt>
                <c:pt idx="33">
                  <c:v>6.1195714130000001</c:v>
                </c:pt>
                <c:pt idx="34">
                  <c:v>5.9814286230000002</c:v>
                </c:pt>
                <c:pt idx="35">
                  <c:v>6.03</c:v>
                </c:pt>
                <c:pt idx="36">
                  <c:v>6.03</c:v>
                </c:pt>
                <c:pt idx="37">
                  <c:v>6.5951428410000004</c:v>
                </c:pt>
                <c:pt idx="38">
                  <c:v>6.84</c:v>
                </c:pt>
                <c:pt idx="39">
                  <c:v>7.6862857681428576</c:v>
                </c:pt>
                <c:pt idx="40">
                  <c:v>7.1000001089913463</c:v>
                </c:pt>
                <c:pt idx="41">
                  <c:v>6.7610000201428573</c:v>
                </c:pt>
                <c:pt idx="42">
                  <c:v>6.53</c:v>
                </c:pt>
                <c:pt idx="43">
                  <c:v>7.58</c:v>
                </c:pt>
                <c:pt idx="44">
                  <c:v>6.95</c:v>
                </c:pt>
                <c:pt idx="45">
                  <c:v>6.8571429249999998</c:v>
                </c:pt>
                <c:pt idx="46">
                  <c:v>6.9940000260000001</c:v>
                </c:pt>
                <c:pt idx="47">
                  <c:v>7.1124285970000001</c:v>
                </c:pt>
                <c:pt idx="48">
                  <c:v>8.43</c:v>
                </c:pt>
                <c:pt idx="49">
                  <c:v>8.32</c:v>
                </c:pt>
                <c:pt idx="50">
                  <c:v>9.08</c:v>
                </c:pt>
                <c:pt idx="51">
                  <c:v>8.42</c:v>
                </c:pt>
                <c:pt idx="52">
                  <c:v>13.85</c:v>
                </c:pt>
                <c:pt idx="53">
                  <c:v>14.96</c:v>
                </c:pt>
                <c:pt idx="54">
                  <c:v>28.98</c:v>
                </c:pt>
                <c:pt idx="55">
                  <c:v>30.46</c:v>
                </c:pt>
                <c:pt idx="56">
                  <c:v>21.36</c:v>
                </c:pt>
                <c:pt idx="57">
                  <c:v>25.42</c:v>
                </c:pt>
                <c:pt idx="58">
                  <c:v>35.43</c:v>
                </c:pt>
                <c:pt idx="59">
                  <c:v>30.45</c:v>
                </c:pt>
                <c:pt idx="60">
                  <c:v>37.72</c:v>
                </c:pt>
                <c:pt idx="61">
                  <c:v>36.46</c:v>
                </c:pt>
                <c:pt idx="62">
                  <c:v>35.590000000000003</c:v>
                </c:pt>
                <c:pt idx="63">
                  <c:v>37.82</c:v>
                </c:pt>
                <c:pt idx="64">
                  <c:v>35.93</c:v>
                </c:pt>
                <c:pt idx="65">
                  <c:v>42.9</c:v>
                </c:pt>
                <c:pt idx="66">
                  <c:v>31.19</c:v>
                </c:pt>
                <c:pt idx="67">
                  <c:v>22.8</c:v>
                </c:pt>
                <c:pt idx="68">
                  <c:v>20.18</c:v>
                </c:pt>
                <c:pt idx="69">
                  <c:v>19.84</c:v>
                </c:pt>
                <c:pt idx="70">
                  <c:v>21.4</c:v>
                </c:pt>
                <c:pt idx="71">
                  <c:v>17.23</c:v>
                </c:pt>
                <c:pt idx="72">
                  <c:v>16.09</c:v>
                </c:pt>
                <c:pt idx="73">
                  <c:v>15.1</c:v>
                </c:pt>
                <c:pt idx="74">
                  <c:v>14.28</c:v>
                </c:pt>
                <c:pt idx="75">
                  <c:v>13.3</c:v>
                </c:pt>
                <c:pt idx="76">
                  <c:v>12.63</c:v>
                </c:pt>
                <c:pt idx="77">
                  <c:v>11.92</c:v>
                </c:pt>
                <c:pt idx="78">
                  <c:v>11.92</c:v>
                </c:pt>
                <c:pt idx="79">
                  <c:v>11.04</c:v>
                </c:pt>
                <c:pt idx="80">
                  <c:v>10.27</c:v>
                </c:pt>
                <c:pt idx="81">
                  <c:v>9.4700000000000006</c:v>
                </c:pt>
                <c:pt idx="82">
                  <c:v>9.0500000000000007</c:v>
                </c:pt>
                <c:pt idx="83">
                  <c:v>9.9</c:v>
                </c:pt>
                <c:pt idx="84">
                  <c:v>9.17</c:v>
                </c:pt>
                <c:pt idx="85">
                  <c:v>7.78</c:v>
                </c:pt>
                <c:pt idx="86">
                  <c:v>7.73</c:v>
                </c:pt>
                <c:pt idx="87">
                  <c:v>7.1</c:v>
                </c:pt>
                <c:pt idx="88">
                  <c:v>7.53</c:v>
                </c:pt>
                <c:pt idx="89">
                  <c:v>9.73</c:v>
                </c:pt>
                <c:pt idx="90">
                  <c:v>7.21</c:v>
                </c:pt>
                <c:pt idx="91">
                  <c:v>6.89</c:v>
                </c:pt>
                <c:pt idx="92">
                  <c:v>7.51</c:v>
                </c:pt>
                <c:pt idx="93">
                  <c:v>7.92</c:v>
                </c:pt>
                <c:pt idx="94">
                  <c:v>9.16</c:v>
                </c:pt>
                <c:pt idx="95">
                  <c:v>8.81</c:v>
                </c:pt>
                <c:pt idx="96">
                  <c:v>8.3800000000000008</c:v>
                </c:pt>
                <c:pt idx="97">
                  <c:v>7.55</c:v>
                </c:pt>
                <c:pt idx="98">
                  <c:v>7.39</c:v>
                </c:pt>
                <c:pt idx="99">
                  <c:v>7.9678571564285718</c:v>
                </c:pt>
                <c:pt idx="100">
                  <c:v>8.4875713758571436</c:v>
                </c:pt>
                <c:pt idx="101">
                  <c:v>8.7257142747142868</c:v>
                </c:pt>
                <c:pt idx="102">
                  <c:v>9.7215715127142861</c:v>
                </c:pt>
                <c:pt idx="103">
                  <c:v>10.323285784571427</c:v>
                </c:pt>
                <c:pt idx="104">
                  <c:v>10.34</c:v>
                </c:pt>
                <c:pt idx="105">
                  <c:v>13.730999947142859</c:v>
                </c:pt>
                <c:pt idx="106">
                  <c:v>15.983285902857142</c:v>
                </c:pt>
                <c:pt idx="107">
                  <c:v>21.988571574285714</c:v>
                </c:pt>
                <c:pt idx="108">
                  <c:v>17.729000225714284</c:v>
                </c:pt>
                <c:pt idx="109">
                  <c:v>13.582571572857143</c:v>
                </c:pt>
                <c:pt idx="110">
                  <c:v>14.722571237142859</c:v>
                </c:pt>
                <c:pt idx="111">
                  <c:v>18.48</c:v>
                </c:pt>
                <c:pt idx="112">
                  <c:v>21.652428627142854</c:v>
                </c:pt>
                <c:pt idx="113">
                  <c:v>30.272714344285713</c:v>
                </c:pt>
                <c:pt idx="114">
                  <c:v>28.071857179999999</c:v>
                </c:pt>
                <c:pt idx="115">
                  <c:v>29.90999984714286</c:v>
                </c:pt>
                <c:pt idx="116">
                  <c:v>28.360142844285718</c:v>
                </c:pt>
                <c:pt idx="117">
                  <c:v>23.830285752857144</c:v>
                </c:pt>
                <c:pt idx="118">
                  <c:v>27</c:v>
                </c:pt>
                <c:pt idx="119">
                  <c:v>19.899999999999999</c:v>
                </c:pt>
                <c:pt idx="120">
                  <c:v>19.14</c:v>
                </c:pt>
                <c:pt idx="121">
                  <c:v>19.703571455714286</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chemeClr val="accent5">
                <a:lumMod val="75000"/>
              </a:schemeClr>
            </a:solidFill>
            <a:ln w="25400">
              <a:noFill/>
            </a:ln>
          </c:spPr>
          <c:cat>
            <c:multiLvlStrRef>
              <c:f>'13.Caudales'!$N$4:$O$125</c:f>
              <c:multiLvlStrCache>
                <c:ptCount val="12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lvl>
                <c:lvl>
                  <c:pt idx="0">
                    <c:v>2016</c:v>
                  </c:pt>
                  <c:pt idx="52">
                    <c:v>2017</c:v>
                  </c:pt>
                  <c:pt idx="104">
                    <c:v>2018</c:v>
                  </c:pt>
                </c:lvl>
              </c:multiLvlStrCache>
            </c:multiLvlStrRef>
          </c:cat>
          <c:val>
            <c:numRef>
              <c:f>'13.Caudales'!$R$4:$R$125</c:f>
              <c:numCache>
                <c:formatCode>0.0</c:formatCode>
                <c:ptCount val="122"/>
                <c:pt idx="0">
                  <c:v>8.33</c:v>
                </c:pt>
                <c:pt idx="1">
                  <c:v>5.38</c:v>
                </c:pt>
                <c:pt idx="2">
                  <c:v>5.29</c:v>
                </c:pt>
                <c:pt idx="3">
                  <c:v>6.0640000000000001</c:v>
                </c:pt>
                <c:pt idx="4">
                  <c:v>9.59</c:v>
                </c:pt>
                <c:pt idx="5">
                  <c:v>12.82</c:v>
                </c:pt>
                <c:pt idx="6">
                  <c:v>12.43</c:v>
                </c:pt>
                <c:pt idx="7">
                  <c:v>19.3</c:v>
                </c:pt>
                <c:pt idx="8">
                  <c:v>19.514333090000001</c:v>
                </c:pt>
                <c:pt idx="9">
                  <c:v>20.1870002746582</c:v>
                </c:pt>
                <c:pt idx="10">
                  <c:v>18.452999932425314</c:v>
                </c:pt>
                <c:pt idx="11">
                  <c:v>12.7100000381469</c:v>
                </c:pt>
                <c:pt idx="12">
                  <c:v>15.171999931335399</c:v>
                </c:pt>
                <c:pt idx="13">
                  <c:v>13.217000007629398</c:v>
                </c:pt>
                <c:pt idx="14">
                  <c:v>11.291000366210898</c:v>
                </c:pt>
                <c:pt idx="15">
                  <c:v>11.63</c:v>
                </c:pt>
                <c:pt idx="16">
                  <c:v>10.010000228881799</c:v>
                </c:pt>
                <c:pt idx="17">
                  <c:v>6.3112858363560251</c:v>
                </c:pt>
                <c:pt idx="18">
                  <c:v>7.4910001754760689</c:v>
                </c:pt>
                <c:pt idx="19">
                  <c:v>6.8</c:v>
                </c:pt>
                <c:pt idx="20">
                  <c:v>5.4099998474121005</c:v>
                </c:pt>
                <c:pt idx="21">
                  <c:v>3.82</c:v>
                </c:pt>
                <c:pt idx="22">
                  <c:v>3.22</c:v>
                </c:pt>
                <c:pt idx="23">
                  <c:v>3.42</c:v>
                </c:pt>
                <c:pt idx="24">
                  <c:v>3.2130000590000001</c:v>
                </c:pt>
                <c:pt idx="25">
                  <c:v>3.5</c:v>
                </c:pt>
                <c:pt idx="26">
                  <c:v>4.0900001530000001</c:v>
                </c:pt>
                <c:pt idx="27">
                  <c:v>3.119999886</c:v>
                </c:pt>
                <c:pt idx="28">
                  <c:v>3.4249999519999998</c:v>
                </c:pt>
                <c:pt idx="29">
                  <c:v>2.8789999489999998</c:v>
                </c:pt>
                <c:pt idx="30">
                  <c:v>2.9382856232779297</c:v>
                </c:pt>
                <c:pt idx="31">
                  <c:v>3.2030000689999998</c:v>
                </c:pt>
                <c:pt idx="32">
                  <c:v>2.841857144</c:v>
                </c:pt>
                <c:pt idx="33">
                  <c:v>3.058000088</c:v>
                </c:pt>
                <c:pt idx="34">
                  <c:v>1.506999969</c:v>
                </c:pt>
                <c:pt idx="35">
                  <c:v>2.8</c:v>
                </c:pt>
                <c:pt idx="36">
                  <c:v>2.37</c:v>
                </c:pt>
                <c:pt idx="37">
                  <c:v>3.0060000420000001</c:v>
                </c:pt>
                <c:pt idx="38">
                  <c:v>3.32</c:v>
                </c:pt>
                <c:pt idx="39">
                  <c:v>3.1560000009999998</c:v>
                </c:pt>
                <c:pt idx="40">
                  <c:v>2.9028571673801928</c:v>
                </c:pt>
                <c:pt idx="41">
                  <c:v>2.8671428815714286</c:v>
                </c:pt>
                <c:pt idx="42">
                  <c:v>2.37</c:v>
                </c:pt>
                <c:pt idx="43">
                  <c:v>4.8899999999999997</c:v>
                </c:pt>
                <c:pt idx="44">
                  <c:v>1.61</c:v>
                </c:pt>
                <c:pt idx="45">
                  <c:v>1.6428571599999999</c:v>
                </c:pt>
                <c:pt idx="46">
                  <c:v>1.5142857009999999</c:v>
                </c:pt>
                <c:pt idx="47">
                  <c:v>1.4714285645714287</c:v>
                </c:pt>
                <c:pt idx="48">
                  <c:v>2.2400000000000002</c:v>
                </c:pt>
                <c:pt idx="49">
                  <c:v>2.19</c:v>
                </c:pt>
                <c:pt idx="50">
                  <c:v>3.71</c:v>
                </c:pt>
                <c:pt idx="51">
                  <c:v>3.57</c:v>
                </c:pt>
                <c:pt idx="52">
                  <c:v>11.3</c:v>
                </c:pt>
                <c:pt idx="53">
                  <c:v>15.4</c:v>
                </c:pt>
                <c:pt idx="54">
                  <c:v>21.94</c:v>
                </c:pt>
                <c:pt idx="55">
                  <c:v>23.91</c:v>
                </c:pt>
                <c:pt idx="56">
                  <c:v>18.07</c:v>
                </c:pt>
                <c:pt idx="57">
                  <c:v>21.42</c:v>
                </c:pt>
                <c:pt idx="58">
                  <c:v>25.12</c:v>
                </c:pt>
                <c:pt idx="59">
                  <c:v>23.33</c:v>
                </c:pt>
                <c:pt idx="60">
                  <c:v>24.83</c:v>
                </c:pt>
                <c:pt idx="61">
                  <c:v>24.95</c:v>
                </c:pt>
                <c:pt idx="62">
                  <c:v>26.89</c:v>
                </c:pt>
                <c:pt idx="63">
                  <c:v>20.6</c:v>
                </c:pt>
                <c:pt idx="64">
                  <c:v>24.02</c:v>
                </c:pt>
                <c:pt idx="65">
                  <c:v>17.87</c:v>
                </c:pt>
                <c:pt idx="66">
                  <c:v>17.87</c:v>
                </c:pt>
                <c:pt idx="67">
                  <c:v>11.46</c:v>
                </c:pt>
                <c:pt idx="68">
                  <c:v>11.46</c:v>
                </c:pt>
                <c:pt idx="69">
                  <c:v>10.36</c:v>
                </c:pt>
                <c:pt idx="70">
                  <c:v>9.25</c:v>
                </c:pt>
                <c:pt idx="71">
                  <c:v>6.32</c:v>
                </c:pt>
                <c:pt idx="72">
                  <c:v>6.32</c:v>
                </c:pt>
                <c:pt idx="73">
                  <c:v>5.59</c:v>
                </c:pt>
                <c:pt idx="74">
                  <c:v>4.8499999999999996</c:v>
                </c:pt>
                <c:pt idx="75">
                  <c:v>4.8499999999999996</c:v>
                </c:pt>
                <c:pt idx="76">
                  <c:v>3.77</c:v>
                </c:pt>
                <c:pt idx="77">
                  <c:v>3.77</c:v>
                </c:pt>
                <c:pt idx="78">
                  <c:v>3.91</c:v>
                </c:pt>
                <c:pt idx="79">
                  <c:v>3.91</c:v>
                </c:pt>
                <c:pt idx="80">
                  <c:v>3.42</c:v>
                </c:pt>
                <c:pt idx="81">
                  <c:v>3.42</c:v>
                </c:pt>
                <c:pt idx="82">
                  <c:v>3.3</c:v>
                </c:pt>
                <c:pt idx="83">
                  <c:v>2.68</c:v>
                </c:pt>
                <c:pt idx="84">
                  <c:v>2.4300000000000002</c:v>
                </c:pt>
                <c:pt idx="85">
                  <c:v>2.61</c:v>
                </c:pt>
                <c:pt idx="86">
                  <c:v>3.07</c:v>
                </c:pt>
                <c:pt idx="87">
                  <c:v>3.57</c:v>
                </c:pt>
                <c:pt idx="88">
                  <c:v>5.04</c:v>
                </c:pt>
                <c:pt idx="89">
                  <c:v>3.75</c:v>
                </c:pt>
                <c:pt idx="90">
                  <c:v>3.83</c:v>
                </c:pt>
                <c:pt idx="91">
                  <c:v>3.2</c:v>
                </c:pt>
                <c:pt idx="92">
                  <c:v>3.26</c:v>
                </c:pt>
                <c:pt idx="93">
                  <c:v>3.59</c:v>
                </c:pt>
                <c:pt idx="94">
                  <c:v>3.99</c:v>
                </c:pt>
                <c:pt idx="95">
                  <c:v>5.0199999999999996</c:v>
                </c:pt>
                <c:pt idx="96">
                  <c:v>4.2</c:v>
                </c:pt>
                <c:pt idx="97">
                  <c:v>3.7</c:v>
                </c:pt>
                <c:pt idx="98">
                  <c:v>3.85</c:v>
                </c:pt>
                <c:pt idx="99">
                  <c:v>3.558142900428571</c:v>
                </c:pt>
                <c:pt idx="100">
                  <c:v>3.2600000074285718</c:v>
                </c:pt>
                <c:pt idx="101">
                  <c:v>3.4628571441428577</c:v>
                </c:pt>
                <c:pt idx="102">
                  <c:v>4.2539999484285715</c:v>
                </c:pt>
                <c:pt idx="103">
                  <c:v>4.6457142829999993</c:v>
                </c:pt>
                <c:pt idx="104">
                  <c:v>4.4628571428571426</c:v>
                </c:pt>
                <c:pt idx="105">
                  <c:v>3.5944285392857145</c:v>
                </c:pt>
                <c:pt idx="106">
                  <c:v>8.3045714242857152</c:v>
                </c:pt>
                <c:pt idx="107">
                  <c:v>15.598142828000002</c:v>
                </c:pt>
                <c:pt idx="108">
                  <c:v>13.724571365714285</c:v>
                </c:pt>
                <c:pt idx="109">
                  <c:v>8.6634286477142854</c:v>
                </c:pt>
                <c:pt idx="110">
                  <c:v>11.071428435428571</c:v>
                </c:pt>
                <c:pt idx="111">
                  <c:v>14.97</c:v>
                </c:pt>
                <c:pt idx="112">
                  <c:v>14.185285431142857</c:v>
                </c:pt>
                <c:pt idx="113">
                  <c:v>17.434571538571429</c:v>
                </c:pt>
                <c:pt idx="114">
                  <c:v>17.048571724285715</c:v>
                </c:pt>
                <c:pt idx="115">
                  <c:v>21.62</c:v>
                </c:pt>
                <c:pt idx="116">
                  <c:v>17.439428465714283</c:v>
                </c:pt>
                <c:pt idx="117">
                  <c:v>12.833285604571429</c:v>
                </c:pt>
                <c:pt idx="118">
                  <c:v>15.571285655714286</c:v>
                </c:pt>
                <c:pt idx="119">
                  <c:v>12.83</c:v>
                </c:pt>
                <c:pt idx="120">
                  <c:v>13.52</c:v>
                </c:pt>
                <c:pt idx="121">
                  <c:v>14.166857039571427</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txPr>
          <a:bodyPr/>
          <a:lstStyle/>
          <a:p>
            <a:pPr>
              <a:defRPr b="1"/>
            </a:pPr>
            <a:endParaRPr lang="es-PE"/>
          </a:p>
        </c:txPr>
        <c:crossAx val="351281152"/>
        <c:crosses val="autoZero"/>
        <c:auto val="1"/>
        <c:lblAlgn val="ctr"/>
        <c:lblOffset val="100"/>
        <c:tickLblSkip val="4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517445072178465"/>
          <c:y val="0.18191753664452179"/>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62124993956389307"/>
        </c:manualLayout>
      </c:layout>
      <c:areaChart>
        <c:grouping val="standard"/>
        <c:varyColors val="0"/>
        <c:ser>
          <c:idx val="2"/>
          <c:order val="0"/>
          <c:tx>
            <c:strRef>
              <c:f>'13.Caudales'!$S$3</c:f>
              <c:strCache>
                <c:ptCount val="1"/>
                <c:pt idx="0">
                  <c:v>MANTARO</c:v>
                </c:pt>
              </c:strCache>
            </c:strRef>
          </c:tx>
          <c:spPr>
            <a:solidFill>
              <a:schemeClr val="accent5">
                <a:lumMod val="75000"/>
              </a:schemeClr>
            </a:solidFill>
          </c:spPr>
          <c:cat>
            <c:multiLvlStrRef>
              <c:f>'13.Caudales'!$N$4:$O$125</c:f>
              <c:multiLvlStrCache>
                <c:ptCount val="12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lvl>
                <c:lvl>
                  <c:pt idx="0">
                    <c:v>2016</c:v>
                  </c:pt>
                  <c:pt idx="52">
                    <c:v>2017</c:v>
                  </c:pt>
                  <c:pt idx="104">
                    <c:v>2018</c:v>
                  </c:pt>
                </c:lvl>
              </c:multiLvlStrCache>
            </c:multiLvlStrRef>
          </c:cat>
          <c:val>
            <c:numRef>
              <c:f>'13.Caudales'!$S$4:$S$125</c:f>
              <c:numCache>
                <c:formatCode>0.0</c:formatCode>
                <c:ptCount val="122"/>
                <c:pt idx="0">
                  <c:v>165.03200000000001</c:v>
                </c:pt>
                <c:pt idx="1">
                  <c:v>137.04</c:v>
                </c:pt>
                <c:pt idx="2">
                  <c:v>102.45</c:v>
                </c:pt>
                <c:pt idx="3">
                  <c:v>93.71</c:v>
                </c:pt>
                <c:pt idx="4">
                  <c:v>142.55000000000001</c:v>
                </c:pt>
                <c:pt idx="5">
                  <c:v>223.15</c:v>
                </c:pt>
                <c:pt idx="6">
                  <c:v>223.86</c:v>
                </c:pt>
                <c:pt idx="7">
                  <c:v>297.45999999999998</c:v>
                </c:pt>
                <c:pt idx="8">
                  <c:v>326.48699649999998</c:v>
                </c:pt>
                <c:pt idx="9">
                  <c:v>281.91442869999997</c:v>
                </c:pt>
                <c:pt idx="10">
                  <c:v>302.97000000000003</c:v>
                </c:pt>
                <c:pt idx="11">
                  <c:v>179.33771623883899</c:v>
                </c:pt>
                <c:pt idx="12">
                  <c:v>130.67500305175699</c:v>
                </c:pt>
                <c:pt idx="13">
                  <c:v>121.81457192557171</c:v>
                </c:pt>
                <c:pt idx="14">
                  <c:v>184.69442967006074</c:v>
                </c:pt>
                <c:pt idx="15">
                  <c:v>164.52</c:v>
                </c:pt>
                <c:pt idx="16">
                  <c:v>152.88357325962556</c:v>
                </c:pt>
                <c:pt idx="17">
                  <c:v>98.225285121372636</c:v>
                </c:pt>
                <c:pt idx="18">
                  <c:v>86.615142822265582</c:v>
                </c:pt>
                <c:pt idx="19">
                  <c:v>78.2</c:v>
                </c:pt>
                <c:pt idx="20">
                  <c:v>73.744141714913454</c:v>
                </c:pt>
                <c:pt idx="21">
                  <c:v>66.739999999999995</c:v>
                </c:pt>
                <c:pt idx="22">
                  <c:v>59.4</c:v>
                </c:pt>
                <c:pt idx="23">
                  <c:v>54.3</c:v>
                </c:pt>
                <c:pt idx="24">
                  <c:v>56.674428669999998</c:v>
                </c:pt>
                <c:pt idx="25">
                  <c:v>68.087428501674069</c:v>
                </c:pt>
                <c:pt idx="26">
                  <c:v>60.110428400000004</c:v>
                </c:pt>
                <c:pt idx="27">
                  <c:v>60.986856189999997</c:v>
                </c:pt>
                <c:pt idx="28">
                  <c:v>56.540714260000001</c:v>
                </c:pt>
                <c:pt idx="29">
                  <c:v>65.491856709999993</c:v>
                </c:pt>
                <c:pt idx="30">
                  <c:v>65.491856711251344</c:v>
                </c:pt>
                <c:pt idx="31">
                  <c:v>49.942714418571427</c:v>
                </c:pt>
                <c:pt idx="32">
                  <c:v>57.183571406773112</c:v>
                </c:pt>
                <c:pt idx="33">
                  <c:v>49.366142269999997</c:v>
                </c:pt>
                <c:pt idx="34">
                  <c:v>56.934856959999998</c:v>
                </c:pt>
                <c:pt idx="35">
                  <c:v>48.51</c:v>
                </c:pt>
                <c:pt idx="36">
                  <c:v>43.99</c:v>
                </c:pt>
                <c:pt idx="37">
                  <c:v>47.220570700000003</c:v>
                </c:pt>
                <c:pt idx="38">
                  <c:v>63.05</c:v>
                </c:pt>
                <c:pt idx="39">
                  <c:v>61.54114314571428</c:v>
                </c:pt>
                <c:pt idx="40">
                  <c:v>58.117285592215353</c:v>
                </c:pt>
                <c:pt idx="41">
                  <c:v>58.888142721428572</c:v>
                </c:pt>
                <c:pt idx="42">
                  <c:v>69.2</c:v>
                </c:pt>
                <c:pt idx="43">
                  <c:v>51.59</c:v>
                </c:pt>
                <c:pt idx="44">
                  <c:v>72.92</c:v>
                </c:pt>
                <c:pt idx="45">
                  <c:v>58.4</c:v>
                </c:pt>
                <c:pt idx="46">
                  <c:v>52.554856440000002</c:v>
                </c:pt>
                <c:pt idx="47">
                  <c:v>53.429429191428575</c:v>
                </c:pt>
                <c:pt idx="48">
                  <c:v>61.07</c:v>
                </c:pt>
                <c:pt idx="49">
                  <c:v>78.02</c:v>
                </c:pt>
                <c:pt idx="50">
                  <c:v>67.64</c:v>
                </c:pt>
                <c:pt idx="51">
                  <c:v>56.187571937142856</c:v>
                </c:pt>
                <c:pt idx="52">
                  <c:v>104.02</c:v>
                </c:pt>
                <c:pt idx="53">
                  <c:v>143.97</c:v>
                </c:pt>
                <c:pt idx="54">
                  <c:v>355.12</c:v>
                </c:pt>
                <c:pt idx="55">
                  <c:v>519.4</c:v>
                </c:pt>
                <c:pt idx="56">
                  <c:v>330.78</c:v>
                </c:pt>
                <c:pt idx="57">
                  <c:v>200.58</c:v>
                </c:pt>
                <c:pt idx="58">
                  <c:v>393.69</c:v>
                </c:pt>
                <c:pt idx="59">
                  <c:v>345.37</c:v>
                </c:pt>
                <c:pt idx="60">
                  <c:v>567.22</c:v>
                </c:pt>
                <c:pt idx="61">
                  <c:v>467.04</c:v>
                </c:pt>
                <c:pt idx="62">
                  <c:v>448.3</c:v>
                </c:pt>
                <c:pt idx="63">
                  <c:v>350.87</c:v>
                </c:pt>
                <c:pt idx="64">
                  <c:v>380.48</c:v>
                </c:pt>
                <c:pt idx="65">
                  <c:v>427.28</c:v>
                </c:pt>
                <c:pt idx="66">
                  <c:v>334.14</c:v>
                </c:pt>
                <c:pt idx="67">
                  <c:v>218.96</c:v>
                </c:pt>
                <c:pt idx="68">
                  <c:v>180.47</c:v>
                </c:pt>
                <c:pt idx="69">
                  <c:v>212.89</c:v>
                </c:pt>
                <c:pt idx="70">
                  <c:v>199.54</c:v>
                </c:pt>
                <c:pt idx="71">
                  <c:v>136.84</c:v>
                </c:pt>
                <c:pt idx="72">
                  <c:v>116.86</c:v>
                </c:pt>
                <c:pt idx="73">
                  <c:v>118.58</c:v>
                </c:pt>
                <c:pt idx="74">
                  <c:v>112.05</c:v>
                </c:pt>
                <c:pt idx="75">
                  <c:v>91.62</c:v>
                </c:pt>
                <c:pt idx="76">
                  <c:v>81.33</c:v>
                </c:pt>
                <c:pt idx="77">
                  <c:v>80.900000000000006</c:v>
                </c:pt>
                <c:pt idx="78">
                  <c:v>82.99</c:v>
                </c:pt>
                <c:pt idx="79">
                  <c:v>71.739999999999995</c:v>
                </c:pt>
                <c:pt idx="80">
                  <c:v>67.8</c:v>
                </c:pt>
                <c:pt idx="81">
                  <c:v>69.62</c:v>
                </c:pt>
                <c:pt idx="82">
                  <c:v>61.71</c:v>
                </c:pt>
                <c:pt idx="83">
                  <c:v>65.38</c:v>
                </c:pt>
                <c:pt idx="84">
                  <c:v>59.63</c:v>
                </c:pt>
                <c:pt idx="85">
                  <c:v>60.62</c:v>
                </c:pt>
                <c:pt idx="86">
                  <c:v>58.47</c:v>
                </c:pt>
                <c:pt idx="87">
                  <c:v>61.13</c:v>
                </c:pt>
                <c:pt idx="88">
                  <c:v>59.93</c:v>
                </c:pt>
                <c:pt idx="89">
                  <c:v>64.319999999999993</c:v>
                </c:pt>
                <c:pt idx="90">
                  <c:v>66.83</c:v>
                </c:pt>
                <c:pt idx="91">
                  <c:v>56.32</c:v>
                </c:pt>
                <c:pt idx="92">
                  <c:v>57.18</c:v>
                </c:pt>
                <c:pt idx="93">
                  <c:v>71.87</c:v>
                </c:pt>
                <c:pt idx="94">
                  <c:v>73.22</c:v>
                </c:pt>
                <c:pt idx="95">
                  <c:v>75.150000000000006</c:v>
                </c:pt>
                <c:pt idx="96">
                  <c:v>67.39</c:v>
                </c:pt>
                <c:pt idx="97">
                  <c:v>66.959999999999994</c:v>
                </c:pt>
                <c:pt idx="98">
                  <c:v>67.72</c:v>
                </c:pt>
                <c:pt idx="99">
                  <c:v>77.366571698571434</c:v>
                </c:pt>
                <c:pt idx="100">
                  <c:v>84.55585806714285</c:v>
                </c:pt>
                <c:pt idx="101">
                  <c:v>77.460142951428566</c:v>
                </c:pt>
                <c:pt idx="102">
                  <c:v>78.166143688571424</c:v>
                </c:pt>
                <c:pt idx="103">
                  <c:v>86.972714017142849</c:v>
                </c:pt>
                <c:pt idx="104">
                  <c:v>140.04142857142858</c:v>
                </c:pt>
                <c:pt idx="105">
                  <c:v>209.91800362857143</c:v>
                </c:pt>
                <c:pt idx="106">
                  <c:v>223.6645725857143</c:v>
                </c:pt>
                <c:pt idx="107">
                  <c:v>346.88342720000003</c:v>
                </c:pt>
                <c:pt idx="108">
                  <c:v>214.95928737142859</c:v>
                </c:pt>
                <c:pt idx="109">
                  <c:v>166.34242902857142</c:v>
                </c:pt>
                <c:pt idx="110">
                  <c:v>239.50057330000001</c:v>
                </c:pt>
                <c:pt idx="111">
                  <c:v>357.61814662857148</c:v>
                </c:pt>
                <c:pt idx="112">
                  <c:v>333.90885488571433</c:v>
                </c:pt>
                <c:pt idx="113">
                  <c:v>431.64157101428572</c:v>
                </c:pt>
                <c:pt idx="114">
                  <c:v>485.98543439999997</c:v>
                </c:pt>
                <c:pt idx="115">
                  <c:v>465.24414497142863</c:v>
                </c:pt>
                <c:pt idx="116">
                  <c:v>396.37686155714289</c:v>
                </c:pt>
                <c:pt idx="117">
                  <c:v>226.32643345714288</c:v>
                </c:pt>
                <c:pt idx="118">
                  <c:v>207.40800040000002</c:v>
                </c:pt>
                <c:pt idx="119">
                  <c:v>166.38871437142856</c:v>
                </c:pt>
                <c:pt idx="120">
                  <c:v>168.19342804285716</c:v>
                </c:pt>
                <c:pt idx="121">
                  <c:v>171.5428597714286</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schemeClr>
            </a:solidFill>
            <a:ln w="25400">
              <a:noFill/>
            </a:ln>
          </c:spPr>
          <c:cat>
            <c:multiLvlStrRef>
              <c:f>'13.Caudales'!$N$4:$O$125</c:f>
              <c:multiLvlStrCache>
                <c:ptCount val="12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lvl>
                <c:lvl>
                  <c:pt idx="0">
                    <c:v>2016</c:v>
                  </c:pt>
                  <c:pt idx="52">
                    <c:v>2017</c:v>
                  </c:pt>
                  <c:pt idx="104">
                    <c:v>2018</c:v>
                  </c:pt>
                </c:lvl>
              </c:multiLvlStrCache>
            </c:multiLvlStrRef>
          </c:cat>
          <c:val>
            <c:numRef>
              <c:f>'13.Caudales'!$T$4:$T$125</c:f>
              <c:numCache>
                <c:formatCode>0.0</c:formatCode>
                <c:ptCount val="122"/>
                <c:pt idx="0">
                  <c:v>95.83</c:v>
                </c:pt>
                <c:pt idx="1">
                  <c:v>78.260000000000005</c:v>
                </c:pt>
                <c:pt idx="2">
                  <c:v>101.264</c:v>
                </c:pt>
                <c:pt idx="3">
                  <c:v>79.73</c:v>
                </c:pt>
                <c:pt idx="4">
                  <c:v>128.66</c:v>
                </c:pt>
                <c:pt idx="5">
                  <c:v>174.87</c:v>
                </c:pt>
                <c:pt idx="6">
                  <c:v>126.56</c:v>
                </c:pt>
                <c:pt idx="7">
                  <c:v>188.83</c:v>
                </c:pt>
                <c:pt idx="8">
                  <c:v>170.33500290000001</c:v>
                </c:pt>
                <c:pt idx="9">
                  <c:v>164.05856977190246</c:v>
                </c:pt>
                <c:pt idx="10">
                  <c:v>146.11571393694155</c:v>
                </c:pt>
                <c:pt idx="11">
                  <c:v>114.18428584507485</c:v>
                </c:pt>
                <c:pt idx="12">
                  <c:v>89.040000915527301</c:v>
                </c:pt>
                <c:pt idx="13">
                  <c:v>78.037142072405103</c:v>
                </c:pt>
                <c:pt idx="14">
                  <c:v>74.048570905412902</c:v>
                </c:pt>
                <c:pt idx="15">
                  <c:v>81.069999999999993</c:v>
                </c:pt>
                <c:pt idx="16">
                  <c:v>64.311428070000005</c:v>
                </c:pt>
                <c:pt idx="17">
                  <c:v>46.242857796805197</c:v>
                </c:pt>
                <c:pt idx="18">
                  <c:v>41.954286302838973</c:v>
                </c:pt>
                <c:pt idx="19">
                  <c:v>39.6</c:v>
                </c:pt>
                <c:pt idx="20">
                  <c:v>44.79285812377924</c:v>
                </c:pt>
                <c:pt idx="21">
                  <c:v>34.01</c:v>
                </c:pt>
                <c:pt idx="22">
                  <c:v>28.71</c:v>
                </c:pt>
                <c:pt idx="23">
                  <c:v>30.83</c:v>
                </c:pt>
                <c:pt idx="24">
                  <c:v>25.690000260000001</c:v>
                </c:pt>
                <c:pt idx="25">
                  <c:v>30.317143300000001</c:v>
                </c:pt>
                <c:pt idx="26">
                  <c:v>28.581429350000001</c:v>
                </c:pt>
                <c:pt idx="27">
                  <c:v>27.099999836512943</c:v>
                </c:pt>
                <c:pt idx="28">
                  <c:v>23.477142610000001</c:v>
                </c:pt>
                <c:pt idx="29">
                  <c:v>21.095714300000001</c:v>
                </c:pt>
                <c:pt idx="30">
                  <c:v>20.037142889840243</c:v>
                </c:pt>
                <c:pt idx="31">
                  <c:v>23.275714059999999</c:v>
                </c:pt>
                <c:pt idx="32">
                  <c:v>22.619999750000002</c:v>
                </c:pt>
                <c:pt idx="33">
                  <c:v>25.04757145</c:v>
                </c:pt>
                <c:pt idx="34">
                  <c:v>21.374285830000002</c:v>
                </c:pt>
                <c:pt idx="35">
                  <c:v>22.661428449999999</c:v>
                </c:pt>
                <c:pt idx="36">
                  <c:v>19.149999999999999</c:v>
                </c:pt>
                <c:pt idx="37">
                  <c:v>22.304285589999999</c:v>
                </c:pt>
                <c:pt idx="38">
                  <c:v>48.7</c:v>
                </c:pt>
                <c:pt idx="39">
                  <c:v>37.928571428999994</c:v>
                </c:pt>
                <c:pt idx="40">
                  <c:v>48.921429225376635</c:v>
                </c:pt>
                <c:pt idx="41">
                  <c:v>55.619142805714283</c:v>
                </c:pt>
                <c:pt idx="42">
                  <c:v>54.58</c:v>
                </c:pt>
                <c:pt idx="43">
                  <c:v>57.65</c:v>
                </c:pt>
                <c:pt idx="44">
                  <c:v>67.069999999999993</c:v>
                </c:pt>
                <c:pt idx="45">
                  <c:v>34.982142860000003</c:v>
                </c:pt>
                <c:pt idx="46">
                  <c:v>29.07742855</c:v>
                </c:pt>
                <c:pt idx="47">
                  <c:v>88.059571399999996</c:v>
                </c:pt>
                <c:pt idx="48">
                  <c:v>106.59</c:v>
                </c:pt>
                <c:pt idx="49">
                  <c:v>104.79</c:v>
                </c:pt>
                <c:pt idx="50">
                  <c:v>69.61</c:v>
                </c:pt>
                <c:pt idx="51">
                  <c:v>58.452428545714284</c:v>
                </c:pt>
                <c:pt idx="52">
                  <c:v>148.43</c:v>
                </c:pt>
                <c:pt idx="53">
                  <c:v>175.88</c:v>
                </c:pt>
                <c:pt idx="54">
                  <c:v>177.57</c:v>
                </c:pt>
                <c:pt idx="55">
                  <c:v>205.76</c:v>
                </c:pt>
                <c:pt idx="56">
                  <c:v>123.41</c:v>
                </c:pt>
                <c:pt idx="57">
                  <c:v>108.48</c:v>
                </c:pt>
                <c:pt idx="58">
                  <c:v>144.62</c:v>
                </c:pt>
                <c:pt idx="59">
                  <c:v>140.63</c:v>
                </c:pt>
                <c:pt idx="60">
                  <c:v>245.85</c:v>
                </c:pt>
                <c:pt idx="61">
                  <c:v>188.01</c:v>
                </c:pt>
                <c:pt idx="62">
                  <c:v>169.95</c:v>
                </c:pt>
                <c:pt idx="63">
                  <c:v>146.01</c:v>
                </c:pt>
                <c:pt idx="64">
                  <c:v>173.02</c:v>
                </c:pt>
                <c:pt idx="65">
                  <c:v>137.65</c:v>
                </c:pt>
                <c:pt idx="66">
                  <c:v>129.9</c:v>
                </c:pt>
                <c:pt idx="67">
                  <c:v>100.66</c:v>
                </c:pt>
                <c:pt idx="68">
                  <c:v>91.24</c:v>
                </c:pt>
                <c:pt idx="69">
                  <c:v>98.95</c:v>
                </c:pt>
                <c:pt idx="70">
                  <c:v>89.02</c:v>
                </c:pt>
                <c:pt idx="71">
                  <c:v>72.95</c:v>
                </c:pt>
                <c:pt idx="72">
                  <c:v>99.42</c:v>
                </c:pt>
                <c:pt idx="73">
                  <c:v>79.099999999999994</c:v>
                </c:pt>
                <c:pt idx="74">
                  <c:v>63.27</c:v>
                </c:pt>
                <c:pt idx="75">
                  <c:v>49.79</c:v>
                </c:pt>
                <c:pt idx="76">
                  <c:v>46.74</c:v>
                </c:pt>
                <c:pt idx="77">
                  <c:v>41.45</c:v>
                </c:pt>
                <c:pt idx="78">
                  <c:v>60.31</c:v>
                </c:pt>
                <c:pt idx="79">
                  <c:v>39.090000000000003</c:v>
                </c:pt>
                <c:pt idx="80">
                  <c:v>32.590000000000003</c:v>
                </c:pt>
                <c:pt idx="81">
                  <c:v>28.39</c:v>
                </c:pt>
                <c:pt idx="82">
                  <c:v>26.51</c:v>
                </c:pt>
                <c:pt idx="83">
                  <c:v>24.1</c:v>
                </c:pt>
                <c:pt idx="84">
                  <c:v>24.29</c:v>
                </c:pt>
                <c:pt idx="85">
                  <c:v>25.9</c:v>
                </c:pt>
                <c:pt idx="86">
                  <c:v>26.33</c:v>
                </c:pt>
                <c:pt idx="87">
                  <c:v>27.35</c:v>
                </c:pt>
                <c:pt idx="88">
                  <c:v>34.56</c:v>
                </c:pt>
                <c:pt idx="89">
                  <c:v>41.74</c:v>
                </c:pt>
                <c:pt idx="90">
                  <c:v>46.48</c:v>
                </c:pt>
                <c:pt idx="91">
                  <c:v>28.11</c:v>
                </c:pt>
                <c:pt idx="92">
                  <c:v>32.11</c:v>
                </c:pt>
                <c:pt idx="93">
                  <c:v>64.69</c:v>
                </c:pt>
                <c:pt idx="94">
                  <c:v>71.16</c:v>
                </c:pt>
                <c:pt idx="95">
                  <c:v>62.33</c:v>
                </c:pt>
                <c:pt idx="96">
                  <c:v>61.76</c:v>
                </c:pt>
                <c:pt idx="97">
                  <c:v>66.040000000000006</c:v>
                </c:pt>
                <c:pt idx="98">
                  <c:v>52.82</c:v>
                </c:pt>
                <c:pt idx="99">
                  <c:v>66.577285762857144</c:v>
                </c:pt>
                <c:pt idx="100">
                  <c:v>72.732000077142857</c:v>
                </c:pt>
                <c:pt idx="101">
                  <c:v>64.097142899999994</c:v>
                </c:pt>
                <c:pt idx="102">
                  <c:v>94.237856191428577</c:v>
                </c:pt>
                <c:pt idx="103">
                  <c:v>94.357285634285716</c:v>
                </c:pt>
                <c:pt idx="104">
                  <c:v>143.09</c:v>
                </c:pt>
                <c:pt idx="105">
                  <c:v>160.98214394285716</c:v>
                </c:pt>
                <c:pt idx="106">
                  <c:v>190.44042751428574</c:v>
                </c:pt>
                <c:pt idx="107">
                  <c:v>205.5832868285714</c:v>
                </c:pt>
                <c:pt idx="108">
                  <c:v>93.607142857142861</c:v>
                </c:pt>
                <c:pt idx="109">
                  <c:v>108.25571334000001</c:v>
                </c:pt>
                <c:pt idx="110">
                  <c:v>202.98199900000003</c:v>
                </c:pt>
                <c:pt idx="111">
                  <c:v>251.1</c:v>
                </c:pt>
                <c:pt idx="112">
                  <c:v>204.95843285714287</c:v>
                </c:pt>
                <c:pt idx="113">
                  <c:v>177.15485925714287</c:v>
                </c:pt>
                <c:pt idx="114">
                  <c:v>169.375</c:v>
                </c:pt>
                <c:pt idx="115">
                  <c:v>201.58328465714288</c:v>
                </c:pt>
                <c:pt idx="116">
                  <c:v>163.75585502857143</c:v>
                </c:pt>
                <c:pt idx="117">
                  <c:v>133.53585814285714</c:v>
                </c:pt>
                <c:pt idx="118">
                  <c:v>107.59514291428572</c:v>
                </c:pt>
                <c:pt idx="119">
                  <c:v>95.78</c:v>
                </c:pt>
                <c:pt idx="120">
                  <c:v>95.39</c:v>
                </c:pt>
                <c:pt idx="121">
                  <c:v>85.958285739999994</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val>
            <c:numRef>
              <c:f>'13.Caudales'!$U$4:$U$125</c:f>
              <c:numCache>
                <c:formatCode>0.0</c:formatCode>
                <c:ptCount val="122"/>
                <c:pt idx="0">
                  <c:v>18.5</c:v>
                </c:pt>
                <c:pt idx="1">
                  <c:v>13.1</c:v>
                </c:pt>
                <c:pt idx="2">
                  <c:v>15.26</c:v>
                </c:pt>
                <c:pt idx="3">
                  <c:v>12.66</c:v>
                </c:pt>
                <c:pt idx="4">
                  <c:v>24.24</c:v>
                </c:pt>
                <c:pt idx="5">
                  <c:v>35.18</c:v>
                </c:pt>
                <c:pt idx="6">
                  <c:v>25.04</c:v>
                </c:pt>
                <c:pt idx="7">
                  <c:v>26.72</c:v>
                </c:pt>
                <c:pt idx="8">
                  <c:v>30.940000529999999</c:v>
                </c:pt>
                <c:pt idx="9">
                  <c:v>30.751428604125927</c:v>
                </c:pt>
                <c:pt idx="10">
                  <c:v>26.230000359671411</c:v>
                </c:pt>
                <c:pt idx="11">
                  <c:v>18.61999988555905</c:v>
                </c:pt>
                <c:pt idx="12">
                  <c:v>15.310000419616699</c:v>
                </c:pt>
                <c:pt idx="13">
                  <c:v>14.082857131957956</c:v>
                </c:pt>
                <c:pt idx="14">
                  <c:v>17.312857082911869</c:v>
                </c:pt>
                <c:pt idx="15">
                  <c:v>21.07</c:v>
                </c:pt>
                <c:pt idx="16">
                  <c:v>16.638571469999999</c:v>
                </c:pt>
                <c:pt idx="17">
                  <c:v>10.637142998831566</c:v>
                </c:pt>
                <c:pt idx="18">
                  <c:v>9.4342857088361427</c:v>
                </c:pt>
                <c:pt idx="19">
                  <c:v>8.6</c:v>
                </c:pt>
                <c:pt idx="20">
                  <c:v>10.11999988555907</c:v>
                </c:pt>
                <c:pt idx="21">
                  <c:v>8.15</c:v>
                </c:pt>
                <c:pt idx="22">
                  <c:v>7.74</c:v>
                </c:pt>
                <c:pt idx="23">
                  <c:v>7.53</c:v>
                </c:pt>
                <c:pt idx="24">
                  <c:v>6.9342856409999998</c:v>
                </c:pt>
                <c:pt idx="25">
                  <c:v>8.8971428190000008</c:v>
                </c:pt>
                <c:pt idx="26">
                  <c:v>7.9442856649999998</c:v>
                </c:pt>
                <c:pt idx="27">
                  <c:v>7.4514284819999999</c:v>
                </c:pt>
                <c:pt idx="28">
                  <c:v>6.2828570089999998</c:v>
                </c:pt>
                <c:pt idx="29">
                  <c:v>5.8057142669999999</c:v>
                </c:pt>
                <c:pt idx="30">
                  <c:v>5.4814286231994549</c:v>
                </c:pt>
                <c:pt idx="31">
                  <c:v>5.8257142479999997</c:v>
                </c:pt>
                <c:pt idx="32">
                  <c:v>5.5228571210000004</c:v>
                </c:pt>
                <c:pt idx="33">
                  <c:v>5.8727143149999996</c:v>
                </c:pt>
                <c:pt idx="34">
                  <c:v>4.9342857090000001</c:v>
                </c:pt>
                <c:pt idx="35">
                  <c:v>4.9800000000000004</c:v>
                </c:pt>
                <c:pt idx="36">
                  <c:v>5.31</c:v>
                </c:pt>
                <c:pt idx="37">
                  <c:v>5.581428528</c:v>
                </c:pt>
                <c:pt idx="38">
                  <c:v>7.81</c:v>
                </c:pt>
                <c:pt idx="39">
                  <c:v>7.9165713450000004</c:v>
                </c:pt>
                <c:pt idx="40">
                  <c:v>8.5942858287266173</c:v>
                </c:pt>
                <c:pt idx="41">
                  <c:v>9.5089999614285716</c:v>
                </c:pt>
                <c:pt idx="42">
                  <c:v>8.23</c:v>
                </c:pt>
                <c:pt idx="43">
                  <c:v>7.72</c:v>
                </c:pt>
                <c:pt idx="44">
                  <c:v>6.9</c:v>
                </c:pt>
                <c:pt idx="45">
                  <c:v>5.0667143550000002</c:v>
                </c:pt>
                <c:pt idx="46">
                  <c:v>4.2727143420000004</c:v>
                </c:pt>
                <c:pt idx="47">
                  <c:v>7.879285812428571</c:v>
                </c:pt>
                <c:pt idx="48">
                  <c:v>16.09</c:v>
                </c:pt>
                <c:pt idx="49">
                  <c:v>18.649999999999999</c:v>
                </c:pt>
                <c:pt idx="50">
                  <c:v>11.22</c:v>
                </c:pt>
                <c:pt idx="51">
                  <c:v>8.01</c:v>
                </c:pt>
                <c:pt idx="52">
                  <c:v>24.1</c:v>
                </c:pt>
                <c:pt idx="53">
                  <c:v>33.74</c:v>
                </c:pt>
                <c:pt idx="54">
                  <c:v>35.49</c:v>
                </c:pt>
                <c:pt idx="55">
                  <c:v>48.48</c:v>
                </c:pt>
                <c:pt idx="56">
                  <c:v>25.33</c:v>
                </c:pt>
                <c:pt idx="57">
                  <c:v>22.99</c:v>
                </c:pt>
                <c:pt idx="58">
                  <c:v>39.44</c:v>
                </c:pt>
                <c:pt idx="59">
                  <c:v>30.47</c:v>
                </c:pt>
                <c:pt idx="60">
                  <c:v>67.56</c:v>
                </c:pt>
                <c:pt idx="61">
                  <c:v>50.5</c:v>
                </c:pt>
                <c:pt idx="62">
                  <c:v>51.21</c:v>
                </c:pt>
                <c:pt idx="63">
                  <c:v>38.08</c:v>
                </c:pt>
                <c:pt idx="64">
                  <c:v>38.869999999999997</c:v>
                </c:pt>
                <c:pt idx="65">
                  <c:v>35.950000000000003</c:v>
                </c:pt>
                <c:pt idx="66">
                  <c:v>29.93</c:v>
                </c:pt>
                <c:pt idx="67">
                  <c:v>21.85</c:v>
                </c:pt>
                <c:pt idx="68">
                  <c:v>18.89</c:v>
                </c:pt>
                <c:pt idx="69">
                  <c:v>19.899999999999999</c:v>
                </c:pt>
                <c:pt idx="70">
                  <c:v>15.9</c:v>
                </c:pt>
                <c:pt idx="71">
                  <c:v>15.03</c:v>
                </c:pt>
                <c:pt idx="72">
                  <c:v>20.059999999999999</c:v>
                </c:pt>
                <c:pt idx="73">
                  <c:v>16</c:v>
                </c:pt>
                <c:pt idx="74">
                  <c:v>13.78</c:v>
                </c:pt>
                <c:pt idx="75">
                  <c:v>11.29</c:v>
                </c:pt>
                <c:pt idx="76">
                  <c:v>10.02</c:v>
                </c:pt>
                <c:pt idx="77">
                  <c:v>9.24</c:v>
                </c:pt>
                <c:pt idx="78">
                  <c:v>9.73</c:v>
                </c:pt>
                <c:pt idx="79">
                  <c:v>8.42</c:v>
                </c:pt>
                <c:pt idx="80">
                  <c:v>7.7</c:v>
                </c:pt>
                <c:pt idx="81">
                  <c:v>7.39</c:v>
                </c:pt>
                <c:pt idx="82">
                  <c:v>7.02</c:v>
                </c:pt>
                <c:pt idx="83">
                  <c:v>6.7</c:v>
                </c:pt>
                <c:pt idx="84">
                  <c:v>6.44</c:v>
                </c:pt>
                <c:pt idx="85">
                  <c:v>6.62</c:v>
                </c:pt>
                <c:pt idx="86">
                  <c:v>6.66</c:v>
                </c:pt>
                <c:pt idx="87">
                  <c:v>6.84</c:v>
                </c:pt>
                <c:pt idx="88">
                  <c:v>7.96</c:v>
                </c:pt>
                <c:pt idx="89">
                  <c:v>9.43</c:v>
                </c:pt>
                <c:pt idx="90">
                  <c:v>7.93</c:v>
                </c:pt>
                <c:pt idx="91">
                  <c:v>6.02</c:v>
                </c:pt>
                <c:pt idx="92">
                  <c:v>6.5</c:v>
                </c:pt>
                <c:pt idx="93">
                  <c:v>9.44</c:v>
                </c:pt>
                <c:pt idx="94">
                  <c:v>8.8800000000000008</c:v>
                </c:pt>
                <c:pt idx="95">
                  <c:v>10.59</c:v>
                </c:pt>
                <c:pt idx="96">
                  <c:v>10.039999999999999</c:v>
                </c:pt>
                <c:pt idx="97">
                  <c:v>8.7799999999999994</c:v>
                </c:pt>
                <c:pt idx="98">
                  <c:v>7.81</c:v>
                </c:pt>
                <c:pt idx="99">
                  <c:v>9.1851428580000007</c:v>
                </c:pt>
                <c:pt idx="100">
                  <c:v>14.04828548342857</c:v>
                </c:pt>
                <c:pt idx="101">
                  <c:v>11.032857077571427</c:v>
                </c:pt>
                <c:pt idx="102">
                  <c:v>14.381428445285712</c:v>
                </c:pt>
                <c:pt idx="103">
                  <c:v>13.293999945714287</c:v>
                </c:pt>
                <c:pt idx="104">
                  <c:v>20.63</c:v>
                </c:pt>
                <c:pt idx="105">
                  <c:v>36.213856559999996</c:v>
                </c:pt>
                <c:pt idx="106">
                  <c:v>30.819142750000001</c:v>
                </c:pt>
                <c:pt idx="107">
                  <c:v>40.893000467142862</c:v>
                </c:pt>
                <c:pt idx="108">
                  <c:v>17.748285841428572</c:v>
                </c:pt>
                <c:pt idx="109">
                  <c:v>18.79157175142857</c:v>
                </c:pt>
                <c:pt idx="110">
                  <c:v>42.088571821428573</c:v>
                </c:pt>
                <c:pt idx="111">
                  <c:v>43.74</c:v>
                </c:pt>
                <c:pt idx="112">
                  <c:v>31.755000522857138</c:v>
                </c:pt>
                <c:pt idx="113">
                  <c:v>31.196571622857142</c:v>
                </c:pt>
                <c:pt idx="114">
                  <c:v>52.626284462857136</c:v>
                </c:pt>
                <c:pt idx="115">
                  <c:v>57.669144221428567</c:v>
                </c:pt>
                <c:pt idx="116">
                  <c:v>35.725570951428573</c:v>
                </c:pt>
                <c:pt idx="117">
                  <c:v>28.622000282857147</c:v>
                </c:pt>
                <c:pt idx="118">
                  <c:v>30.753999982857145</c:v>
                </c:pt>
                <c:pt idx="119">
                  <c:v>29.88</c:v>
                </c:pt>
                <c:pt idx="120">
                  <c:v>22.257285525714284</c:v>
                </c:pt>
                <c:pt idx="121">
                  <c:v>21.651714052857141</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crossAx val="351299456"/>
        <c:crosses val="autoZero"/>
        <c:auto val="1"/>
        <c:lblAlgn val="ctr"/>
        <c:lblOffset val="100"/>
        <c:tickLblSkip val="4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6.513494735125705E-2"/>
          <c:y val="0.15493728093999826"/>
          <c:w val="0.87360906593863497"/>
          <c:h val="0.6687148384570755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'13.Caudales'!$N$4:$O$125</c:f>
              <c:multiLvlStrCache>
                <c:ptCount val="12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lvl>
                <c:lvl>
                  <c:pt idx="0">
                    <c:v>2016</c:v>
                  </c:pt>
                  <c:pt idx="52">
                    <c:v>2017</c:v>
                  </c:pt>
                  <c:pt idx="104">
                    <c:v>2018</c:v>
                  </c:pt>
                </c:lvl>
              </c:multiLvlStrCache>
            </c:multiLvlStrRef>
          </c:cat>
          <c:val>
            <c:numRef>
              <c:f>'13.Caudales'!$V$4:$V$125</c:f>
              <c:numCache>
                <c:formatCode>0.0</c:formatCode>
                <c:ptCount val="122"/>
                <c:pt idx="0">
                  <c:v>10.01</c:v>
                </c:pt>
                <c:pt idx="1">
                  <c:v>10</c:v>
                </c:pt>
                <c:pt idx="2">
                  <c:v>10.01</c:v>
                </c:pt>
                <c:pt idx="3">
                  <c:v>10.01</c:v>
                </c:pt>
                <c:pt idx="4">
                  <c:v>10.01</c:v>
                </c:pt>
                <c:pt idx="5">
                  <c:v>9.01</c:v>
                </c:pt>
                <c:pt idx="6">
                  <c:v>9.01</c:v>
                </c:pt>
                <c:pt idx="7">
                  <c:v>18.309999999999999</c:v>
                </c:pt>
                <c:pt idx="8">
                  <c:v>16.54985727582655</c:v>
                </c:pt>
                <c:pt idx="9">
                  <c:v>9.5257144655499921</c:v>
                </c:pt>
                <c:pt idx="10">
                  <c:v>10.001428604125973</c:v>
                </c:pt>
                <c:pt idx="11">
                  <c:v>9.9999999999999964</c:v>
                </c:pt>
                <c:pt idx="12">
                  <c:v>10</c:v>
                </c:pt>
                <c:pt idx="13">
                  <c:v>10.001428604125973</c:v>
                </c:pt>
                <c:pt idx="14">
                  <c:v>10.005714416503881</c:v>
                </c:pt>
                <c:pt idx="15">
                  <c:v>10.01</c:v>
                </c:pt>
                <c:pt idx="16">
                  <c:v>10.004285812377887</c:v>
                </c:pt>
                <c:pt idx="17">
                  <c:v>10.007143020629858</c:v>
                </c:pt>
                <c:pt idx="18">
                  <c:v>10.004285812377914</c:v>
                </c:pt>
                <c:pt idx="19">
                  <c:v>10</c:v>
                </c:pt>
                <c:pt idx="20">
                  <c:v>10.011428560529414</c:v>
                </c:pt>
                <c:pt idx="21">
                  <c:v>10.02</c:v>
                </c:pt>
                <c:pt idx="22">
                  <c:v>10</c:v>
                </c:pt>
                <c:pt idx="23">
                  <c:v>10</c:v>
                </c:pt>
                <c:pt idx="24">
                  <c:v>10.00571442</c:v>
                </c:pt>
                <c:pt idx="25">
                  <c:v>10</c:v>
                </c:pt>
                <c:pt idx="26">
                  <c:v>10.001428600000001</c:v>
                </c:pt>
                <c:pt idx="27">
                  <c:v>10.0128573</c:v>
                </c:pt>
                <c:pt idx="28">
                  <c:v>10.001428600000001</c:v>
                </c:pt>
                <c:pt idx="29">
                  <c:v>10.01142883</c:v>
                </c:pt>
                <c:pt idx="30">
                  <c:v>10.011428833007772</c:v>
                </c:pt>
                <c:pt idx="31">
                  <c:v>10.004285810000001</c:v>
                </c:pt>
                <c:pt idx="32">
                  <c:v>10</c:v>
                </c:pt>
                <c:pt idx="33">
                  <c:v>10.00857162</c:v>
                </c:pt>
                <c:pt idx="34">
                  <c:v>10.28714289</c:v>
                </c:pt>
                <c:pt idx="35">
                  <c:v>11.01</c:v>
                </c:pt>
                <c:pt idx="36">
                  <c:v>11</c:v>
                </c:pt>
                <c:pt idx="37">
                  <c:v>10.85142858</c:v>
                </c:pt>
                <c:pt idx="38">
                  <c:v>11.15</c:v>
                </c:pt>
                <c:pt idx="39">
                  <c:v>11.005714417142856</c:v>
                </c:pt>
                <c:pt idx="40">
                  <c:v>11.002857208251914</c:v>
                </c:pt>
                <c:pt idx="41">
                  <c:v>11.007142884285715</c:v>
                </c:pt>
                <c:pt idx="42">
                  <c:v>11.01</c:v>
                </c:pt>
                <c:pt idx="43">
                  <c:v>11.01</c:v>
                </c:pt>
                <c:pt idx="44">
                  <c:v>11</c:v>
                </c:pt>
                <c:pt idx="45">
                  <c:v>11.01</c:v>
                </c:pt>
                <c:pt idx="46">
                  <c:v>11.00286</c:v>
                </c:pt>
                <c:pt idx="47">
                  <c:v>10.862857274285714</c:v>
                </c:pt>
                <c:pt idx="48">
                  <c:v>10.5</c:v>
                </c:pt>
                <c:pt idx="49">
                  <c:v>10.51</c:v>
                </c:pt>
                <c:pt idx="50">
                  <c:v>10.5</c:v>
                </c:pt>
                <c:pt idx="51">
                  <c:v>10.507142884285715</c:v>
                </c:pt>
                <c:pt idx="52">
                  <c:v>10.220000000000001</c:v>
                </c:pt>
                <c:pt idx="53">
                  <c:v>10.17</c:v>
                </c:pt>
                <c:pt idx="54">
                  <c:v>10</c:v>
                </c:pt>
                <c:pt idx="55">
                  <c:v>10</c:v>
                </c:pt>
                <c:pt idx="56">
                  <c:v>11.41</c:v>
                </c:pt>
                <c:pt idx="57">
                  <c:v>10.57</c:v>
                </c:pt>
                <c:pt idx="58">
                  <c:v>10</c:v>
                </c:pt>
                <c:pt idx="59">
                  <c:v>9.58</c:v>
                </c:pt>
                <c:pt idx="60">
                  <c:v>9.01</c:v>
                </c:pt>
                <c:pt idx="61">
                  <c:v>10.06</c:v>
                </c:pt>
                <c:pt idx="62">
                  <c:v>26.15</c:v>
                </c:pt>
                <c:pt idx="63">
                  <c:v>12.43</c:v>
                </c:pt>
                <c:pt idx="64">
                  <c:v>11.98</c:v>
                </c:pt>
                <c:pt idx="65">
                  <c:v>28.72</c:v>
                </c:pt>
                <c:pt idx="66">
                  <c:v>16.28</c:v>
                </c:pt>
                <c:pt idx="67">
                  <c:v>15.43</c:v>
                </c:pt>
                <c:pt idx="68">
                  <c:v>12.29</c:v>
                </c:pt>
                <c:pt idx="69">
                  <c:v>11.64</c:v>
                </c:pt>
                <c:pt idx="70">
                  <c:v>11</c:v>
                </c:pt>
                <c:pt idx="71">
                  <c:v>11</c:v>
                </c:pt>
                <c:pt idx="72">
                  <c:v>11.01</c:v>
                </c:pt>
                <c:pt idx="73">
                  <c:v>11</c:v>
                </c:pt>
                <c:pt idx="74">
                  <c:v>11</c:v>
                </c:pt>
                <c:pt idx="75">
                  <c:v>11</c:v>
                </c:pt>
                <c:pt idx="76">
                  <c:v>11</c:v>
                </c:pt>
                <c:pt idx="77">
                  <c:v>12</c:v>
                </c:pt>
                <c:pt idx="78">
                  <c:v>12</c:v>
                </c:pt>
                <c:pt idx="79">
                  <c:v>12</c:v>
                </c:pt>
                <c:pt idx="80">
                  <c:v>10.51</c:v>
                </c:pt>
                <c:pt idx="81">
                  <c:v>12</c:v>
                </c:pt>
                <c:pt idx="82">
                  <c:v>12</c:v>
                </c:pt>
                <c:pt idx="83">
                  <c:v>12</c:v>
                </c:pt>
                <c:pt idx="84">
                  <c:v>12</c:v>
                </c:pt>
                <c:pt idx="85">
                  <c:v>12</c:v>
                </c:pt>
                <c:pt idx="86">
                  <c:v>12.14</c:v>
                </c:pt>
                <c:pt idx="87">
                  <c:v>13</c:v>
                </c:pt>
                <c:pt idx="88">
                  <c:v>13</c:v>
                </c:pt>
                <c:pt idx="89">
                  <c:v>13</c:v>
                </c:pt>
                <c:pt idx="90">
                  <c:v>13</c:v>
                </c:pt>
                <c:pt idx="91">
                  <c:v>13</c:v>
                </c:pt>
                <c:pt idx="92">
                  <c:v>13</c:v>
                </c:pt>
                <c:pt idx="93">
                  <c:v>13</c:v>
                </c:pt>
                <c:pt idx="94">
                  <c:v>13</c:v>
                </c:pt>
                <c:pt idx="95">
                  <c:v>13</c:v>
                </c:pt>
                <c:pt idx="96">
                  <c:v>13</c:v>
                </c:pt>
                <c:pt idx="97">
                  <c:v>13</c:v>
                </c:pt>
                <c:pt idx="98">
                  <c:v>13</c:v>
                </c:pt>
                <c:pt idx="99">
                  <c:v>13.005714417142858</c:v>
                </c:pt>
                <c:pt idx="100">
                  <c:v>13.002857208571429</c:v>
                </c:pt>
                <c:pt idx="101">
                  <c:v>13</c:v>
                </c:pt>
                <c:pt idx="102">
                  <c:v>13.01285743857143</c:v>
                </c:pt>
                <c:pt idx="103">
                  <c:v>13.09681579142857</c:v>
                </c:pt>
                <c:pt idx="104">
                  <c:v>13</c:v>
                </c:pt>
                <c:pt idx="105">
                  <c:v>11.774285724285715</c:v>
                </c:pt>
                <c:pt idx="106">
                  <c:v>11.857142857142858</c:v>
                </c:pt>
                <c:pt idx="107">
                  <c:v>18.734285627142857</c:v>
                </c:pt>
                <c:pt idx="108">
                  <c:v>23.390000208571426</c:v>
                </c:pt>
                <c:pt idx="109">
                  <c:v>20.201017107142857</c:v>
                </c:pt>
                <c:pt idx="110">
                  <c:v>15.283185821428571</c:v>
                </c:pt>
                <c:pt idx="111">
                  <c:v>16.564</c:v>
                </c:pt>
                <c:pt idx="112">
                  <c:v>15.852976190476195</c:v>
                </c:pt>
                <c:pt idx="113">
                  <c:v>14.442</c:v>
                </c:pt>
                <c:pt idx="114">
                  <c:v>18.273</c:v>
                </c:pt>
                <c:pt idx="115">
                  <c:v>23.244</c:v>
                </c:pt>
                <c:pt idx="116">
                  <c:v>23.143392837142859</c:v>
                </c:pt>
                <c:pt idx="117">
                  <c:v>19.16</c:v>
                </c:pt>
                <c:pt idx="118">
                  <c:v>14.377143042857142</c:v>
                </c:pt>
                <c:pt idx="119">
                  <c:v>12.36</c:v>
                </c:pt>
                <c:pt idx="120">
                  <c:v>13.4</c:v>
                </c:pt>
                <c:pt idx="121">
                  <c:v>12.785805702857145</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'13.Caudales'!$N$4:$O$125</c:f>
              <c:multiLvlStrCache>
                <c:ptCount val="120"/>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lvl>
                <c:lvl>
                  <c:pt idx="0">
                    <c:v>2016</c:v>
                  </c:pt>
                  <c:pt idx="52">
                    <c:v>2017</c:v>
                  </c:pt>
                  <c:pt idx="104">
                    <c:v>2018</c:v>
                  </c:pt>
                </c:lvl>
              </c:multiLvlStrCache>
            </c:multiLvlStrRef>
          </c:cat>
          <c:val>
            <c:numRef>
              <c:f>'13.Caudales'!$W$4:$W$125</c:f>
              <c:numCache>
                <c:formatCode>0.0</c:formatCode>
                <c:ptCount val="122"/>
                <c:pt idx="0">
                  <c:v>1.23</c:v>
                </c:pt>
                <c:pt idx="1">
                  <c:v>1.18</c:v>
                </c:pt>
                <c:pt idx="2">
                  <c:v>1.2529999999999999</c:v>
                </c:pt>
                <c:pt idx="3">
                  <c:v>1.22</c:v>
                </c:pt>
                <c:pt idx="4">
                  <c:v>1.17</c:v>
                </c:pt>
                <c:pt idx="5">
                  <c:v>0.82</c:v>
                </c:pt>
                <c:pt idx="6">
                  <c:v>1.59</c:v>
                </c:pt>
                <c:pt idx="7">
                  <c:v>14.62</c:v>
                </c:pt>
                <c:pt idx="8">
                  <c:v>7.4597144130000004</c:v>
                </c:pt>
                <c:pt idx="9">
                  <c:v>2.1815714495522598</c:v>
                </c:pt>
                <c:pt idx="10">
                  <c:v>1.7041428429739771</c:v>
                </c:pt>
                <c:pt idx="11">
                  <c:v>1.2444285835538544</c:v>
                </c:pt>
                <c:pt idx="12">
                  <c:v>1.0199999809265099</c:v>
                </c:pt>
                <c:pt idx="13">
                  <c:v>1.3691428899764975</c:v>
                </c:pt>
                <c:pt idx="14">
                  <c:v>1.6558571543012313</c:v>
                </c:pt>
                <c:pt idx="15">
                  <c:v>1.27</c:v>
                </c:pt>
                <c:pt idx="16">
                  <c:v>1.7342857122421229</c:v>
                </c:pt>
                <c:pt idx="17">
                  <c:v>1.4345714194433998</c:v>
                </c:pt>
                <c:pt idx="18">
                  <c:v>1.3051428794860784</c:v>
                </c:pt>
                <c:pt idx="19">
                  <c:v>1.6</c:v>
                </c:pt>
                <c:pt idx="20">
                  <c:v>1.2349999972752113</c:v>
                </c:pt>
                <c:pt idx="21">
                  <c:v>1.52</c:v>
                </c:pt>
                <c:pt idx="22">
                  <c:v>1.55</c:v>
                </c:pt>
                <c:pt idx="23">
                  <c:v>1.6</c:v>
                </c:pt>
                <c:pt idx="24">
                  <c:v>1.254714302</c:v>
                </c:pt>
                <c:pt idx="25">
                  <c:v>1.4324285809999999</c:v>
                </c:pt>
                <c:pt idx="26">
                  <c:v>1.455999987</c:v>
                </c:pt>
                <c:pt idx="27">
                  <c:v>1.5508571609999999</c:v>
                </c:pt>
                <c:pt idx="28">
                  <c:v>2.1035714489999999</c:v>
                </c:pt>
                <c:pt idx="29">
                  <c:v>1.8491428750000001</c:v>
                </c:pt>
                <c:pt idx="30">
                  <c:v>1.8019999946866672</c:v>
                </c:pt>
                <c:pt idx="31">
                  <c:v>1.2214285650000001</c:v>
                </c:pt>
                <c:pt idx="32">
                  <c:v>1.3032857349940685</c:v>
                </c:pt>
                <c:pt idx="33">
                  <c:v>1.2842857160000001</c:v>
                </c:pt>
                <c:pt idx="34">
                  <c:v>1.5979999810000001</c:v>
                </c:pt>
                <c:pt idx="35">
                  <c:v>1.63</c:v>
                </c:pt>
                <c:pt idx="36">
                  <c:v>1.59</c:v>
                </c:pt>
                <c:pt idx="37">
                  <c:v>1.5402856890000001</c:v>
                </c:pt>
                <c:pt idx="38">
                  <c:v>1.32</c:v>
                </c:pt>
                <c:pt idx="39">
                  <c:v>1.3828571522857145</c:v>
                </c:pt>
                <c:pt idx="40">
                  <c:v>1.3182857036590543</c:v>
                </c:pt>
                <c:pt idx="41">
                  <c:v>1.2221428497142859</c:v>
                </c:pt>
                <c:pt idx="42">
                  <c:v>1.35</c:v>
                </c:pt>
                <c:pt idx="43">
                  <c:v>1.47</c:v>
                </c:pt>
                <c:pt idx="44">
                  <c:v>1.42</c:v>
                </c:pt>
                <c:pt idx="45">
                  <c:v>1.38</c:v>
                </c:pt>
                <c:pt idx="46">
                  <c:v>1.63</c:v>
                </c:pt>
                <c:pt idx="47">
                  <c:v>1.6007142748571428</c:v>
                </c:pt>
                <c:pt idx="48">
                  <c:v>1.1200000000000001</c:v>
                </c:pt>
                <c:pt idx="49">
                  <c:v>1.1399999999999999</c:v>
                </c:pt>
                <c:pt idx="50">
                  <c:v>1.37</c:v>
                </c:pt>
                <c:pt idx="51">
                  <c:v>1.53</c:v>
                </c:pt>
                <c:pt idx="52">
                  <c:v>3.28</c:v>
                </c:pt>
                <c:pt idx="53">
                  <c:v>6.45</c:v>
                </c:pt>
                <c:pt idx="54">
                  <c:v>9.0500000000000007</c:v>
                </c:pt>
                <c:pt idx="55">
                  <c:v>2.4300000000000002</c:v>
                </c:pt>
                <c:pt idx="56">
                  <c:v>2.87</c:v>
                </c:pt>
                <c:pt idx="57">
                  <c:v>3.01</c:v>
                </c:pt>
                <c:pt idx="58">
                  <c:v>2.88</c:v>
                </c:pt>
                <c:pt idx="59">
                  <c:v>2.0699999999999998</c:v>
                </c:pt>
                <c:pt idx="60">
                  <c:v>7.33</c:v>
                </c:pt>
                <c:pt idx="61">
                  <c:v>3.71</c:v>
                </c:pt>
                <c:pt idx="62">
                  <c:v>8.66</c:v>
                </c:pt>
                <c:pt idx="63">
                  <c:v>5.63</c:v>
                </c:pt>
                <c:pt idx="64">
                  <c:v>5.83</c:v>
                </c:pt>
                <c:pt idx="65">
                  <c:v>4.95</c:v>
                </c:pt>
                <c:pt idx="66">
                  <c:v>1.82</c:v>
                </c:pt>
                <c:pt idx="67">
                  <c:v>2.33</c:v>
                </c:pt>
                <c:pt idx="68">
                  <c:v>1.9</c:v>
                </c:pt>
                <c:pt idx="69">
                  <c:v>1.46</c:v>
                </c:pt>
                <c:pt idx="70">
                  <c:v>1.36</c:v>
                </c:pt>
                <c:pt idx="71">
                  <c:v>1.98</c:v>
                </c:pt>
                <c:pt idx="72">
                  <c:v>1.6</c:v>
                </c:pt>
                <c:pt idx="73">
                  <c:v>1.01</c:v>
                </c:pt>
                <c:pt idx="74">
                  <c:v>1.82</c:v>
                </c:pt>
                <c:pt idx="75">
                  <c:v>1.89</c:v>
                </c:pt>
                <c:pt idx="76">
                  <c:v>1.77</c:v>
                </c:pt>
                <c:pt idx="77">
                  <c:v>1.86</c:v>
                </c:pt>
                <c:pt idx="78">
                  <c:v>1.9</c:v>
                </c:pt>
                <c:pt idx="79">
                  <c:v>1.65</c:v>
                </c:pt>
                <c:pt idx="80">
                  <c:v>1.79</c:v>
                </c:pt>
                <c:pt idx="81">
                  <c:v>1.64</c:v>
                </c:pt>
                <c:pt idx="82">
                  <c:v>1.87</c:v>
                </c:pt>
                <c:pt idx="83">
                  <c:v>1.95</c:v>
                </c:pt>
                <c:pt idx="84">
                  <c:v>1.82</c:v>
                </c:pt>
                <c:pt idx="85">
                  <c:v>1.89</c:v>
                </c:pt>
                <c:pt idx="86">
                  <c:v>1.97</c:v>
                </c:pt>
                <c:pt idx="87">
                  <c:v>1.76</c:v>
                </c:pt>
                <c:pt idx="88">
                  <c:v>1.7</c:v>
                </c:pt>
                <c:pt idx="89">
                  <c:v>1.77</c:v>
                </c:pt>
                <c:pt idx="90">
                  <c:v>1.99</c:v>
                </c:pt>
                <c:pt idx="91">
                  <c:v>1.48</c:v>
                </c:pt>
                <c:pt idx="92">
                  <c:v>1.53</c:v>
                </c:pt>
                <c:pt idx="93">
                  <c:v>1.93</c:v>
                </c:pt>
                <c:pt idx="94">
                  <c:v>1.69</c:v>
                </c:pt>
                <c:pt idx="95">
                  <c:v>1.65</c:v>
                </c:pt>
                <c:pt idx="96">
                  <c:v>1.51</c:v>
                </c:pt>
                <c:pt idx="97">
                  <c:v>1.65</c:v>
                </c:pt>
                <c:pt idx="98">
                  <c:v>1.6</c:v>
                </c:pt>
                <c:pt idx="99">
                  <c:v>1.6</c:v>
                </c:pt>
                <c:pt idx="100">
                  <c:v>1.6</c:v>
                </c:pt>
                <c:pt idx="101">
                  <c:v>1.6000000240000001</c:v>
                </c:pt>
                <c:pt idx="102">
                  <c:v>1.6257142851428572</c:v>
                </c:pt>
                <c:pt idx="103">
                  <c:v>1.644999981</c:v>
                </c:pt>
                <c:pt idx="104">
                  <c:v>1.64</c:v>
                </c:pt>
                <c:pt idx="105">
                  <c:v>1.5914286031428568</c:v>
                </c:pt>
                <c:pt idx="106">
                  <c:v>1.5814286125714285</c:v>
                </c:pt>
                <c:pt idx="107">
                  <c:v>1.5700000519999997</c:v>
                </c:pt>
                <c:pt idx="108">
                  <c:v>1.5700000519999997</c:v>
                </c:pt>
                <c:pt idx="109">
                  <c:v>2.3694285491428571</c:v>
                </c:pt>
                <c:pt idx="110">
                  <c:v>3.1689999100000001</c:v>
                </c:pt>
                <c:pt idx="111">
                  <c:v>3.16</c:v>
                </c:pt>
                <c:pt idx="112">
                  <c:v>3.1689999100000001</c:v>
                </c:pt>
                <c:pt idx="113">
                  <c:v>4.7437142644285712</c:v>
                </c:pt>
                <c:pt idx="114">
                  <c:v>3.0879999738571429</c:v>
                </c:pt>
                <c:pt idx="115">
                  <c:v>4.5095714328571432</c:v>
                </c:pt>
                <c:pt idx="116">
                  <c:v>3.3929999999999998</c:v>
                </c:pt>
                <c:pt idx="117">
                  <c:v>1.736</c:v>
                </c:pt>
                <c:pt idx="118">
                  <c:v>1.8612856864285716</c:v>
                </c:pt>
                <c:pt idx="119">
                  <c:v>1.9</c:v>
                </c:pt>
                <c:pt idx="120">
                  <c:v>1.7940000124285713</c:v>
                </c:pt>
                <c:pt idx="121">
                  <c:v>2.3024285860000004</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'13.Caudales'!$Y$4:$Y$125</c:f>
              <c:numCache>
                <c:formatCode>0.0</c:formatCode>
                <c:ptCount val="122"/>
                <c:pt idx="0">
                  <c:v>37.270000000000003</c:v>
                </c:pt>
                <c:pt idx="1">
                  <c:v>53.34</c:v>
                </c:pt>
                <c:pt idx="2">
                  <c:v>76.69</c:v>
                </c:pt>
                <c:pt idx="3">
                  <c:v>40.92</c:v>
                </c:pt>
                <c:pt idx="4">
                  <c:v>58.97</c:v>
                </c:pt>
                <c:pt idx="5">
                  <c:v>80.41</c:v>
                </c:pt>
                <c:pt idx="6">
                  <c:v>53.36</c:v>
                </c:pt>
                <c:pt idx="7">
                  <c:v>65.55</c:v>
                </c:pt>
                <c:pt idx="8">
                  <c:v>72.96314185</c:v>
                </c:pt>
                <c:pt idx="9">
                  <c:v>47.002858298165428</c:v>
                </c:pt>
                <c:pt idx="10">
                  <c:v>42.29</c:v>
                </c:pt>
                <c:pt idx="11">
                  <c:v>24.915714263915959</c:v>
                </c:pt>
                <c:pt idx="12">
                  <c:v>24.159999847412099</c:v>
                </c:pt>
                <c:pt idx="13">
                  <c:v>22.646999904087572</c:v>
                </c:pt>
                <c:pt idx="14">
                  <c:v>22.742571422031897</c:v>
                </c:pt>
                <c:pt idx="15">
                  <c:v>23.21</c:v>
                </c:pt>
                <c:pt idx="16">
                  <c:v>19.724285806928286</c:v>
                </c:pt>
                <c:pt idx="17">
                  <c:v>14.075714383806471</c:v>
                </c:pt>
                <c:pt idx="18">
                  <c:v>12.797142846243686</c:v>
                </c:pt>
                <c:pt idx="19">
                  <c:v>12.9</c:v>
                </c:pt>
                <c:pt idx="20">
                  <c:v>11.968571390424414</c:v>
                </c:pt>
                <c:pt idx="21">
                  <c:v>9.89</c:v>
                </c:pt>
                <c:pt idx="22">
                  <c:v>8.57</c:v>
                </c:pt>
                <c:pt idx="23">
                  <c:v>9.6</c:v>
                </c:pt>
                <c:pt idx="24">
                  <c:v>7.91285726</c:v>
                </c:pt>
                <c:pt idx="25">
                  <c:v>8.911428656</c:v>
                </c:pt>
                <c:pt idx="26">
                  <c:v>7.2057142259999996</c:v>
                </c:pt>
                <c:pt idx="27">
                  <c:v>9.9999998639999994</c:v>
                </c:pt>
                <c:pt idx="28">
                  <c:v>6.7128572460000004</c:v>
                </c:pt>
                <c:pt idx="29">
                  <c:v>6.0797142300000004</c:v>
                </c:pt>
                <c:pt idx="30">
                  <c:v>4.9059999329703157</c:v>
                </c:pt>
                <c:pt idx="31">
                  <c:v>4.0242800000000001</c:v>
                </c:pt>
                <c:pt idx="32">
                  <c:v>4.354285752</c:v>
                </c:pt>
                <c:pt idx="33">
                  <c:v>4.3511429509999999</c:v>
                </c:pt>
                <c:pt idx="34">
                  <c:v>5.3042856629999999</c:v>
                </c:pt>
                <c:pt idx="35">
                  <c:v>7.46</c:v>
                </c:pt>
                <c:pt idx="36">
                  <c:v>7.79</c:v>
                </c:pt>
                <c:pt idx="37">
                  <c:v>8.5442856379999998</c:v>
                </c:pt>
                <c:pt idx="38">
                  <c:v>6.81</c:v>
                </c:pt>
                <c:pt idx="39">
                  <c:v>6.2752857208571422</c:v>
                </c:pt>
                <c:pt idx="40">
                  <c:v>9.9285714966910028</c:v>
                </c:pt>
                <c:pt idx="41">
                  <c:v>9.6800000322857152</c:v>
                </c:pt>
                <c:pt idx="42">
                  <c:v>10.33</c:v>
                </c:pt>
                <c:pt idx="43">
                  <c:v>11.29</c:v>
                </c:pt>
                <c:pt idx="44">
                  <c:v>9</c:v>
                </c:pt>
                <c:pt idx="45">
                  <c:v>8.81</c:v>
                </c:pt>
                <c:pt idx="46">
                  <c:v>9.3542860000000001</c:v>
                </c:pt>
                <c:pt idx="47">
                  <c:v>14.194285802</c:v>
                </c:pt>
                <c:pt idx="48">
                  <c:v>22.62</c:v>
                </c:pt>
                <c:pt idx="49">
                  <c:v>22.62</c:v>
                </c:pt>
                <c:pt idx="50">
                  <c:v>17.489999999999998</c:v>
                </c:pt>
                <c:pt idx="51">
                  <c:v>18.608285904285712</c:v>
                </c:pt>
                <c:pt idx="52">
                  <c:v>25.43</c:v>
                </c:pt>
                <c:pt idx="53">
                  <c:v>55.67</c:v>
                </c:pt>
                <c:pt idx="54">
                  <c:v>58.31</c:v>
                </c:pt>
                <c:pt idx="55">
                  <c:v>47.49</c:v>
                </c:pt>
                <c:pt idx="56">
                  <c:v>45.46</c:v>
                </c:pt>
                <c:pt idx="57">
                  <c:v>28.56</c:v>
                </c:pt>
                <c:pt idx="58">
                  <c:v>25.04</c:v>
                </c:pt>
                <c:pt idx="59">
                  <c:v>58.84</c:v>
                </c:pt>
                <c:pt idx="60">
                  <c:v>102.26</c:v>
                </c:pt>
                <c:pt idx="61">
                  <c:v>83.74</c:v>
                </c:pt>
                <c:pt idx="62">
                  <c:v>62.42</c:v>
                </c:pt>
                <c:pt idx="63">
                  <c:v>52.01</c:v>
                </c:pt>
                <c:pt idx="64">
                  <c:v>65.430000000000007</c:v>
                </c:pt>
                <c:pt idx="65">
                  <c:v>71.06</c:v>
                </c:pt>
                <c:pt idx="66">
                  <c:v>77.099999999999994</c:v>
                </c:pt>
                <c:pt idx="67">
                  <c:v>48.77</c:v>
                </c:pt>
                <c:pt idx="68">
                  <c:v>34.409999999999997</c:v>
                </c:pt>
                <c:pt idx="69">
                  <c:v>28.8</c:v>
                </c:pt>
                <c:pt idx="70">
                  <c:v>22.78</c:v>
                </c:pt>
                <c:pt idx="71">
                  <c:v>17.8</c:v>
                </c:pt>
                <c:pt idx="72">
                  <c:v>17.84</c:v>
                </c:pt>
                <c:pt idx="73">
                  <c:v>16.37</c:v>
                </c:pt>
                <c:pt idx="74">
                  <c:v>13.15</c:v>
                </c:pt>
                <c:pt idx="75">
                  <c:v>10.85</c:v>
                </c:pt>
                <c:pt idx="76">
                  <c:v>8.98</c:v>
                </c:pt>
                <c:pt idx="77">
                  <c:v>9.41</c:v>
                </c:pt>
                <c:pt idx="78">
                  <c:v>8.58</c:v>
                </c:pt>
                <c:pt idx="79">
                  <c:v>6.64</c:v>
                </c:pt>
                <c:pt idx="80">
                  <c:v>6.49</c:v>
                </c:pt>
                <c:pt idx="81">
                  <c:v>6.15</c:v>
                </c:pt>
                <c:pt idx="82">
                  <c:v>5.51</c:v>
                </c:pt>
                <c:pt idx="83">
                  <c:v>5.16</c:v>
                </c:pt>
                <c:pt idx="84">
                  <c:v>5.27</c:v>
                </c:pt>
                <c:pt idx="85">
                  <c:v>5.0599999999999996</c:v>
                </c:pt>
                <c:pt idx="86">
                  <c:v>4.84</c:v>
                </c:pt>
                <c:pt idx="87">
                  <c:v>4.8899999999999997</c:v>
                </c:pt>
                <c:pt idx="88">
                  <c:v>8.4</c:v>
                </c:pt>
                <c:pt idx="89">
                  <c:v>6.42</c:v>
                </c:pt>
                <c:pt idx="90">
                  <c:v>7.98</c:v>
                </c:pt>
                <c:pt idx="91">
                  <c:v>5.32</c:v>
                </c:pt>
                <c:pt idx="92">
                  <c:v>4.95</c:v>
                </c:pt>
                <c:pt idx="93">
                  <c:v>7.39</c:v>
                </c:pt>
                <c:pt idx="94">
                  <c:v>6.18</c:v>
                </c:pt>
                <c:pt idx="95">
                  <c:v>8.7899999999999991</c:v>
                </c:pt>
                <c:pt idx="96">
                  <c:v>11.45</c:v>
                </c:pt>
                <c:pt idx="97">
                  <c:v>14.58</c:v>
                </c:pt>
                <c:pt idx="98">
                  <c:v>12.14</c:v>
                </c:pt>
                <c:pt idx="99">
                  <c:v>12.516714369142859</c:v>
                </c:pt>
                <c:pt idx="100">
                  <c:v>18.826999800000003</c:v>
                </c:pt>
                <c:pt idx="101">
                  <c:v>20.280285972857143</c:v>
                </c:pt>
                <c:pt idx="102">
                  <c:v>34.849000112857141</c:v>
                </c:pt>
                <c:pt idx="103">
                  <c:v>35.335714887142856</c:v>
                </c:pt>
                <c:pt idx="104">
                  <c:v>63.23</c:v>
                </c:pt>
                <c:pt idx="105">
                  <c:v>56.654285431428562</c:v>
                </c:pt>
                <c:pt idx="106">
                  <c:v>68.516428267142857</c:v>
                </c:pt>
                <c:pt idx="107">
                  <c:v>58.935427530000005</c:v>
                </c:pt>
                <c:pt idx="108">
                  <c:v>45.332857951428579</c:v>
                </c:pt>
                <c:pt idx="109">
                  <c:v>65.987571171428584</c:v>
                </c:pt>
                <c:pt idx="110">
                  <c:v>97.722999031428586</c:v>
                </c:pt>
                <c:pt idx="111">
                  <c:v>142.13</c:v>
                </c:pt>
                <c:pt idx="112">
                  <c:v>142.13857270714286</c:v>
                </c:pt>
                <c:pt idx="113">
                  <c:v>72.30971418</c:v>
                </c:pt>
                <c:pt idx="114">
                  <c:v>119.7894287057143</c:v>
                </c:pt>
                <c:pt idx="115">
                  <c:v>152.80443028571429</c:v>
                </c:pt>
                <c:pt idx="116">
                  <c:v>107.32928468714286</c:v>
                </c:pt>
                <c:pt idx="117">
                  <c:v>80.936570849999995</c:v>
                </c:pt>
                <c:pt idx="118">
                  <c:v>42.693143572857146</c:v>
                </c:pt>
                <c:pt idx="119">
                  <c:v>33.717142651428574</c:v>
                </c:pt>
                <c:pt idx="120">
                  <c:v>27.06</c:v>
                </c:pt>
                <c:pt idx="121">
                  <c:v>22.269714081428571</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circle"/>
            <c:size val="3"/>
            <c:spPr>
              <a:solidFill>
                <a:schemeClr val="bg1"/>
              </a:solidFill>
              <a:ln w="0">
                <a:solidFill>
                  <a:srgbClr val="002060"/>
                </a:solidFill>
                <a:prstDash val="solid"/>
              </a:ln>
            </c:spPr>
          </c:marker>
          <c:val>
            <c:numRef>
              <c:f>'13.Caudales'!$X$4:$X$125</c:f>
              <c:numCache>
                <c:formatCode>0.0</c:formatCode>
                <c:ptCount val="122"/>
                <c:pt idx="0">
                  <c:v>109.19</c:v>
                </c:pt>
                <c:pt idx="1">
                  <c:v>177.91</c:v>
                </c:pt>
                <c:pt idx="2">
                  <c:v>248.28</c:v>
                </c:pt>
                <c:pt idx="3">
                  <c:v>142.55000000000001</c:v>
                </c:pt>
                <c:pt idx="4">
                  <c:v>251.59399999999999</c:v>
                </c:pt>
                <c:pt idx="5">
                  <c:v>388.05428210000002</c:v>
                </c:pt>
                <c:pt idx="6">
                  <c:v>283.21000240000001</c:v>
                </c:pt>
                <c:pt idx="7">
                  <c:v>414.29357470000002</c:v>
                </c:pt>
                <c:pt idx="8">
                  <c:v>382.60643219999997</c:v>
                </c:pt>
                <c:pt idx="9">
                  <c:v>245.78571646554084</c:v>
                </c:pt>
                <c:pt idx="10">
                  <c:v>239.62</c:v>
                </c:pt>
                <c:pt idx="11">
                  <c:v>150.27357046944684</c:v>
                </c:pt>
                <c:pt idx="12">
                  <c:v>116.33999633789</c:v>
                </c:pt>
                <c:pt idx="13">
                  <c:v>126.18428475516127</c:v>
                </c:pt>
                <c:pt idx="14">
                  <c:v>140.54571315220355</c:v>
                </c:pt>
                <c:pt idx="15">
                  <c:v>141.29</c:v>
                </c:pt>
                <c:pt idx="16">
                  <c:v>105.73500061035119</c:v>
                </c:pt>
                <c:pt idx="17">
                  <c:v>72.620000566754968</c:v>
                </c:pt>
                <c:pt idx="18">
                  <c:v>60.497857775006928</c:v>
                </c:pt>
                <c:pt idx="19">
                  <c:v>56.6</c:v>
                </c:pt>
                <c:pt idx="20">
                  <c:v>52.17071369716097</c:v>
                </c:pt>
                <c:pt idx="21">
                  <c:v>46.88</c:v>
                </c:pt>
                <c:pt idx="22">
                  <c:v>43.39</c:v>
                </c:pt>
                <c:pt idx="23">
                  <c:v>40.28</c:v>
                </c:pt>
                <c:pt idx="24">
                  <c:v>37.560714179999998</c:v>
                </c:pt>
                <c:pt idx="25">
                  <c:v>37.759999409999999</c:v>
                </c:pt>
                <c:pt idx="26">
                  <c:v>35.967143470000003</c:v>
                </c:pt>
                <c:pt idx="27">
                  <c:v>47.66357095</c:v>
                </c:pt>
                <c:pt idx="28">
                  <c:v>44.25</c:v>
                </c:pt>
                <c:pt idx="29">
                  <c:v>42.498571668352326</c:v>
                </c:pt>
                <c:pt idx="30">
                  <c:v>39.98428617204933</c:v>
                </c:pt>
                <c:pt idx="31">
                  <c:v>36.654999320000002</c:v>
                </c:pt>
                <c:pt idx="32">
                  <c:v>35.152857099999999</c:v>
                </c:pt>
                <c:pt idx="33">
                  <c:v>34.115715029999997</c:v>
                </c:pt>
                <c:pt idx="34">
                  <c:v>30.92</c:v>
                </c:pt>
                <c:pt idx="35">
                  <c:v>30.922143120000001</c:v>
                </c:pt>
                <c:pt idx="36">
                  <c:v>29.33</c:v>
                </c:pt>
                <c:pt idx="37">
                  <c:v>34.179286410000003</c:v>
                </c:pt>
                <c:pt idx="38">
                  <c:v>38.82</c:v>
                </c:pt>
                <c:pt idx="39">
                  <c:v>43.879284992857151</c:v>
                </c:pt>
                <c:pt idx="40">
                  <c:v>45.627857753208637</c:v>
                </c:pt>
                <c:pt idx="41">
                  <c:v>52.615000045714282</c:v>
                </c:pt>
                <c:pt idx="42">
                  <c:v>50.71</c:v>
                </c:pt>
                <c:pt idx="43">
                  <c:v>48.41</c:v>
                </c:pt>
                <c:pt idx="44">
                  <c:v>47.24</c:v>
                </c:pt>
                <c:pt idx="45">
                  <c:v>40.61</c:v>
                </c:pt>
                <c:pt idx="46">
                  <c:v>41.625</c:v>
                </c:pt>
                <c:pt idx="47">
                  <c:v>41.014285495714283</c:v>
                </c:pt>
                <c:pt idx="48">
                  <c:v>83.6</c:v>
                </c:pt>
                <c:pt idx="49">
                  <c:v>66.8</c:v>
                </c:pt>
                <c:pt idx="50">
                  <c:v>55.42</c:v>
                </c:pt>
                <c:pt idx="51">
                  <c:v>59.550713675714292</c:v>
                </c:pt>
                <c:pt idx="52">
                  <c:v>89.46</c:v>
                </c:pt>
                <c:pt idx="53">
                  <c:v>178.14</c:v>
                </c:pt>
                <c:pt idx="54">
                  <c:v>174.94</c:v>
                </c:pt>
                <c:pt idx="55">
                  <c:v>141.31</c:v>
                </c:pt>
                <c:pt idx="56">
                  <c:v>123.59</c:v>
                </c:pt>
                <c:pt idx="57">
                  <c:v>85.48</c:v>
                </c:pt>
                <c:pt idx="58">
                  <c:v>100.57</c:v>
                </c:pt>
                <c:pt idx="59">
                  <c:v>163.72999999999999</c:v>
                </c:pt>
                <c:pt idx="60">
                  <c:v>285.31</c:v>
                </c:pt>
                <c:pt idx="61">
                  <c:v>374.33</c:v>
                </c:pt>
                <c:pt idx="62">
                  <c:v>219.86</c:v>
                </c:pt>
                <c:pt idx="63">
                  <c:v>190.11</c:v>
                </c:pt>
                <c:pt idx="64">
                  <c:v>272.08999999999997</c:v>
                </c:pt>
                <c:pt idx="65">
                  <c:v>301.82</c:v>
                </c:pt>
                <c:pt idx="66">
                  <c:v>203.49</c:v>
                </c:pt>
                <c:pt idx="67">
                  <c:v>155.33000000000001</c:v>
                </c:pt>
                <c:pt idx="68">
                  <c:v>111.37</c:v>
                </c:pt>
                <c:pt idx="69">
                  <c:v>117.05</c:v>
                </c:pt>
                <c:pt idx="70">
                  <c:v>79.2</c:v>
                </c:pt>
                <c:pt idx="71">
                  <c:v>69.37</c:v>
                </c:pt>
                <c:pt idx="72">
                  <c:v>68.8</c:v>
                </c:pt>
                <c:pt idx="73">
                  <c:v>69.05</c:v>
                </c:pt>
                <c:pt idx="74">
                  <c:v>54.09</c:v>
                </c:pt>
                <c:pt idx="75">
                  <c:v>45.31</c:v>
                </c:pt>
                <c:pt idx="76">
                  <c:v>40.42</c:v>
                </c:pt>
                <c:pt idx="77">
                  <c:v>37.89</c:v>
                </c:pt>
                <c:pt idx="78">
                  <c:v>38.229999999999997</c:v>
                </c:pt>
                <c:pt idx="79">
                  <c:v>33.9</c:v>
                </c:pt>
                <c:pt idx="80">
                  <c:v>31.97</c:v>
                </c:pt>
                <c:pt idx="81">
                  <c:v>31.76</c:v>
                </c:pt>
                <c:pt idx="82">
                  <c:v>31.68</c:v>
                </c:pt>
                <c:pt idx="83">
                  <c:v>31.01</c:v>
                </c:pt>
                <c:pt idx="84">
                  <c:v>30.23</c:v>
                </c:pt>
                <c:pt idx="85">
                  <c:v>32.17</c:v>
                </c:pt>
                <c:pt idx="86">
                  <c:v>31.63</c:v>
                </c:pt>
                <c:pt idx="87">
                  <c:v>34.090000000000003</c:v>
                </c:pt>
                <c:pt idx="88">
                  <c:v>38.06</c:v>
                </c:pt>
                <c:pt idx="89">
                  <c:v>41.12</c:v>
                </c:pt>
                <c:pt idx="90">
                  <c:v>33.06</c:v>
                </c:pt>
                <c:pt idx="91">
                  <c:v>35.54</c:v>
                </c:pt>
                <c:pt idx="92">
                  <c:v>37.47</c:v>
                </c:pt>
                <c:pt idx="93">
                  <c:v>52.42</c:v>
                </c:pt>
                <c:pt idx="94">
                  <c:v>43.93</c:v>
                </c:pt>
                <c:pt idx="95">
                  <c:v>40.229999999999997</c:v>
                </c:pt>
                <c:pt idx="96">
                  <c:v>41.85</c:v>
                </c:pt>
                <c:pt idx="97">
                  <c:v>70.849999999999994</c:v>
                </c:pt>
                <c:pt idx="98">
                  <c:v>64.819999999999993</c:v>
                </c:pt>
                <c:pt idx="99">
                  <c:v>47.846427917142854</c:v>
                </c:pt>
                <c:pt idx="100">
                  <c:v>57.322143555714298</c:v>
                </c:pt>
                <c:pt idx="101">
                  <c:v>51.470714571428573</c:v>
                </c:pt>
                <c:pt idx="102">
                  <c:v>65.58357184285714</c:v>
                </c:pt>
                <c:pt idx="103">
                  <c:v>104.27285767571428</c:v>
                </c:pt>
                <c:pt idx="104">
                  <c:v>201.2428571428571</c:v>
                </c:pt>
                <c:pt idx="105">
                  <c:v>229.4250030571429</c:v>
                </c:pt>
                <c:pt idx="106">
                  <c:v>261.56357028571426</c:v>
                </c:pt>
                <c:pt idx="107">
                  <c:v>261.98000009999998</c:v>
                </c:pt>
                <c:pt idx="108">
                  <c:v>141.83571514285714</c:v>
                </c:pt>
                <c:pt idx="109">
                  <c:v>164.55714089999998</c:v>
                </c:pt>
                <c:pt idx="110">
                  <c:v>355.31285748571423</c:v>
                </c:pt>
                <c:pt idx="111">
                  <c:v>437.78</c:v>
                </c:pt>
                <c:pt idx="112">
                  <c:v>424.14571271428576</c:v>
                </c:pt>
                <c:pt idx="113">
                  <c:v>293.69142804285718</c:v>
                </c:pt>
                <c:pt idx="114">
                  <c:v>511.54500034285724</c:v>
                </c:pt>
                <c:pt idx="115">
                  <c:v>433.89143152857145</c:v>
                </c:pt>
                <c:pt idx="116">
                  <c:v>281.79928587142859</c:v>
                </c:pt>
                <c:pt idx="117">
                  <c:v>176.23214502857144</c:v>
                </c:pt>
                <c:pt idx="118">
                  <c:v>130.09</c:v>
                </c:pt>
                <c:pt idx="119">
                  <c:v>96.9</c:v>
                </c:pt>
                <c:pt idx="120">
                  <c:v>89.59</c:v>
                </c:pt>
                <c:pt idx="121">
                  <c:v>89.602142331428567</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91419763301439938"/>
              <c:y val="0.92770168283747612"/>
            </c:manualLayout>
          </c:layout>
          <c:overlay val="0"/>
        </c:title>
        <c:numFmt formatCode="General" sourceLinked="1"/>
        <c:majorTickMark val="out"/>
        <c:minorTickMark val="none"/>
        <c:tickLblPos val="nextTo"/>
        <c:crossAx val="351623424"/>
        <c:crosses val="autoZero"/>
        <c:auto val="1"/>
        <c:lblAlgn val="ctr"/>
        <c:lblOffset val="100"/>
        <c:tickLblSkip val="5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0.16908948927484632"/>
          <c:y val="0.15512966001237669"/>
          <c:w val="0.6785949544844444"/>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Julio 2017
INFSGI-MES-07-2017
10/08/2017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5.3936835207265155</c:v>
                </c:pt>
                <c:pt idx="1">
                  <c:v>5.2240615818375984</c:v>
                </c:pt>
                <c:pt idx="2">
                  <c:v>5.1574658683760681</c:v>
                </c:pt>
                <c:pt idx="3">
                  <c:v>5.1181320829059791</c:v>
                </c:pt>
                <c:pt idx="4">
                  <c:v>5.0428419478632485</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SAN JUAN 220</c:v>
                </c:pt>
                <c:pt idx="1">
                  <c:v>SANTA ROSA 220</c:v>
                </c:pt>
                <c:pt idx="2">
                  <c:v>CHAVARRIA 220</c:v>
                </c:pt>
                <c:pt idx="3">
                  <c:v>CARABAYLLO 220</c:v>
                </c:pt>
                <c:pt idx="4">
                  <c:v>INDEPENDENCIA 220</c:v>
                </c:pt>
                <c:pt idx="5">
                  <c:v>POMACOCHA 220</c:v>
                </c:pt>
                <c:pt idx="6">
                  <c:v>OROYA NUEVA 50</c:v>
                </c:pt>
              </c:strCache>
            </c:strRef>
          </c:cat>
          <c:val>
            <c:numRef>
              <c:f>'14. CMg'!$C$27:$I$27</c:f>
              <c:numCache>
                <c:formatCode>0.00</c:formatCode>
                <c:ptCount val="7"/>
                <c:pt idx="0">
                  <c:v>5.12826040726498</c:v>
                </c:pt>
                <c:pt idx="1">
                  <c:v>5.1168617091880524</c:v>
                </c:pt>
                <c:pt idx="2">
                  <c:v>5.1109222297008516</c:v>
                </c:pt>
                <c:pt idx="3">
                  <c:v>5.0735076388888833</c:v>
                </c:pt>
                <c:pt idx="4">
                  <c:v>4.9952980017094051</c:v>
                </c:pt>
                <c:pt idx="5">
                  <c:v>4.6754929423076996</c:v>
                </c:pt>
                <c:pt idx="6">
                  <c:v>4.5422249675213751</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PUNO 138</c:v>
                </c:pt>
                <c:pt idx="2">
                  <c:v>SOCABAYA 220</c:v>
                </c:pt>
                <c:pt idx="3">
                  <c:v>MOQUEGUA 138</c:v>
                </c:pt>
                <c:pt idx="4">
                  <c:v>DOLORESPATA 138</c:v>
                </c:pt>
                <c:pt idx="5">
                  <c:v>COTARUSE 220</c:v>
                </c:pt>
                <c:pt idx="6">
                  <c:v>SAN GABAN 138</c:v>
                </c:pt>
              </c:strCache>
            </c:strRef>
          </c:cat>
          <c:val>
            <c:numRef>
              <c:f>'14. CMg'!$C$46:$I$46</c:f>
              <c:numCache>
                <c:formatCode>0.00</c:formatCode>
                <c:ptCount val="7"/>
                <c:pt idx="0">
                  <c:v>5.3250524147436034</c:v>
                </c:pt>
                <c:pt idx="1">
                  <c:v>5.1602847382478672</c:v>
                </c:pt>
                <c:pt idx="2">
                  <c:v>5.1472382820513172</c:v>
                </c:pt>
                <c:pt idx="3">
                  <c:v>5.1374535858974371</c:v>
                </c:pt>
                <c:pt idx="4">
                  <c:v>4.9469091301282155</c:v>
                </c:pt>
                <c:pt idx="5">
                  <c:v>4.8932384737179397</c:v>
                </c:pt>
                <c:pt idx="6">
                  <c:v>4.7371357893162287</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3.5913179272011722E-2"/>
          <c:y val="0.1175050040415628"/>
          <c:w val="0.93112961596945032"/>
          <c:h val="0.79909868940686513"/>
        </c:manualLayout>
      </c:layout>
      <c:barChart>
        <c:barDir val="col"/>
        <c:grouping val="clustered"/>
        <c:varyColors val="0"/>
        <c:ser>
          <c:idx val="2"/>
          <c:order val="0"/>
          <c:tx>
            <c:strRef>
              <c:f>'16. Congestiones'!$F$6</c:f>
              <c:strCache>
                <c:ptCount val="1"/>
                <c:pt idx="0">
                  <c:v>ABRIL
 2016</c:v>
                </c:pt>
              </c:strCache>
            </c:strRef>
          </c:tx>
          <c:spPr>
            <a:solidFill>
              <a:schemeClr val="accent6"/>
            </a:solidFill>
          </c:spPr>
          <c:invertIfNegative val="0"/>
          <c:cat>
            <c:strRef>
              <c:f>'16. Congestiones'!$C$7:$C$13</c:f>
              <c:strCache>
                <c:ptCount val="7"/>
                <c:pt idx="0">
                  <c:v>Enlace Centro - Sur</c:v>
                </c:pt>
                <c:pt idx="1">
                  <c:v>San Juan - Los Industriales</c:v>
                </c:pt>
                <c:pt idx="2">
                  <c:v>Campo Armiño - Huancavelica</c:v>
                </c:pt>
                <c:pt idx="3">
                  <c:v>Independencia</c:v>
                </c:pt>
                <c:pt idx="4">
                  <c:v>Carhuamayo - Oroya Nueva</c:v>
                </c:pt>
                <c:pt idx="5">
                  <c:v>Huanza-Carabayllo</c:v>
                </c:pt>
                <c:pt idx="6">
                  <c:v>Pomacocha - San Juan</c:v>
                </c:pt>
              </c:strCache>
            </c:strRef>
          </c:cat>
          <c:val>
            <c:numRef>
              <c:f>'16. Congestiones'!$F$7:$F$13</c:f>
              <c:numCache>
                <c:formatCode>#,##0.00</c:formatCode>
                <c:ptCount val="7"/>
                <c:pt idx="0">
                  <c:v>54.6</c:v>
                </c:pt>
                <c:pt idx="1">
                  <c:v>100.03333333333332</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ABRIL
 2017</c:v>
                </c:pt>
              </c:strCache>
            </c:strRef>
          </c:tx>
          <c:invertIfNegative val="0"/>
          <c:cat>
            <c:strRef>
              <c:f>'16. Congestiones'!$C$7:$C$13</c:f>
              <c:strCache>
                <c:ptCount val="7"/>
                <c:pt idx="0">
                  <c:v>Enlace Centro - Sur</c:v>
                </c:pt>
                <c:pt idx="1">
                  <c:v>San Juan - Los Industriales</c:v>
                </c:pt>
                <c:pt idx="2">
                  <c:v>Campo Armiño - Huancavelica</c:v>
                </c:pt>
                <c:pt idx="3">
                  <c:v>Independencia</c:v>
                </c:pt>
                <c:pt idx="4">
                  <c:v>Carhuamayo - Oroya Nueva</c:v>
                </c:pt>
                <c:pt idx="5">
                  <c:v>Huanza-Carabayllo</c:v>
                </c:pt>
                <c:pt idx="6">
                  <c:v>Pomacocha - San Juan</c:v>
                </c:pt>
              </c:strCache>
            </c:strRef>
          </c:cat>
          <c:val>
            <c:numRef>
              <c:f>'16. Congestiones'!$E$7:$E$13</c:f>
              <c:numCache>
                <c:formatCode>#,##0.00</c:formatCode>
                <c:ptCount val="7"/>
                <c:pt idx="0">
                  <c:v>265.8</c:v>
                </c:pt>
                <c:pt idx="1">
                  <c:v>14.950000000000001</c:v>
                </c:pt>
                <c:pt idx="2">
                  <c:v>12.816666666666668</c:v>
                </c:pt>
                <c:pt idx="3">
                  <c:v>16.983333333333334</c:v>
                </c:pt>
                <c:pt idx="4">
                  <c:v>17.466666666666669</c:v>
                </c:pt>
                <c:pt idx="6">
                  <c:v>74.266666666666652</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ABRIL
 2018</c:v>
                </c:pt>
              </c:strCache>
            </c:strRef>
          </c:tx>
          <c:invertIfNegative val="0"/>
          <c:cat>
            <c:strRef>
              <c:f>'16. Congestiones'!$C$7:$C$13</c:f>
              <c:strCache>
                <c:ptCount val="7"/>
                <c:pt idx="0">
                  <c:v>Enlace Centro - Sur</c:v>
                </c:pt>
                <c:pt idx="1">
                  <c:v>San Juan - Los Industriales</c:v>
                </c:pt>
                <c:pt idx="2">
                  <c:v>Campo Armiño - Huancavelica</c:v>
                </c:pt>
                <c:pt idx="3">
                  <c:v>Independencia</c:v>
                </c:pt>
                <c:pt idx="4">
                  <c:v>Carhuamayo - Oroya Nueva</c:v>
                </c:pt>
                <c:pt idx="5">
                  <c:v>Huanza-Carabayllo</c:v>
                </c:pt>
                <c:pt idx="6">
                  <c:v>Pomacocha - San Juan</c:v>
                </c:pt>
              </c:strCache>
            </c:strRef>
          </c:cat>
          <c:val>
            <c:numRef>
              <c:f>'16. Congestiones'!$D$7:$D$13</c:f>
              <c:numCache>
                <c:formatCode>#,##0.00</c:formatCode>
                <c:ptCount val="7"/>
                <c:pt idx="3">
                  <c:v>78.899999999999977</c:v>
                </c:pt>
                <c:pt idx="5">
                  <c:v>67.766666666666666</c:v>
                </c:pt>
                <c:pt idx="6">
                  <c:v>76.599999999999994</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3.9859184398062441E-3"/>
              <c:y val="6.277616991279529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15906788488835297"/>
          <c:y val="1.7497032427713666E-2"/>
          <c:w val="0.6652715560880558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359459538747166"/>
          <c:y val="0.12872505532273043"/>
          <c:w val="0.57525123234360975"/>
          <c:h val="0.80570103107869762"/>
        </c:manualLayout>
      </c:layout>
      <c:pieChart>
        <c:varyColors val="1"/>
        <c:ser>
          <c:idx val="0"/>
          <c:order val="0"/>
          <c:explosion val="10"/>
          <c:dPt>
            <c:idx val="0"/>
            <c:bubble3D val="0"/>
            <c:spPr>
              <a:solidFill>
                <a:srgbClr val="6DA6D9"/>
              </a:solidFill>
            </c:spPr>
            <c:extLst>
              <c:ext xmlns:c16="http://schemas.microsoft.com/office/drawing/2014/chart" uri="{C3380CC4-5D6E-409C-BE32-E72D297353CC}">
                <c16:uniqueId val="{00000001-E0CC-4AD3-904F-2124A98CD904}"/>
              </c:ext>
            </c:extLst>
          </c:dPt>
          <c:dPt>
            <c:idx val="1"/>
            <c:bubble3D val="0"/>
            <c:explosion val="9"/>
            <c:extLst>
              <c:ext xmlns:c16="http://schemas.microsoft.com/office/drawing/2014/chart" uri="{C3380CC4-5D6E-409C-BE32-E72D297353CC}">
                <c16:uniqueId val="{00000003-E0CC-4AD3-904F-2124A98CD904}"/>
              </c:ext>
            </c:extLst>
          </c:dPt>
          <c:dPt>
            <c:idx val="2"/>
            <c:bubble3D val="0"/>
            <c:spPr>
              <a:solidFill>
                <a:srgbClr val="FF0000"/>
              </a:solidFill>
            </c:spPr>
            <c:extLst>
              <c:ext xmlns:c16="http://schemas.microsoft.com/office/drawing/2014/chart" uri="{C3380CC4-5D6E-409C-BE32-E72D297353CC}">
                <c16:uniqueId val="{00000004-E0CC-4AD3-904F-2124A98CD904}"/>
              </c:ext>
            </c:extLst>
          </c:dPt>
          <c:dLbls>
            <c:dLbl>
              <c:idx val="0"/>
              <c:layout>
                <c:manualLayout>
                  <c:x val="6.0243386435985938E-2"/>
                  <c:y val="-6.1503644626446433E-2"/>
                </c:manualLayout>
              </c:layout>
              <c:numFmt formatCode="General" sourceLinked="0"/>
              <c:spPr/>
              <c:txPr>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0CC-4AD3-904F-2124A98CD904}"/>
                </c:ext>
              </c:extLst>
            </c:dLbl>
            <c:dLbl>
              <c:idx val="1"/>
              <c:layout>
                <c:manualLayout>
                  <c:x val="-7.6483175637709788E-2"/>
                  <c:y val="7.5129721922105056E-2"/>
                </c:manualLayout>
              </c:layout>
              <c:numFmt formatCode="General" sourceLinked="0"/>
              <c:spPr/>
              <c:txPr>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0CC-4AD3-904F-2124A98CD904}"/>
                </c:ext>
              </c:extLst>
            </c:dLbl>
            <c:dLbl>
              <c:idx val="2"/>
              <c:layout>
                <c:manualLayout>
                  <c:x val="-9.0798429194585306E-2"/>
                  <c:y val="3.4187293252533363E-2"/>
                </c:manualLayout>
              </c:layout>
              <c:numFmt formatCode="General" sourceLinked="0"/>
              <c:spPr/>
              <c:txPr>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CC-4AD3-904F-2124A98CD904}"/>
                </c:ext>
              </c:extLst>
            </c:dLbl>
            <c:dLbl>
              <c:idx val="3"/>
              <c:layout>
                <c:manualLayout>
                  <c:x val="-5.385464109978718E-2"/>
                  <c:y val="3.1395489924682177E-2"/>
                </c:manualLayout>
              </c:layout>
              <c:numFmt formatCode="General" sourceLinked="0"/>
              <c:spPr>
                <a:noFill/>
                <a:ln>
                  <a:noFill/>
                </a:ln>
                <a:effectLst/>
              </c:spPr>
              <c:txPr>
                <a:bodyPr wrap="square" lIns="38100" tIns="19050" rIns="38100" bIns="19050" anchor="ctr">
                  <a:noAutofit/>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2664869594621683"/>
                      <c:h val="0.14490706620409483"/>
                    </c:manualLayout>
                  </c15:layout>
                </c:ext>
                <c:ext xmlns:c16="http://schemas.microsoft.com/office/drawing/2014/chart" uri="{C3380CC4-5D6E-409C-BE32-E72D297353CC}">
                  <c16:uniqueId val="{00000005-E0CC-4AD3-904F-2124A98CD904}"/>
                </c:ext>
              </c:extLst>
            </c:dLbl>
            <c:dLbl>
              <c:idx val="4"/>
              <c:layout>
                <c:manualLayout>
                  <c:x val="-6.8489763354147373E-2"/>
                  <c:y val="-4.67642351177157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CC-4AD3-904F-2124A98CD904}"/>
                </c:ext>
              </c:extLst>
            </c:dLbl>
            <c:dLbl>
              <c:idx val="5"/>
              <c:layout>
                <c:manualLayout>
                  <c:x val="0.30524863563710647"/>
                  <c:y val="0.73203744315219932"/>
                </c:manualLayout>
              </c:layout>
              <c:numFmt formatCode="General" sourceLinked="0"/>
              <c:spPr/>
              <c:txPr>
                <a:bodyPr/>
                <a:lstStyle/>
                <a:p>
                  <a:pPr>
                    <a:defRPr sz="600">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0.18862502200585313"/>
                  <c:y val="-6.1542125793172871E-2"/>
                </c:manualLayout>
              </c:layout>
              <c:numFmt formatCode="General" sourceLinked="0"/>
              <c:spPr/>
              <c:txPr>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0CC-4AD3-904F-2124A98CD904}"/>
                </c:ext>
              </c:extLst>
            </c:dLbl>
            <c:numFmt formatCode="General" sourceLinked="0"/>
            <c:spPr>
              <a:noFill/>
              <a:ln>
                <a:noFill/>
              </a:ln>
              <a:effectLst/>
            </c:spPr>
            <c:txPr>
              <a:bodyPr wrap="square" lIns="38100" tIns="19050" rIns="38100" bIns="19050" anchor="ctr">
                <a:spAutoFit/>
              </a:bodyPr>
              <a:lstStyle/>
              <a:p>
                <a:pPr>
                  <a:defRPr sz="600"/>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Eventos'!$B$12:$H$12</c:f>
              <c:numCache>
                <c:formatCode>General</c:formatCode>
                <c:ptCount val="7"/>
                <c:pt idx="0">
                  <c:v>20</c:v>
                </c:pt>
                <c:pt idx="1">
                  <c:v>6</c:v>
                </c:pt>
                <c:pt idx="2">
                  <c:v>1</c:v>
                </c:pt>
                <c:pt idx="3">
                  <c:v>22</c:v>
                </c:pt>
                <c:pt idx="4">
                  <c:v>6</c:v>
                </c:pt>
                <c:pt idx="5">
                  <c:v>0</c:v>
                </c:pt>
                <c:pt idx="6">
                  <c:v>2</c:v>
                </c:pt>
              </c:numCache>
            </c:numRef>
          </c:val>
          <c:extLst>
            <c:ext xmlns:c16="http://schemas.microsoft.com/office/drawing/2014/chart" uri="{C3380CC4-5D6E-409C-BE32-E72D297353CC}">
              <c16:uniqueId val="{00000009-E0CC-4AD3-904F-2124A98CD904}"/>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767046320672438"/>
          <c:y val="0.15411433058476062"/>
          <c:w val="0.85404588316134722"/>
          <c:h val="0.63039276869020633"/>
        </c:manualLayout>
      </c:layout>
      <c:barChart>
        <c:barDir val="col"/>
        <c:grouping val="stacked"/>
        <c:varyColors val="0"/>
        <c:ser>
          <c:idx val="0"/>
          <c:order val="0"/>
          <c:tx>
            <c:strRef>
              <c:f>'17. Eventos'!$B$6</c:f>
              <c:strCache>
                <c:ptCount val="1"/>
                <c:pt idx="0">
                  <c:v>FNA</c:v>
                </c:pt>
              </c:strCache>
            </c:strRef>
          </c:tx>
          <c:spPr>
            <a:solidFill>
              <a:srgbClr val="6DA6D9"/>
            </a:solidFill>
            <a:effectLst>
              <a:outerShdw blurRad="50800" dist="50800" dir="5400000" algn="ctr" rotWithShape="0">
                <a:srgbClr val="6DA6D9"/>
              </a:outerShdw>
            </a:effectLst>
          </c:spPr>
          <c:invertIfNegative val="0"/>
          <c:cat>
            <c:strRef>
              <c:f>'17. Eventos'!$A$7:$A$11</c:f>
              <c:strCache>
                <c:ptCount val="5"/>
                <c:pt idx="0">
                  <c:v>LINEA DE TRANSMISION</c:v>
                </c:pt>
                <c:pt idx="1">
                  <c:v>BARRA</c:v>
                </c:pt>
                <c:pt idx="2">
                  <c:v>TRANSFORMADOR</c:v>
                </c:pt>
                <c:pt idx="3">
                  <c:v>SUBESTACION</c:v>
                </c:pt>
                <c:pt idx="4">
                  <c:v>GENERADOR 
TERMOELÉCTRICO</c:v>
                </c:pt>
              </c:strCache>
            </c:strRef>
          </c:cat>
          <c:val>
            <c:numRef>
              <c:f>'17. Eventos'!$B$7:$B$11</c:f>
              <c:numCache>
                <c:formatCode>General</c:formatCode>
                <c:ptCount val="5"/>
                <c:pt idx="0">
                  <c:v>20</c:v>
                </c:pt>
              </c:numCache>
            </c:numRef>
          </c:val>
          <c:extLst>
            <c:ext xmlns:c16="http://schemas.microsoft.com/office/drawing/2014/chart" uri="{C3380CC4-5D6E-409C-BE32-E72D297353CC}">
              <c16:uniqueId val="{00000000-3A39-4F5B-963C-EC345192568E}"/>
            </c:ext>
          </c:extLst>
        </c:ser>
        <c:ser>
          <c:idx val="1"/>
          <c:order val="1"/>
          <c:tx>
            <c:strRef>
              <c:f>'17. Eventos'!$C$6</c:f>
              <c:strCache>
                <c:ptCount val="1"/>
                <c:pt idx="0">
                  <c:v>FEC</c:v>
                </c:pt>
              </c:strCache>
            </c:strRef>
          </c:tx>
          <c:invertIfNegative val="0"/>
          <c:cat>
            <c:strRef>
              <c:f>'17. Eventos'!$A$7:$A$11</c:f>
              <c:strCache>
                <c:ptCount val="5"/>
                <c:pt idx="0">
                  <c:v>LINEA DE TRANSMISION</c:v>
                </c:pt>
                <c:pt idx="1">
                  <c:v>BARRA</c:v>
                </c:pt>
                <c:pt idx="2">
                  <c:v>TRANSFORMADOR</c:v>
                </c:pt>
                <c:pt idx="3">
                  <c:v>SUBESTACION</c:v>
                </c:pt>
                <c:pt idx="4">
                  <c:v>GENERADOR 
TERMOELÉCTRICO</c:v>
                </c:pt>
              </c:strCache>
            </c:strRef>
          </c:cat>
          <c:val>
            <c:numRef>
              <c:f>'17. Eventos'!$C$7:$C$11</c:f>
              <c:numCache>
                <c:formatCode>General</c:formatCode>
                <c:ptCount val="5"/>
                <c:pt idx="0">
                  <c:v>3</c:v>
                </c:pt>
                <c:pt idx="2">
                  <c:v>2</c:v>
                </c:pt>
                <c:pt idx="4">
                  <c:v>1</c:v>
                </c:pt>
              </c:numCache>
            </c:numRef>
          </c:val>
          <c:extLst>
            <c:ext xmlns:c16="http://schemas.microsoft.com/office/drawing/2014/chart" uri="{C3380CC4-5D6E-409C-BE32-E72D297353CC}">
              <c16:uniqueId val="{00000001-3A39-4F5B-963C-EC345192568E}"/>
            </c:ext>
          </c:extLst>
        </c:ser>
        <c:ser>
          <c:idx val="2"/>
          <c:order val="2"/>
          <c:tx>
            <c:strRef>
              <c:f>'17. Eventos'!$D$6</c:f>
              <c:strCache>
                <c:ptCount val="1"/>
                <c:pt idx="0">
                  <c:v>EXT</c:v>
                </c:pt>
              </c:strCache>
            </c:strRef>
          </c:tx>
          <c:spPr>
            <a:solidFill>
              <a:srgbClr val="FF0000"/>
            </a:solidFill>
          </c:spPr>
          <c:invertIfNegative val="0"/>
          <c:cat>
            <c:strRef>
              <c:f>'17. Eventos'!$A$7:$A$11</c:f>
              <c:strCache>
                <c:ptCount val="5"/>
                <c:pt idx="0">
                  <c:v>LINEA DE TRANSMISION</c:v>
                </c:pt>
                <c:pt idx="1">
                  <c:v>BARRA</c:v>
                </c:pt>
                <c:pt idx="2">
                  <c:v>TRANSFORMADOR</c:v>
                </c:pt>
                <c:pt idx="3">
                  <c:v>SUBESTACION</c:v>
                </c:pt>
                <c:pt idx="4">
                  <c:v>GENERADOR 
TERMOELÉCTRICO</c:v>
                </c:pt>
              </c:strCache>
            </c:strRef>
          </c:cat>
          <c:val>
            <c:numRef>
              <c:f>'17. Eventos'!$D$7:$D$11</c:f>
              <c:numCache>
                <c:formatCode>General</c:formatCode>
                <c:ptCount val="5"/>
                <c:pt idx="0">
                  <c:v>1</c:v>
                </c:pt>
              </c:numCache>
            </c:numRef>
          </c:val>
          <c:extLst>
            <c:ext xmlns:c16="http://schemas.microsoft.com/office/drawing/2014/chart" uri="{C3380CC4-5D6E-409C-BE32-E72D297353CC}">
              <c16:uniqueId val="{00000002-3A39-4F5B-963C-EC345192568E}"/>
            </c:ext>
          </c:extLst>
        </c:ser>
        <c:ser>
          <c:idx val="3"/>
          <c:order val="3"/>
          <c:tx>
            <c:strRef>
              <c:f>'17. Eventos'!$E$6</c:f>
              <c:strCache>
                <c:ptCount val="1"/>
                <c:pt idx="0">
                  <c:v>OTR</c:v>
                </c:pt>
              </c:strCache>
            </c:strRef>
          </c:tx>
          <c:invertIfNegative val="0"/>
          <c:cat>
            <c:strRef>
              <c:f>'17. Eventos'!$A$7:$A$11</c:f>
              <c:strCache>
                <c:ptCount val="5"/>
                <c:pt idx="0">
                  <c:v>LINEA DE TRANSMISION</c:v>
                </c:pt>
                <c:pt idx="1">
                  <c:v>BARRA</c:v>
                </c:pt>
                <c:pt idx="2">
                  <c:v>TRANSFORMADOR</c:v>
                </c:pt>
                <c:pt idx="3">
                  <c:v>SUBESTACION</c:v>
                </c:pt>
                <c:pt idx="4">
                  <c:v>GENERADOR 
TERMOELÉCTRICO</c:v>
                </c:pt>
              </c:strCache>
            </c:strRef>
          </c:cat>
          <c:val>
            <c:numRef>
              <c:f>'17. Eventos'!$E$7:$E$11</c:f>
              <c:numCache>
                <c:formatCode>General</c:formatCode>
                <c:ptCount val="5"/>
                <c:pt idx="0">
                  <c:v>17</c:v>
                </c:pt>
                <c:pt idx="1">
                  <c:v>1</c:v>
                </c:pt>
                <c:pt idx="3">
                  <c:v>4</c:v>
                </c:pt>
              </c:numCache>
            </c:numRef>
          </c:val>
          <c:extLst>
            <c:ext xmlns:c16="http://schemas.microsoft.com/office/drawing/2014/chart" uri="{C3380CC4-5D6E-409C-BE32-E72D297353CC}">
              <c16:uniqueId val="{00000003-3A39-4F5B-963C-EC345192568E}"/>
            </c:ext>
          </c:extLst>
        </c:ser>
        <c:ser>
          <c:idx val="4"/>
          <c:order val="4"/>
          <c:tx>
            <c:strRef>
              <c:f>'17. Eventos'!$F$6</c:f>
              <c:strCache>
                <c:ptCount val="1"/>
                <c:pt idx="0">
                  <c:v>FNI</c:v>
                </c:pt>
              </c:strCache>
            </c:strRef>
          </c:tx>
          <c:invertIfNegative val="0"/>
          <c:cat>
            <c:strRef>
              <c:f>'17. Eventos'!$A$7:$A$11</c:f>
              <c:strCache>
                <c:ptCount val="5"/>
                <c:pt idx="0">
                  <c:v>LINEA DE TRANSMISION</c:v>
                </c:pt>
                <c:pt idx="1">
                  <c:v>BARRA</c:v>
                </c:pt>
                <c:pt idx="2">
                  <c:v>TRANSFORMADOR</c:v>
                </c:pt>
                <c:pt idx="3">
                  <c:v>SUBESTACION</c:v>
                </c:pt>
                <c:pt idx="4">
                  <c:v>GENERADOR 
TERMOELÉCTRICO</c:v>
                </c:pt>
              </c:strCache>
            </c:strRef>
          </c:cat>
          <c:val>
            <c:numRef>
              <c:f>'17. Eventos'!$F$7:$F$11</c:f>
              <c:numCache>
                <c:formatCode>General</c:formatCode>
                <c:ptCount val="5"/>
                <c:pt idx="0">
                  <c:v>6</c:v>
                </c:pt>
              </c:numCache>
            </c:numRef>
          </c:val>
          <c:extLst>
            <c:ext xmlns:c16="http://schemas.microsoft.com/office/drawing/2014/chart" uri="{C3380CC4-5D6E-409C-BE32-E72D297353CC}">
              <c16:uniqueId val="{00000004-3A39-4F5B-963C-EC345192568E}"/>
            </c:ext>
          </c:extLst>
        </c:ser>
        <c:ser>
          <c:idx val="5"/>
          <c:order val="5"/>
          <c:tx>
            <c:strRef>
              <c:f>'17. Eventos'!$G$6</c:f>
              <c:strCache>
                <c:ptCount val="1"/>
                <c:pt idx="0">
                  <c:v>FEP</c:v>
                </c:pt>
              </c:strCache>
            </c:strRef>
          </c:tx>
          <c:invertIfNegative val="0"/>
          <c:cat>
            <c:strRef>
              <c:f>'17. Eventos'!$A$7:$A$11</c:f>
              <c:strCache>
                <c:ptCount val="5"/>
                <c:pt idx="0">
                  <c:v>LINEA DE TRANSMISION</c:v>
                </c:pt>
                <c:pt idx="1">
                  <c:v>BARRA</c:v>
                </c:pt>
                <c:pt idx="2">
                  <c:v>TRANSFORMADOR</c:v>
                </c:pt>
                <c:pt idx="3">
                  <c:v>SUBESTACION</c:v>
                </c:pt>
                <c:pt idx="4">
                  <c:v>GENERADOR 
TERMOELÉCTRICO</c:v>
                </c:pt>
              </c:strCache>
            </c:strRef>
          </c:cat>
          <c:val>
            <c:numRef>
              <c:f>'17. Eventos'!$G$7:$G$11</c:f>
              <c:numCache>
                <c:formatCode>General</c:formatCode>
                <c:ptCount val="5"/>
              </c:numCache>
            </c:numRef>
          </c:val>
          <c:extLst>
            <c:ext xmlns:c16="http://schemas.microsoft.com/office/drawing/2014/chart" uri="{C3380CC4-5D6E-409C-BE32-E72D297353CC}">
              <c16:uniqueId val="{00000005-3A39-4F5B-963C-EC345192568E}"/>
            </c:ext>
          </c:extLst>
        </c:ser>
        <c:ser>
          <c:idx val="6"/>
          <c:order val="6"/>
          <c:tx>
            <c:strRef>
              <c:f>'17. Eventos'!$H$6</c:f>
              <c:strCache>
                <c:ptCount val="1"/>
                <c:pt idx="0">
                  <c:v>FHU</c:v>
                </c:pt>
              </c:strCache>
            </c:strRef>
          </c:tx>
          <c:invertIfNegative val="0"/>
          <c:cat>
            <c:strRef>
              <c:f>'17. Eventos'!$A$7:$A$11</c:f>
              <c:strCache>
                <c:ptCount val="5"/>
                <c:pt idx="0">
                  <c:v>LINEA DE TRANSMISION</c:v>
                </c:pt>
                <c:pt idx="1">
                  <c:v>BARRA</c:v>
                </c:pt>
                <c:pt idx="2">
                  <c:v>TRANSFORMADOR</c:v>
                </c:pt>
                <c:pt idx="3">
                  <c:v>SUBESTACION</c:v>
                </c:pt>
                <c:pt idx="4">
                  <c:v>GENERADOR 
TERMOELÉCTRICO</c:v>
                </c:pt>
              </c:strCache>
            </c:strRef>
          </c:cat>
          <c:val>
            <c:numRef>
              <c:f>'17. Eventos'!$H$7:$H$11</c:f>
              <c:numCache>
                <c:formatCode>General</c:formatCode>
                <c:ptCount val="5"/>
                <c:pt idx="0">
                  <c:v>1</c:v>
                </c:pt>
                <c:pt idx="3">
                  <c:v>1</c:v>
                </c:pt>
              </c:numCache>
            </c:numRef>
          </c:val>
          <c:extLst>
            <c:ext xmlns:c16="http://schemas.microsoft.com/office/drawing/2014/chart" uri="{C3380CC4-5D6E-409C-BE32-E72D297353CC}">
              <c16:uniqueId val="{00000006-3A39-4F5B-963C-EC345192568E}"/>
            </c:ext>
          </c:extLst>
        </c:ser>
        <c:dLbls>
          <c:showLegendKey val="0"/>
          <c:showVal val="0"/>
          <c:showCatName val="0"/>
          <c:showSerName val="0"/>
          <c:showPercent val="0"/>
          <c:showBubbleSize val="0"/>
        </c:dLbls>
        <c:gapWidth val="150"/>
        <c:overlap val="100"/>
        <c:axId val="352867840"/>
        <c:axId val="352869376"/>
      </c:barChart>
      <c:catAx>
        <c:axId val="352867840"/>
        <c:scaling>
          <c:orientation val="minMax"/>
        </c:scaling>
        <c:delete val="0"/>
        <c:axPos val="b"/>
        <c:numFmt formatCode="General" sourceLinked="0"/>
        <c:majorTickMark val="out"/>
        <c:minorTickMark val="none"/>
        <c:tickLblPos val="nextTo"/>
        <c:txPr>
          <a:bodyPr/>
          <a:lstStyle/>
          <a:p>
            <a:pPr>
              <a:defRPr sz="500"/>
            </a:pPr>
            <a:endParaRPr lang="es-PE"/>
          </a:p>
        </c:txPr>
        <c:crossAx val="352869376"/>
        <c:crosses val="autoZero"/>
        <c:auto val="1"/>
        <c:lblAlgn val="ctr"/>
        <c:lblOffset val="100"/>
        <c:noMultiLvlLbl val="0"/>
      </c:catAx>
      <c:valAx>
        <c:axId val="352869376"/>
        <c:scaling>
          <c:orientation val="minMax"/>
        </c:scaling>
        <c:delete val="0"/>
        <c:axPos val="l"/>
        <c:majorGridlines/>
        <c:title>
          <c:tx>
            <c:rich>
              <a:bodyPr rot="0" vert="horz"/>
              <a:lstStyle/>
              <a:p>
                <a:pPr>
                  <a:defRPr sz="600"/>
                </a:pPr>
                <a:r>
                  <a:rPr lang="en-US" sz="600"/>
                  <a:t>N° DE FALLAS</a:t>
                </a:r>
              </a:p>
            </c:rich>
          </c:tx>
          <c:layout>
            <c:manualLayout>
              <c:xMode val="edge"/>
              <c:yMode val="edge"/>
              <c:x val="2.4597092847016402E-2"/>
              <c:y val="3.8461376330487934E-2"/>
            </c:manualLayout>
          </c:layout>
          <c:overlay val="0"/>
        </c:title>
        <c:numFmt formatCode="General" sourceLinked="1"/>
        <c:majorTickMark val="out"/>
        <c:minorTickMark val="none"/>
        <c:tickLblPos val="nextTo"/>
        <c:txPr>
          <a:bodyPr/>
          <a:lstStyle/>
          <a:p>
            <a:pPr>
              <a:defRPr sz="700"/>
            </a:pPr>
            <a:endParaRPr lang="es-PE"/>
          </a:p>
        </c:txPr>
        <c:crossAx val="352867840"/>
        <c:crosses val="autoZero"/>
        <c:crossBetween val="between"/>
      </c:valAx>
    </c:plotArea>
    <c:legend>
      <c:legendPos val="r"/>
      <c:layout>
        <c:manualLayout>
          <c:xMode val="edge"/>
          <c:yMode val="edge"/>
          <c:x val="0.22390875865547152"/>
          <c:y val="5.7345558014543156E-2"/>
          <c:w val="0.72708896216522545"/>
          <c:h val="7.1763471867969358E-2"/>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4817540936162034E-2"/>
          <c:y val="9.4498598583222973E-2"/>
          <c:w val="0.66250934144560814"/>
          <c:h val="0.75611868754961753"/>
        </c:manualLayout>
      </c:layout>
      <c:barChart>
        <c:barDir val="bar"/>
        <c:grouping val="stacked"/>
        <c:varyColors val="0"/>
        <c:ser>
          <c:idx val="0"/>
          <c:order val="0"/>
          <c:tx>
            <c:strRef>
              <c:f>'2. Oferta de generación'!$B$35:$C$35</c:f>
              <c:strCache>
                <c:ptCount val="2"/>
                <c:pt idx="0">
                  <c:v>HIDROELÉCTRICA</c:v>
                </c:pt>
              </c:strCache>
            </c:strRef>
          </c:tx>
          <c:invertIfNegative val="0"/>
          <c:cat>
            <c:strRef>
              <c:f>'2. Oferta de generación'!$D$34:$E$34</c:f>
              <c:strCache>
                <c:ptCount val="2"/>
                <c:pt idx="0">
                  <c:v>ABRIL 2018</c:v>
                </c:pt>
                <c:pt idx="1">
                  <c:v>ABRIL 2017</c:v>
                </c:pt>
              </c:strCache>
            </c:strRef>
          </c:cat>
          <c:val>
            <c:numRef>
              <c:f>'2. Oferta de generación'!$D$35:$E$35</c:f>
              <c:numCache>
                <c:formatCode>#,##0.0</c:formatCode>
                <c:ptCount val="2"/>
                <c:pt idx="0">
                  <c:v>4904.5012475000012</c:v>
                </c:pt>
                <c:pt idx="1">
                  <c:v>4968.0372475000004</c:v>
                </c:pt>
              </c:numCache>
            </c:numRef>
          </c:val>
          <c:extLst>
            <c:ext xmlns:c16="http://schemas.microsoft.com/office/drawing/2014/chart" uri="{C3380CC4-5D6E-409C-BE32-E72D297353CC}">
              <c16:uniqueId val="{00000004-54B0-402D-913D-0304413B844F}"/>
            </c:ext>
          </c:extLst>
        </c:ser>
        <c:ser>
          <c:idx val="1"/>
          <c:order val="1"/>
          <c:tx>
            <c:strRef>
              <c:f>'2. Oferta de generación'!$B$36:$C$36</c:f>
              <c:strCache>
                <c:ptCount val="2"/>
                <c:pt idx="0">
                  <c:v>TERMOELÉCTRICA</c:v>
                </c:pt>
              </c:strCache>
            </c:strRef>
          </c:tx>
          <c:spPr>
            <a:solidFill>
              <a:schemeClr val="accent2"/>
            </a:solidFill>
          </c:spPr>
          <c:invertIfNegative val="0"/>
          <c:cat>
            <c:strRef>
              <c:f>'2. Oferta de generación'!$D$34:$E$34</c:f>
              <c:strCache>
                <c:ptCount val="2"/>
                <c:pt idx="0">
                  <c:v>ABRIL 2018</c:v>
                </c:pt>
                <c:pt idx="1">
                  <c:v>ABRIL 2017</c:v>
                </c:pt>
              </c:strCache>
            </c:strRef>
          </c:cat>
          <c:val>
            <c:numRef>
              <c:f>'2. Oferta de generación'!$D$36:$E$36</c:f>
              <c:numCache>
                <c:formatCode>#,##0.0</c:formatCode>
                <c:ptCount val="2"/>
                <c:pt idx="0">
                  <c:v>7393.5644999999995</c:v>
                </c:pt>
                <c:pt idx="1">
                  <c:v>7373.5784999999987</c:v>
                </c:pt>
              </c:numCache>
            </c:numRef>
          </c:val>
          <c:extLst>
            <c:ext xmlns:c16="http://schemas.microsoft.com/office/drawing/2014/chart" uri="{C3380CC4-5D6E-409C-BE32-E72D297353CC}">
              <c16:uniqueId val="{00000005-54B0-402D-913D-0304413B844F}"/>
            </c:ext>
          </c:extLst>
        </c:ser>
        <c:ser>
          <c:idx val="2"/>
          <c:order val="2"/>
          <c:tx>
            <c:strRef>
              <c:f>'2. Oferta de generación'!$B$37:$C$37</c:f>
              <c:strCache>
                <c:ptCount val="2"/>
                <c:pt idx="0">
                  <c:v>EÓLICA</c:v>
                </c:pt>
              </c:strCache>
            </c:strRef>
          </c:tx>
          <c:spPr>
            <a:solidFill>
              <a:srgbClr val="6DA6D9"/>
            </a:solidFill>
          </c:spPr>
          <c:invertIfNegative val="0"/>
          <c:cat>
            <c:strRef>
              <c:f>'2. Oferta de generación'!$D$34:$E$34</c:f>
              <c:strCache>
                <c:ptCount val="2"/>
                <c:pt idx="0">
                  <c:v>ABRIL 2018</c:v>
                </c:pt>
                <c:pt idx="1">
                  <c:v>ABRIL 2017</c:v>
                </c:pt>
              </c:strCache>
            </c:strRef>
          </c:cat>
          <c:val>
            <c:numRef>
              <c:f>'2. Oferta de generación'!$D$37:$E$37</c:f>
              <c:numCache>
                <c:formatCode>#,##0.0</c:formatCode>
                <c:ptCount val="2"/>
                <c:pt idx="0">
                  <c:v>243.16</c:v>
                </c:pt>
                <c:pt idx="1">
                  <c:v>96</c:v>
                </c:pt>
              </c:numCache>
            </c:numRef>
          </c:val>
          <c:extLst>
            <c:ext xmlns:c16="http://schemas.microsoft.com/office/drawing/2014/chart" uri="{C3380CC4-5D6E-409C-BE32-E72D297353CC}">
              <c16:uniqueId val="{00000006-54B0-402D-913D-0304413B844F}"/>
            </c:ext>
          </c:extLst>
        </c:ser>
        <c:ser>
          <c:idx val="3"/>
          <c:order val="3"/>
          <c:tx>
            <c:strRef>
              <c:f>'2. Oferta de generación'!$B$38:$C$38</c:f>
              <c:strCache>
                <c:ptCount val="2"/>
                <c:pt idx="0">
                  <c:v>SOLAR</c:v>
                </c:pt>
              </c:strCache>
            </c:strRef>
          </c:tx>
          <c:invertIfNegative val="0"/>
          <c:cat>
            <c:strRef>
              <c:f>'2. Oferta de generación'!$D$34:$E$34</c:f>
              <c:strCache>
                <c:ptCount val="2"/>
                <c:pt idx="0">
                  <c:v>ABRIL 2018</c:v>
                </c:pt>
                <c:pt idx="1">
                  <c:v>ABRIL 2017</c:v>
                </c:pt>
              </c:strCache>
            </c:strRef>
          </c:cat>
          <c:val>
            <c:numRef>
              <c:f>'2. Oferta de generación'!$D$38:$E$38</c:f>
              <c:numCache>
                <c:formatCode>#,##0.0</c:formatCode>
                <c:ptCount val="2"/>
                <c:pt idx="0">
                  <c:v>285.02</c:v>
                </c:pt>
                <c:pt idx="1">
                  <c:v>243.16</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crossAx val="363950080"/>
        <c:crosses val="autoZero"/>
        <c:crossBetween val="between"/>
      </c:valAx>
    </c:plotArea>
    <c:legend>
      <c:legendPos val="r"/>
      <c:layout>
        <c:manualLayout>
          <c:xMode val="edge"/>
          <c:yMode val="edge"/>
          <c:x val="0.78598738032030491"/>
          <c:y val="0.33306767186314951"/>
          <c:w val="0.15376585619403896"/>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8581869765562986"/>
        </c:manualLayout>
      </c:layout>
      <c:barChart>
        <c:barDir val="col"/>
        <c:grouping val="clustered"/>
        <c:varyColors val="0"/>
        <c:ser>
          <c:idx val="0"/>
          <c:order val="0"/>
          <c:invertIfNegative val="0"/>
          <c:cat>
            <c:strRef>
              <c:f>'17. Eventos'!$A$7:$A$11</c:f>
              <c:strCache>
                <c:ptCount val="5"/>
                <c:pt idx="0">
                  <c:v>LINEA DE TRANSMISION</c:v>
                </c:pt>
                <c:pt idx="1">
                  <c:v>BARRA</c:v>
                </c:pt>
                <c:pt idx="2">
                  <c:v>TRANSFORMADOR</c:v>
                </c:pt>
                <c:pt idx="3">
                  <c:v>SUBESTACION</c:v>
                </c:pt>
                <c:pt idx="4">
                  <c:v>GENERADOR 
TERMOELÉCTRICO</c:v>
                </c:pt>
              </c:strCache>
            </c:strRef>
          </c:cat>
          <c:val>
            <c:numRef>
              <c:f>'17. Eventos'!$J$7:$J$11</c:f>
              <c:numCache>
                <c:formatCode>#,##0.00</c:formatCode>
                <c:ptCount val="5"/>
                <c:pt idx="0">
                  <c:v>499.97</c:v>
                </c:pt>
                <c:pt idx="1">
                  <c:v>0.1</c:v>
                </c:pt>
                <c:pt idx="2">
                  <c:v>1.61</c:v>
                </c:pt>
                <c:pt idx="3">
                  <c:v>83.47</c:v>
                </c:pt>
                <c:pt idx="4">
                  <c:v>7.23</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6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1000">
                <a:latin typeface="Arial" panose="020B0604020202020204" pitchFamily="34" charset="0"/>
                <a:cs typeface="Arial" panose="020B0604020202020204" pitchFamily="34" charset="0"/>
              </a:rPr>
              <a:t>Ingreso de potencia efectiva en el SEIN</a:t>
            </a:r>
          </a:p>
        </c:rich>
      </c:tx>
      <c:layout>
        <c:manualLayout>
          <c:xMode val="edge"/>
          <c:yMode val="edge"/>
          <c:x val="0.29679558481294815"/>
          <c:y val="5.2798140554937414E-3"/>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8.224621700770593E-2"/>
          <c:y val="0.17877646799271954"/>
          <c:w val="0.88604204608575698"/>
          <c:h val="0.66960073004778409"/>
        </c:manualLayout>
      </c:layout>
      <c:barChart>
        <c:barDir val="col"/>
        <c:grouping val="clustered"/>
        <c:varyColors val="0"/>
        <c:ser>
          <c:idx val="0"/>
          <c:order val="0"/>
          <c:tx>
            <c:strRef>
              <c:f>'2. Oferta de generación'!$L$14:$L$16</c:f>
              <c:strCache>
                <c:ptCount val="3"/>
                <c:pt idx="0">
                  <c:v>Central Solar</c:v>
                </c:pt>
                <c:pt idx="1">
                  <c:v>Central Hidroeléctrica</c:v>
                </c:pt>
                <c:pt idx="2">
                  <c:v>Turbina de Vapor</c:v>
                </c:pt>
              </c:strCache>
            </c:strRef>
          </c:tx>
          <c:spPr>
            <a:solidFill>
              <a:schemeClr val="accent1"/>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1-97B6-4FBD-B93B-1DCD19285F24}"/>
              </c:ext>
            </c:extLst>
          </c:dPt>
          <c:dPt>
            <c:idx val="2"/>
            <c:invertIfNegative val="0"/>
            <c:bubble3D val="0"/>
            <c:spPr>
              <a:solidFill>
                <a:srgbClr val="C00000"/>
              </a:solidFill>
              <a:ln>
                <a:noFill/>
              </a:ln>
              <a:effectLst/>
            </c:spPr>
            <c:extLst>
              <c:ext xmlns:c16="http://schemas.microsoft.com/office/drawing/2014/chart" uri="{C3380CC4-5D6E-409C-BE32-E72D297353CC}">
                <c16:uniqueId val="{00000003-C9D3-4E91-B7E1-0582E6522F19}"/>
              </c:ext>
            </c:extLst>
          </c:dPt>
          <c:dLbls>
            <c:delete val="1"/>
          </c:dLbls>
          <c:cat>
            <c:strRef>
              <c:f>'2. Oferta de generación'!$L$14:$L$16</c:f>
              <c:strCache>
                <c:ptCount val="3"/>
                <c:pt idx="0">
                  <c:v>Central Solar</c:v>
                </c:pt>
                <c:pt idx="1">
                  <c:v>Central Hidroeléctrica</c:v>
                </c:pt>
                <c:pt idx="2">
                  <c:v>Turbina de Vapor</c:v>
                </c:pt>
              </c:strCache>
            </c:strRef>
          </c:cat>
          <c:val>
            <c:numRef>
              <c:f>'2. Oferta de generación'!$M$14:$M$16</c:f>
              <c:numCache>
                <c:formatCode>#,##0.00</c:formatCode>
                <c:ptCount val="3"/>
                <c:pt idx="0">
                  <c:v>189.01999999999998</c:v>
                </c:pt>
                <c:pt idx="1">
                  <c:v>20</c:v>
                </c:pt>
                <c:pt idx="2">
                  <c:v>103.95113000000001</c:v>
                </c:pt>
              </c:numCache>
            </c:numRef>
          </c:val>
          <c:extLst>
            <c:ext xmlns:c16="http://schemas.microsoft.com/office/drawing/2014/chart" uri="{C3380CC4-5D6E-409C-BE32-E72D297353CC}">
              <c16:uniqueId val="{00000000-97B6-4FBD-B93B-1DCD19285F24}"/>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62763061609918"/>
          <c:y val="8.9140691524104934E-2"/>
          <c:w val="0.8659701942606548"/>
          <c:h val="0.85015332874999883"/>
        </c:manualLayout>
      </c:layout>
      <c:barChart>
        <c:barDir val="col"/>
        <c:grouping val="clustered"/>
        <c:varyColors val="0"/>
        <c:ser>
          <c:idx val="2"/>
          <c:order val="0"/>
          <c:tx>
            <c:strRef>
              <c:f>'3. Tipo Generación'!$J$7</c:f>
              <c:strCache>
                <c:ptCount val="1"/>
                <c:pt idx="0">
                  <c:v>2016</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8962.0429033021555</c:v>
                </c:pt>
                <c:pt idx="1">
                  <c:v>6629.8636536937283</c:v>
                </c:pt>
                <c:pt idx="2">
                  <c:v>257.89580191838758</c:v>
                </c:pt>
                <c:pt idx="3">
                  <c:v>80.191739290249899</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2017</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10536.143794434773</c:v>
                </c:pt>
                <c:pt idx="1">
                  <c:v>5360.3473554171469</c:v>
                </c:pt>
                <c:pt idx="2">
                  <c:v>281.94971662937439</c:v>
                </c:pt>
                <c:pt idx="3">
                  <c:v>73.438169575798</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2018</c:v>
                </c:pt>
              </c:strCache>
            </c:strRef>
          </c:tx>
          <c:spPr>
            <a:solidFill>
              <a:schemeClr val="accent1"/>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11581.518735680003</c:v>
                </c:pt>
                <c:pt idx="1">
                  <c:v>4504.1671766124991</c:v>
                </c:pt>
                <c:pt idx="2">
                  <c:v>386.68910400999999</c:v>
                </c:pt>
                <c:pt idx="3">
                  <c:v>226.18564572999998</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4.7930990771615285E-2"/>
              <c:y val="1.1469689702406416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7326946354"/>
          <c:y val="2.7011847548981793E-3"/>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2018</c:v>
                </c:pt>
              </c:strCache>
            </c:strRef>
          </c:tx>
          <c:spPr>
            <a:solidFill>
              <a:srgbClr val="3762AF"/>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11581.518735680003</c:v>
                </c:pt>
                <c:pt idx="1">
                  <c:v>4169.0572944799997</c:v>
                </c:pt>
                <c:pt idx="2">
                  <c:v>140.7378975025</c:v>
                </c:pt>
                <c:pt idx="3">
                  <c:v>68.648614340000009</c:v>
                </c:pt>
                <c:pt idx="4">
                  <c:v>0</c:v>
                </c:pt>
                <c:pt idx="5">
                  <c:v>26.9015129625</c:v>
                </c:pt>
                <c:pt idx="6">
                  <c:v>1.7503584000000003</c:v>
                </c:pt>
                <c:pt idx="7">
                  <c:v>1.4048251549999999</c:v>
                </c:pt>
                <c:pt idx="8">
                  <c:v>51.003866864999999</c:v>
                </c:pt>
                <c:pt idx="9">
                  <c:v>27.996226652499999</c:v>
                </c:pt>
                <c:pt idx="10">
                  <c:v>16.666580255</c:v>
                </c:pt>
                <c:pt idx="11">
                  <c:v>226.18564572999998</c:v>
                </c:pt>
                <c:pt idx="12">
                  <c:v>386.68910400999999</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2017</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10536.143794434773</c:v>
                </c:pt>
                <c:pt idx="1">
                  <c:v>4698.4218529375721</c:v>
                </c:pt>
                <c:pt idx="2">
                  <c:v>110.55066682507886</c:v>
                </c:pt>
                <c:pt idx="3">
                  <c:v>39.824347569949701</c:v>
                </c:pt>
                <c:pt idx="4">
                  <c:v>9.7034091828799998</c:v>
                </c:pt>
                <c:pt idx="5">
                  <c:v>288.80095781103535</c:v>
                </c:pt>
                <c:pt idx="6">
                  <c:v>25.076355260901373</c:v>
                </c:pt>
                <c:pt idx="7">
                  <c:v>0.24963529262500003</c:v>
                </c:pt>
                <c:pt idx="8">
                  <c:v>152.84164441280222</c:v>
                </c:pt>
                <c:pt idx="9">
                  <c:v>22.38056678912675</c:v>
                </c:pt>
                <c:pt idx="10">
                  <c:v>12.497919335175999</c:v>
                </c:pt>
                <c:pt idx="11">
                  <c:v>73.438169575798</c:v>
                </c:pt>
                <c:pt idx="12">
                  <c:v>281.94971662937439</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2016</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8962.0429033021555</c:v>
                </c:pt>
                <c:pt idx="1">
                  <c:v>5668.5841577201463</c:v>
                </c:pt>
                <c:pt idx="2">
                  <c:v>176.03823185415149</c:v>
                </c:pt>
                <c:pt idx="3">
                  <c:v>183.2424221698117</c:v>
                </c:pt>
                <c:pt idx="4">
                  <c:v>38.626413283296998</c:v>
                </c:pt>
                <c:pt idx="5">
                  <c:v>185.93132008020342</c:v>
                </c:pt>
                <c:pt idx="6">
                  <c:v>69.849281453532029</c:v>
                </c:pt>
                <c:pt idx="7">
                  <c:v>2.6171268147903697</c:v>
                </c:pt>
                <c:pt idx="8">
                  <c:v>257.14151530042193</c:v>
                </c:pt>
                <c:pt idx="9">
                  <c:v>30.277862485473399</c:v>
                </c:pt>
                <c:pt idx="10">
                  <c:v>17.5553225319</c:v>
                </c:pt>
                <c:pt idx="11">
                  <c:v>80.191739290249899</c:v>
                </c:pt>
                <c:pt idx="12">
                  <c:v>257.89580191838758</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ax val="13000"/>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&amp;L&amp;"Calibri Light,Regular"&amp;10 &amp;C&amp;"Calibri Light,Regular"&amp;10 &amp;R&amp;"Tahoma,Negrita"&amp;9Informe de la Operación Mensual - Setiembre 2017
INFSGI-MES-09-2017
05/10/2017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2016</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0.00</c:formatCode>
                <c:ptCount val="5"/>
                <c:pt idx="0">
                  <c:v>370.94965992214281</c:v>
                </c:pt>
                <c:pt idx="1">
                  <c:v>257.89580191838758</c:v>
                </c:pt>
                <c:pt idx="2">
                  <c:v>80.191739290249899</c:v>
                </c:pt>
                <c:pt idx="3">
                  <c:v>30.277862485473399</c:v>
                </c:pt>
                <c:pt idx="4">
                  <c:v>17.5553225319</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2017</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0.00</c:formatCode>
                <c:ptCount val="5"/>
                <c:pt idx="0">
                  <c:v>433.30861567130643</c:v>
                </c:pt>
                <c:pt idx="1">
                  <c:v>281.94971662937439</c:v>
                </c:pt>
                <c:pt idx="2">
                  <c:v>73.438169575798</c:v>
                </c:pt>
                <c:pt idx="3">
                  <c:v>22.38056678912675</c:v>
                </c:pt>
                <c:pt idx="4">
                  <c:v>12.497919335175999</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2018</c:v>
                </c:pt>
              </c:strCache>
            </c:strRef>
          </c:tx>
          <c:spPr>
            <a:solidFill>
              <a:srgbClr val="0070C0"/>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0.00</c:formatCode>
                <c:ptCount val="5"/>
                <c:pt idx="0">
                  <c:v>473.00778781750006</c:v>
                </c:pt>
                <c:pt idx="1">
                  <c:v>386.68910400999999</c:v>
                </c:pt>
                <c:pt idx="2">
                  <c:v>226.18564572999998</c:v>
                </c:pt>
                <c:pt idx="3">
                  <c:v>27.996226652499999</c:v>
                </c:pt>
                <c:pt idx="4">
                  <c:v>16.666580255</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4.420840571627694E-2"/>
              <c:y val="4.1607671212256621E-2"/>
            </c:manualLayout>
          </c:layout>
          <c:overlay val="0"/>
        </c:title>
        <c:numFmt formatCode="0.00" sourceLinked="1"/>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7.3503247505281019E-2"/>
                  <c:y val="-8.7357171498368164E-2"/>
                </c:manualLayout>
              </c:layout>
              <c:numFmt formatCode="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4.4542228260826482E-2"/>
                  <c:y val="-6.974916130660419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1.4280734838135646E-2"/>
                  <c:y val="-0.14377635138399877"/>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6.2722198975415436E-3"/>
                  <c:y val="-2.6207833484720149E-3"/>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7,42%</a:t>
                    </a:r>
                  </a:p>
                </c:rich>
              </c:tx>
              <c:numFmt formatCode="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0.00</c:formatCode>
                <c:ptCount val="6"/>
                <c:pt idx="0">
                  <c:v>3895.5381174475001</c:v>
                </c:pt>
                <c:pt idx="1">
                  <c:v>127.83187760000001</c:v>
                </c:pt>
                <c:pt idx="2">
                  <c:v>115.011208025</c:v>
                </c:pt>
                <c:pt idx="3">
                  <c:v>58.171585880000009</c:v>
                </c:pt>
                <c:pt idx="4">
                  <c:v>7.4688760849999998</c:v>
                </c:pt>
                <c:pt idx="5">
                  <c:v>3.8766369750000003</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5062022700270093E-2"/>
          <c:y val="0.15413722949669401"/>
          <c:w val="0.85399674255071778"/>
          <c:h val="0.31539921760078976"/>
        </c:manualLayout>
      </c:layout>
      <c:barChart>
        <c:barDir val="col"/>
        <c:grouping val="clustered"/>
        <c:varyColors val="0"/>
        <c:ser>
          <c:idx val="0"/>
          <c:order val="0"/>
          <c:tx>
            <c:strRef>
              <c:f>'6. FP RER'!$O$5</c:f>
              <c:strCache>
                <c:ptCount val="1"/>
                <c:pt idx="0">
                  <c:v>Producción (GWh)</c:v>
                </c:pt>
              </c:strCache>
            </c:strRef>
          </c:tx>
          <c:invertIfNegative val="0"/>
          <c:cat>
            <c:strRef>
              <c:f>'6. FP RER'!$L$6:$L$24</c:f>
              <c:strCache>
                <c:ptCount val="19"/>
                <c:pt idx="0">
                  <c:v>C.H. RUNATULLO III</c:v>
                </c:pt>
                <c:pt idx="1">
                  <c:v>C.H. RENOVANDES H1</c:v>
                </c:pt>
                <c:pt idx="2">
                  <c:v>C.H. POTRERO</c:v>
                </c:pt>
                <c:pt idx="3">
                  <c:v>C.H. LAS PIZARRAS</c:v>
                </c:pt>
                <c:pt idx="4">
                  <c:v>C.H. RUNATULLO II</c:v>
                </c:pt>
                <c:pt idx="5">
                  <c:v>C.H. YARUCAYA</c:v>
                </c:pt>
                <c:pt idx="6">
                  <c:v>C.H. HUASAHUASI II</c:v>
                </c:pt>
                <c:pt idx="7">
                  <c:v>C.H. CARHUAQUERO IV</c:v>
                </c:pt>
                <c:pt idx="8">
                  <c:v>C.H. HUASAHUASI I</c:v>
                </c:pt>
                <c:pt idx="9">
                  <c:v>C.H. POECHOS II</c:v>
                </c:pt>
                <c:pt idx="10">
                  <c:v>C.H. SANTA CRUZ II</c:v>
                </c:pt>
                <c:pt idx="11">
                  <c:v>C.H. LA JOYA</c:v>
                </c:pt>
                <c:pt idx="12">
                  <c:v>C.H. SANTA CRUZ I</c:v>
                </c:pt>
                <c:pt idx="13">
                  <c:v>C.H. CANCHAYLLO</c:v>
                </c:pt>
                <c:pt idx="14">
                  <c:v>C.H. CAÑA BRAVA</c:v>
                </c:pt>
                <c:pt idx="15">
                  <c:v>C.H. RONCADOR</c:v>
                </c:pt>
                <c:pt idx="16">
                  <c:v>C.H. YANAPAMPA</c:v>
                </c:pt>
                <c:pt idx="17">
                  <c:v>C.H. IMPERIAL</c:v>
                </c:pt>
                <c:pt idx="18">
                  <c:v>C.H. PURMACANA</c:v>
                </c:pt>
              </c:strCache>
            </c:strRef>
          </c:cat>
          <c:val>
            <c:numRef>
              <c:f>'6. FP RER'!$O$6:$O$24</c:f>
              <c:numCache>
                <c:formatCode>0.00</c:formatCode>
                <c:ptCount val="19"/>
                <c:pt idx="0">
                  <c:v>14.456160050000001</c:v>
                </c:pt>
                <c:pt idx="1">
                  <c:v>14.084475920000001</c:v>
                </c:pt>
                <c:pt idx="2">
                  <c:v>13.2414003125</c:v>
                </c:pt>
                <c:pt idx="3">
                  <c:v>13.1516892225</c:v>
                </c:pt>
                <c:pt idx="4">
                  <c:v>11.898897762500001</c:v>
                </c:pt>
                <c:pt idx="5">
                  <c:v>7.6939949725000005</c:v>
                </c:pt>
                <c:pt idx="6">
                  <c:v>6.9671834500000003</c:v>
                </c:pt>
                <c:pt idx="7">
                  <c:v>6.879448365</c:v>
                </c:pt>
                <c:pt idx="8">
                  <c:v>6.6647145275000002</c:v>
                </c:pt>
                <c:pt idx="9">
                  <c:v>5.942144345</c:v>
                </c:pt>
                <c:pt idx="10">
                  <c:v>4.4403374949999996</c:v>
                </c:pt>
                <c:pt idx="11">
                  <c:v>4.4244818375000001</c:v>
                </c:pt>
                <c:pt idx="12">
                  <c:v>4.1599814574999998</c:v>
                </c:pt>
                <c:pt idx="13">
                  <c:v>3.5220719999999996</c:v>
                </c:pt>
                <c:pt idx="14">
                  <c:v>3.3721646325000001</c:v>
                </c:pt>
                <c:pt idx="15">
                  <c:v>2.55572775</c:v>
                </c:pt>
                <c:pt idx="16">
                  <c:v>2.4280124124999998</c:v>
                </c:pt>
                <c:pt idx="17">
                  <c:v>1.7214</c:v>
                </c:pt>
                <c:pt idx="18">
                  <c:v>0.22759108749999998</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RER'!$L$6:$L$24</c:f>
              <c:strCache>
                <c:ptCount val="19"/>
                <c:pt idx="0">
                  <c:v>C.H. RUNATULLO III</c:v>
                </c:pt>
                <c:pt idx="1">
                  <c:v>C.H. RENOVANDES H1</c:v>
                </c:pt>
                <c:pt idx="2">
                  <c:v>C.H. POTRERO</c:v>
                </c:pt>
                <c:pt idx="3">
                  <c:v>C.H. LAS PIZARRAS</c:v>
                </c:pt>
                <c:pt idx="4">
                  <c:v>C.H. RUNATULLO II</c:v>
                </c:pt>
                <c:pt idx="5">
                  <c:v>C.H. YARUCAYA</c:v>
                </c:pt>
                <c:pt idx="6">
                  <c:v>C.H. HUASAHUASI II</c:v>
                </c:pt>
                <c:pt idx="7">
                  <c:v>C.H. CARHUAQUERO IV</c:v>
                </c:pt>
                <c:pt idx="8">
                  <c:v>C.H. HUASAHUASI I</c:v>
                </c:pt>
                <c:pt idx="9">
                  <c:v>C.H. POECHOS II</c:v>
                </c:pt>
                <c:pt idx="10">
                  <c:v>C.H. SANTA CRUZ II</c:v>
                </c:pt>
                <c:pt idx="11">
                  <c:v>C.H. LA JOYA</c:v>
                </c:pt>
                <c:pt idx="12">
                  <c:v>C.H. SANTA CRUZ I</c:v>
                </c:pt>
                <c:pt idx="13">
                  <c:v>C.H. CANCHAYLLO</c:v>
                </c:pt>
                <c:pt idx="14">
                  <c:v>C.H. CAÑA BRAVA</c:v>
                </c:pt>
                <c:pt idx="15">
                  <c:v>C.H. RONCADOR</c:v>
                </c:pt>
                <c:pt idx="16">
                  <c:v>C.H. YANAPAMPA</c:v>
                </c:pt>
                <c:pt idx="17">
                  <c:v>C.H. IMPERIAL</c:v>
                </c:pt>
                <c:pt idx="18">
                  <c:v>C.H. PURMACANA</c:v>
                </c:pt>
              </c:strCache>
            </c:strRef>
          </c:cat>
          <c:val>
            <c:numRef>
              <c:f>'6. FP RER'!$P$6:$P$24</c:f>
              <c:numCache>
                <c:formatCode>0.00</c:formatCode>
                <c:ptCount val="19"/>
                <c:pt idx="0">
                  <c:v>1</c:v>
                </c:pt>
                <c:pt idx="1">
                  <c:v>0.97808860555555566</c:v>
                </c:pt>
                <c:pt idx="2">
                  <c:v>0.9241625008724178</c:v>
                </c:pt>
                <c:pt idx="3">
                  <c:v>0.95139118368967945</c:v>
                </c:pt>
                <c:pt idx="4">
                  <c:v>0.82767801334006674</c:v>
                </c:pt>
                <c:pt idx="5">
                  <c:v>0.71240694189814824</c:v>
                </c:pt>
                <c:pt idx="6">
                  <c:v>0.94664876546229282</c:v>
                </c:pt>
                <c:pt idx="7">
                  <c:v>0.95710601981702226</c:v>
                </c:pt>
                <c:pt idx="8">
                  <c:v>0.93975106140721953</c:v>
                </c:pt>
                <c:pt idx="9">
                  <c:v>0.86274077534439086</c:v>
                </c:pt>
                <c:pt idx="10">
                  <c:v>0.83070250669749746</c:v>
                </c:pt>
                <c:pt idx="11">
                  <c:v>0.79342978220715887</c:v>
                </c:pt>
                <c:pt idx="12">
                  <c:v>0.83037539872169519</c:v>
                </c:pt>
                <c:pt idx="13">
                  <c:v>0.94271857133680215</c:v>
                </c:pt>
                <c:pt idx="14">
                  <c:v>0.82602504225455631</c:v>
                </c:pt>
                <c:pt idx="15">
                  <c:v>1</c:v>
                </c:pt>
                <c:pt idx="16">
                  <c:v>0.86109770972587141</c:v>
                </c:pt>
                <c:pt idx="17">
                  <c:v>0.60313656239488733</c:v>
                </c:pt>
                <c:pt idx="18">
                  <c:v>0.18442166431673798</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valAx>
      <c:valAx>
        <c:axId val="370145920"/>
        <c:scaling>
          <c:orientation val="minMax"/>
          <c:max val="1.1000000000000001"/>
          <c:min val="0"/>
        </c:scaling>
        <c:delete val="0"/>
        <c:axPos val="r"/>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Factor</a:t>
                </a:r>
                <a:r>
                  <a:rPr lang="es-PA" sz="800" baseline="0">
                    <a:latin typeface="Arial" panose="020B0604020202020204" pitchFamily="34" charset="0"/>
                    <a:cs typeface="Arial" panose="020B0604020202020204" pitchFamily="34" charset="0"/>
                  </a:rPr>
                  <a:t> de Planta</a:t>
                </a:r>
                <a:endParaRPr lang="es-PA" sz="800">
                  <a:latin typeface="Arial" panose="020B0604020202020204" pitchFamily="34" charset="0"/>
                  <a:cs typeface="Arial" panose="020B0604020202020204" pitchFamily="34" charset="0"/>
                </a:endParaRPr>
              </a:p>
            </c:rich>
          </c:tx>
          <c:layout>
            <c:manualLayout>
              <c:xMode val="edge"/>
              <c:yMode val="edge"/>
              <c:x val="0.85854942532626366"/>
              <c:y val="3.8413333173692846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100852</xdr:colOff>
      <xdr:row>0</xdr:row>
      <xdr:rowOff>40821</xdr:rowOff>
    </xdr:from>
    <xdr:to>
      <xdr:col>11</xdr:col>
      <xdr:colOff>1109381</xdr:colOff>
      <xdr:row>72</xdr:row>
      <xdr:rowOff>89647</xdr:rowOff>
    </xdr:to>
    <xdr:pic>
      <xdr:nvPicPr>
        <xdr:cNvPr id="2" name="Picture 1">
          <a:extLst>
            <a:ext uri="{FF2B5EF4-FFF2-40B4-BE49-F238E27FC236}">
              <a16:creationId xmlns:a16="http://schemas.microsoft.com/office/drawing/2014/main" id="{C3ABA9EF-4C1B-4663-926D-480C60E28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852" y="40821"/>
          <a:ext cx="7104529" cy="10537532"/>
        </a:xfrm>
        <a:prstGeom prst="rect">
          <a:avLst/>
        </a:prstGeom>
        <a:solidFill>
          <a:srgbClr val="002060"/>
        </a:solidFill>
        <a:extLst/>
      </xdr:spPr>
    </xdr:pic>
    <xdr:clientData/>
  </xdr:twoCellAnchor>
  <xdr:twoCellAnchor>
    <xdr:from>
      <xdr:col>0</xdr:col>
      <xdr:colOff>179574</xdr:colOff>
      <xdr:row>58</xdr:row>
      <xdr:rowOff>143650</xdr:rowOff>
    </xdr:from>
    <xdr:to>
      <xdr:col>6</xdr:col>
      <xdr:colOff>417238</xdr:colOff>
      <xdr:row>71</xdr:row>
      <xdr:rowOff>6112</xdr:rowOff>
    </xdr:to>
    <xdr:sp macro="" textlink="">
      <xdr:nvSpPr>
        <xdr:cNvPr id="3" name="TextBox 2">
          <a:extLst>
            <a:ext uri="{FF2B5EF4-FFF2-40B4-BE49-F238E27FC236}">
              <a16:creationId xmlns:a16="http://schemas.microsoft.com/office/drawing/2014/main" id="{55D3BBEA-5B90-42B5-94DC-0D73BC60F760}"/>
            </a:ext>
          </a:extLst>
        </xdr:cNvPr>
        <xdr:cNvSpPr txBox="1"/>
      </xdr:nvSpPr>
      <xdr:spPr>
        <a:xfrm>
          <a:off x="179574" y="8592885"/>
          <a:ext cx="3397723" cy="1756256"/>
        </a:xfrm>
        <a:prstGeom prst="rect">
          <a:avLst/>
        </a:prstGeom>
        <a:solidFill>
          <a:srgbClr val="002060"/>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PE" sz="1400" b="1">
              <a:solidFill>
                <a:schemeClr val="bg1"/>
              </a:solidFill>
              <a:effectLst/>
              <a:latin typeface="Arial" panose="020B0604020202020204" pitchFamily="34" charset="0"/>
              <a:ea typeface="+mn-ea"/>
              <a:cs typeface="Arial" panose="020B0604020202020204" pitchFamily="34" charset="0"/>
            </a:rPr>
            <a:t>OPERACIÓN</a:t>
          </a:r>
          <a:r>
            <a:rPr lang="es-PE" sz="1400" b="1" baseline="0">
              <a:solidFill>
                <a:schemeClr val="bg1"/>
              </a:solidFill>
              <a:effectLst/>
              <a:latin typeface="Arial" panose="020B0604020202020204" pitchFamily="34" charset="0"/>
              <a:ea typeface="+mn-ea"/>
              <a:cs typeface="Arial" panose="020B0604020202020204" pitchFamily="34" charset="0"/>
            </a:rPr>
            <a:t>  MENSUAL DEL SEIN</a:t>
          </a:r>
        </a:p>
        <a:p>
          <a:pPr algn="l"/>
          <a:endParaRPr lang="es-PE" sz="1200">
            <a:solidFill>
              <a:schemeClr val="bg1"/>
            </a:solidFill>
            <a:effectLst/>
            <a:latin typeface="Arial" panose="020B0604020202020204" pitchFamily="34" charset="0"/>
            <a:cs typeface="Arial" panose="020B0604020202020204" pitchFamily="34" charset="0"/>
          </a:endParaRPr>
        </a:p>
        <a:p>
          <a:pPr algn="l"/>
          <a:r>
            <a:rPr lang="es-PE" sz="3600" b="1">
              <a:solidFill>
                <a:schemeClr val="bg1"/>
              </a:solidFill>
              <a:effectLst/>
              <a:latin typeface="Arial" panose="020B0604020202020204" pitchFamily="34" charset="0"/>
              <a:ea typeface="+mn-ea"/>
              <a:cs typeface="Arial" panose="020B0604020202020204" pitchFamily="34" charset="0"/>
            </a:rPr>
            <a:t>ABRIL</a:t>
          </a:r>
        </a:p>
        <a:p>
          <a:pPr algn="l"/>
          <a:r>
            <a:rPr lang="es-PE" sz="3600" b="1">
              <a:solidFill>
                <a:schemeClr val="bg1"/>
              </a:solidFill>
              <a:effectLst/>
              <a:latin typeface="Arial" panose="020B0604020202020204" pitchFamily="34" charset="0"/>
              <a:ea typeface="+mn-ea"/>
              <a:cs typeface="Arial" panose="020B0604020202020204" pitchFamily="34" charset="0"/>
            </a:rPr>
            <a:t>2018</a:t>
          </a:r>
          <a:endParaRPr lang="es-PE" sz="3600">
            <a:solidFill>
              <a:schemeClr val="bg1"/>
            </a:solidFill>
            <a:effectLst/>
            <a:latin typeface="Arial" panose="020B0604020202020204" pitchFamily="34" charset="0"/>
            <a:cs typeface="Arial" panose="020B0604020202020204" pitchFamily="34" charset="0"/>
          </a:endParaRPr>
        </a:p>
      </xdr:txBody>
    </xdr:sp>
    <xdr:clientData/>
  </xdr:twoCellAnchor>
  <xdr:twoCellAnchor>
    <xdr:from>
      <xdr:col>0</xdr:col>
      <xdr:colOff>189698</xdr:colOff>
      <xdr:row>0</xdr:row>
      <xdr:rowOff>118463</xdr:rowOff>
    </xdr:from>
    <xdr:to>
      <xdr:col>11</xdr:col>
      <xdr:colOff>1020222</xdr:colOff>
      <xdr:row>4</xdr:row>
      <xdr:rowOff>73640</xdr:rowOff>
    </xdr:to>
    <xdr:sp macro="" textlink="">
      <xdr:nvSpPr>
        <xdr:cNvPr id="4" name="Rectangle 3">
          <a:extLst>
            <a:ext uri="{FF2B5EF4-FFF2-40B4-BE49-F238E27FC236}">
              <a16:creationId xmlns:a16="http://schemas.microsoft.com/office/drawing/2014/main" id="{ED8D6CDF-F98A-4AAA-9BD7-C88E28EEF327}"/>
            </a:ext>
          </a:extLst>
        </xdr:cNvPr>
        <xdr:cNvSpPr/>
      </xdr:nvSpPr>
      <xdr:spPr>
        <a:xfrm>
          <a:off x="189698" y="118463"/>
          <a:ext cx="6926524" cy="537883"/>
        </a:xfrm>
        <a:prstGeom prst="rect">
          <a:avLst/>
        </a:prstGeom>
        <a:solidFill>
          <a:srgbClr val="002060"/>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72000" rIns="91440" bIns="0" numCol="1" spcCol="0" rtlCol="0" fromWordArt="0" anchor="ctr" anchorCtr="0" forceAA="0" compatLnSpc="1">
          <a:prstTxWarp prst="textNoShape">
            <a:avLst/>
          </a:prstTxWarp>
          <a:noAutofit/>
        </a:bodyPr>
        <a:lstStyle/>
        <a:p>
          <a:pPr algn="ctr">
            <a:lnSpc>
              <a:spcPct val="115000"/>
            </a:lnSpc>
            <a:spcAft>
              <a:spcPts val="0"/>
            </a:spcAft>
          </a:pPr>
          <a:r>
            <a:rPr lang="en-GB" sz="1800" b="1">
              <a:solidFill>
                <a:schemeClr val="bg1"/>
              </a:solidFill>
              <a:effectLst/>
              <a:latin typeface="Arial" panose="020B0604020202020204" pitchFamily="34" charset="0"/>
              <a:ea typeface="Tahoma" panose="020B0604030504040204" pitchFamily="34" charset="0"/>
              <a:cs typeface="Arial" panose="020B0604020202020204" pitchFamily="34" charset="0"/>
            </a:rPr>
            <a:t>INFORME DE LA OPERACIÓN</a:t>
          </a:r>
          <a:r>
            <a:rPr lang="en-GB" sz="1800" b="1" baseline="0">
              <a:solidFill>
                <a:schemeClr val="bg1"/>
              </a:solidFill>
              <a:effectLst/>
              <a:latin typeface="Arial" panose="020B0604020202020204" pitchFamily="34" charset="0"/>
              <a:ea typeface="Tahoma" panose="020B0604030504040204" pitchFamily="34" charset="0"/>
              <a:cs typeface="Arial" panose="020B0604020202020204" pitchFamily="34" charset="0"/>
            </a:rPr>
            <a:t> MENSUAL DEL SEIN </a:t>
          </a:r>
          <a:endParaRPr lang="en-GB" sz="1800">
            <a:solidFill>
              <a:schemeClr val="bg1"/>
            </a:solidFill>
            <a:effectLst/>
            <a:latin typeface="Arial" panose="020B0604020202020204" pitchFamily="34" charset="0"/>
            <a:ea typeface="Tahoma" panose="020B060403050404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62</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66262</xdr:colOff>
      <xdr:row>35</xdr:row>
      <xdr:rowOff>112797</xdr:rowOff>
    </xdr:from>
    <xdr:to>
      <xdr:col>8</xdr:col>
      <xdr:colOff>472109</xdr:colOff>
      <xdr:row>59</xdr:row>
      <xdr:rowOff>65171</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16</xdr:row>
      <xdr:rowOff>57978</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121035</xdr:colOff>
      <xdr:row>42</xdr:row>
      <xdr:rowOff>137220</xdr:rowOff>
    </xdr:from>
    <xdr:to>
      <xdr:col>11</xdr:col>
      <xdr:colOff>478478</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129762</xdr:colOff>
      <xdr:row>47</xdr:row>
      <xdr:rowOff>134399</xdr:rowOff>
    </xdr:from>
    <xdr:to>
      <xdr:col>8</xdr:col>
      <xdr:colOff>383274</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5720"/>
          <a:ext cx="6507493" cy="8801886"/>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(5,04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(5,22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(5,12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103904</xdr:colOff>
      <xdr:row>14</xdr:row>
      <xdr:rowOff>95106</xdr:rowOff>
    </xdr:from>
    <xdr:to>
      <xdr:col>4</xdr:col>
      <xdr:colOff>97972</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48933" y="2266806"/>
          <a:ext cx="1039096"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3A878E5-8AAA-4FE5-B31D-9C6268F2A1DF}" type="TxLink">
            <a:rPr lang="en-US" sz="500" b="1" i="0" u="none" strike="noStrike">
              <a:solidFill>
                <a:srgbClr val="000000"/>
              </a:solidFill>
              <a:latin typeface="Arial"/>
              <a:cs typeface="Arial"/>
            </a:rPr>
            <a:pPr algn="ctr"/>
            <a:t>PIURA OESTE 220
 (5,39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83568" y="7462905"/>
          <a:ext cx="1027442" cy="369676"/>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(4,89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28791" y="5860759"/>
          <a:ext cx="1069195" cy="394732"/>
        </a:xfrm>
        <a:prstGeom prst="wedgeRoundRectCallout">
          <a:avLst>
            <a:gd name="adj1" fmla="val -21224"/>
            <a:gd name="adj2" fmla="val 14181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(4,95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(5,16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(5,16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(5,07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(5,15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(4,74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3</xdr:col>
      <xdr:colOff>59871</xdr:colOff>
      <xdr:row>42</xdr:row>
      <xdr:rowOff>43597</xdr:rowOff>
    </xdr:from>
    <xdr:to>
      <xdr:col>4</xdr:col>
      <xdr:colOff>508135</xdr:colOff>
      <xdr:row>45</xdr:row>
      <xdr:rowOff>10885</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627414" y="6177697"/>
          <a:ext cx="970778" cy="391831"/>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(5,11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(4,54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506732</xdr:colOff>
      <xdr:row>48</xdr:row>
      <xdr:rowOff>89836</xdr:rowOff>
    </xdr:from>
    <xdr:to>
      <xdr:col>11</xdr:col>
      <xdr:colOff>364388</xdr:colOff>
      <xdr:row>51</xdr:row>
      <xdr:rowOff>17773</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299539" y="7138336"/>
          <a:ext cx="1039622" cy="391198"/>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(5,33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(4,68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82282" y="6125603"/>
          <a:ext cx="1091577" cy="383011"/>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(5,13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(5,12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(5,14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101780</xdr:colOff>
      <xdr:row>15</xdr:row>
      <xdr:rowOff>135639</xdr:rowOff>
    </xdr:from>
    <xdr:to>
      <xdr:col>7</xdr:col>
      <xdr:colOff>654327</xdr:colOff>
      <xdr:row>55</xdr:row>
      <xdr:rowOff>66261</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0.29313</cdr:x>
      <cdr:y>0.5313</cdr:y>
    </cdr:from>
    <cdr:to>
      <cdr:x>0.39473</cdr:x>
      <cdr:y>0.61718</cdr:y>
    </cdr:to>
    <cdr:sp macro="" textlink="">
      <cdr:nvSpPr>
        <cdr:cNvPr id="4" name="TextBox 1"/>
        <cdr:cNvSpPr txBox="1"/>
      </cdr:nvSpPr>
      <cdr:spPr>
        <a:xfrm xmlns:a="http://schemas.openxmlformats.org/drawingml/2006/main">
          <a:off x="2685912" y="2173603"/>
          <a:ext cx="930961" cy="3513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-100,0%</a:t>
          </a:r>
        </a:p>
      </cdr:txBody>
    </cdr:sp>
  </cdr:relSizeAnchor>
  <cdr:relSizeAnchor xmlns:cdr="http://schemas.openxmlformats.org/drawingml/2006/chartDrawing">
    <cdr:from>
      <cdr:x>0.49298</cdr:x>
      <cdr:y>0.52474</cdr:y>
    </cdr:from>
    <cdr:to>
      <cdr:x>0.59458</cdr:x>
      <cdr:y>0.61061</cdr:y>
    </cdr:to>
    <cdr:sp macro="" textlink="">
      <cdr:nvSpPr>
        <cdr:cNvPr id="5" name="TextBox 1"/>
        <cdr:cNvSpPr txBox="1"/>
      </cdr:nvSpPr>
      <cdr:spPr>
        <a:xfrm xmlns:a="http://schemas.openxmlformats.org/drawingml/2006/main">
          <a:off x="3089804" y="3010309"/>
          <a:ext cx="636783" cy="492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-95,7%</a:t>
          </a:r>
        </a:p>
      </cdr:txBody>
    </cdr:sp>
  </cdr:relSizeAnchor>
  <cdr:relSizeAnchor xmlns:cdr="http://schemas.openxmlformats.org/drawingml/2006/chartDrawing">
    <cdr:from>
      <cdr:x>0.83869</cdr:x>
      <cdr:y>0.47132</cdr:y>
    </cdr:from>
    <cdr:to>
      <cdr:x>0.94028</cdr:x>
      <cdr:y>0.55719</cdr:y>
    </cdr:to>
    <cdr:sp macro="" textlink="">
      <cdr:nvSpPr>
        <cdr:cNvPr id="7" name="TextBox 1"/>
        <cdr:cNvSpPr txBox="1"/>
      </cdr:nvSpPr>
      <cdr:spPr>
        <a:xfrm xmlns:a="http://schemas.openxmlformats.org/drawingml/2006/main">
          <a:off x="5256554" y="2703853"/>
          <a:ext cx="636720" cy="492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39,4%</a:t>
          </a: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280566</xdr:colOff>
      <xdr:row>16</xdr:row>
      <xdr:rowOff>50695</xdr:rowOff>
    </xdr:from>
    <xdr:to>
      <xdr:col>3</xdr:col>
      <xdr:colOff>236858</xdr:colOff>
      <xdr:row>31</xdr:row>
      <xdr:rowOff>108177</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289770</xdr:colOff>
      <xdr:row>17</xdr:row>
      <xdr:rowOff>13082</xdr:rowOff>
    </xdr:from>
    <xdr:to>
      <xdr:col>9</xdr:col>
      <xdr:colOff>643958</xdr:colOff>
      <xdr:row>33</xdr:row>
      <xdr:rowOff>97971</xdr:rowOff>
    </xdr:to>
    <xdr:graphicFrame macro="">
      <xdr:nvGraphicFramePr>
        <xdr:cNvPr id="3" name="Chart 2">
          <a:extLst>
            <a:ext uri="{FF2B5EF4-FFF2-40B4-BE49-F238E27FC236}">
              <a16:creationId xmlns:a16="http://schemas.microsoft.com/office/drawing/2014/main" id="{0C1AFE6C-4365-4A87-BD3D-A2294714A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773906</xdr:colOff>
      <xdr:row>38</xdr:row>
      <xdr:rowOff>5953</xdr:rowOff>
    </xdr:from>
    <xdr:to>
      <xdr:col>8</xdr:col>
      <xdr:colOff>71437</xdr:colOff>
      <xdr:row>51</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36635</xdr:colOff>
      <xdr:row>20</xdr:row>
      <xdr:rowOff>87923</xdr:rowOff>
    </xdr:from>
    <xdr:to>
      <xdr:col>12</xdr:col>
      <xdr:colOff>504265</xdr:colOff>
      <xdr:row>45</xdr:row>
      <xdr:rowOff>95250</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endParaRPr lang="en-GB" sz="120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Jaime Guerra Montes de Oca</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Información</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Tomás Montesinos Yépez</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a:t>
          </a:r>
          <a:r>
            <a:rPr lang="en-US" sz="1200" b="1" baseline="0">
              <a:effectLst/>
              <a:latin typeface="Arial" panose="020B0604020202020204" pitchFamily="34" charset="0"/>
              <a:ea typeface="Wingdings-Regular"/>
              <a:cs typeface="Arial" panose="020B0604020202020204" pitchFamily="34" charset="0"/>
            </a:rPr>
            <a:t> de Gestión de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Jorge Izquierdo Ríos</a:t>
          </a: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r>
            <a:rPr lang="en-GB" sz="1100" baseline="0">
              <a:effectLst/>
              <a:latin typeface="Arial" panose="020B0604020202020204" pitchFamily="34" charset="0"/>
              <a:ea typeface="Wingdings-Regular"/>
              <a:cs typeface="Arial" panose="020B0604020202020204" pitchFamily="34" charset="0"/>
            </a:rPr>
            <a:t> SINAC</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Anexos: 548 - 627  </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40341</xdr:colOff>
      <xdr:row>54</xdr:row>
      <xdr:rowOff>85725</xdr:rowOff>
    </xdr:from>
    <xdr:to>
      <xdr:col>7</xdr:col>
      <xdr:colOff>161925</xdr:colOff>
      <xdr:row>60</xdr:row>
      <xdr:rowOff>123825</xdr:rowOff>
    </xdr:to>
    <xdr:pic>
      <xdr:nvPicPr>
        <xdr:cNvPr id="3" name="Picture 2">
          <a:extLst>
            <a:ext uri="{FF2B5EF4-FFF2-40B4-BE49-F238E27FC236}">
              <a16:creationId xmlns:a16="http://schemas.microsoft.com/office/drawing/2014/main" id="{E87B2844-74B3-4DAE-B79A-B76A72481A3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1966" y="7820025"/>
          <a:ext cx="2217084" cy="89535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223345</xdr:colOff>
      <xdr:row>40</xdr:row>
      <xdr:rowOff>105103</xdr:rowOff>
    </xdr:from>
    <xdr:to>
      <xdr:col>9</xdr:col>
      <xdr:colOff>381000</xdr:colOff>
      <xdr:row>51</xdr:row>
      <xdr:rowOff>131380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19707</xdr:colOff>
      <xdr:row>16</xdr:row>
      <xdr:rowOff>6568</xdr:rowOff>
    </xdr:from>
    <xdr:to>
      <xdr:col>8</xdr:col>
      <xdr:colOff>429240</xdr:colOff>
      <xdr:row>27</xdr:row>
      <xdr:rowOff>32844</xdr:rowOff>
    </xdr:to>
    <xdr:graphicFrame macro="">
      <xdr:nvGraphicFramePr>
        <xdr:cNvPr id="6" name="Chart 5">
          <a:extLst>
            <a:ext uri="{FF2B5EF4-FFF2-40B4-BE49-F238E27FC236}">
              <a16:creationId xmlns:a16="http://schemas.microsoft.com/office/drawing/2014/main" id="{504A3D1A-9E3E-4FE7-89D7-C712B9B00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681263</xdr:colOff>
      <xdr:row>15</xdr:row>
      <xdr:rowOff>123880</xdr:rowOff>
    </xdr:from>
    <xdr:to>
      <xdr:col>1</xdr:col>
      <xdr:colOff>513961</xdr:colOff>
      <xdr:row>17</xdr:row>
      <xdr:rowOff>11877</xdr:rowOff>
    </xdr:to>
    <xdr:sp macro="" textlink="">
      <xdr:nvSpPr>
        <xdr:cNvPr id="7" name="Rectangle 6">
          <a:extLst>
            <a:ext uri="{FF2B5EF4-FFF2-40B4-BE49-F238E27FC236}">
              <a16:creationId xmlns:a16="http://schemas.microsoft.com/office/drawing/2014/main" id="{844F8771-1BB7-4887-885E-C502B78E1000}"/>
            </a:ext>
          </a:extLst>
        </xdr:cNvPr>
        <xdr:cNvSpPr/>
      </xdr:nvSpPr>
      <xdr:spPr>
        <a:xfrm>
          <a:off x="681263" y="3579156"/>
          <a:ext cx="515870" cy="17703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8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95250</xdr:colOff>
      <xdr:row>14</xdr:row>
      <xdr:rowOff>136922</xdr:rowOff>
    </xdr:from>
    <xdr:to>
      <xdr:col>10</xdr:col>
      <xdr:colOff>445077</xdr:colOff>
      <xdr:row>32</xdr:row>
      <xdr:rowOff>51289</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139212</xdr:colOff>
      <xdr:row>36</xdr:row>
      <xdr:rowOff>80597</xdr:rowOff>
    </xdr:from>
    <xdr:to>
      <xdr:col>10</xdr:col>
      <xdr:colOff>410308</xdr:colOff>
      <xdr:row>58</xdr:row>
      <xdr:rowOff>43965</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108701</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549258</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156130</xdr:colOff>
      <xdr:row>4</xdr:row>
      <xdr:rowOff>26276</xdr:rowOff>
    </xdr:from>
    <xdr:to>
      <xdr:col>9</xdr:col>
      <xdr:colOff>479534</xdr:colOff>
      <xdr:row>62</xdr:row>
      <xdr:rowOff>39414</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266140</xdr:colOff>
      <xdr:row>23</xdr:row>
      <xdr:rowOff>139412</xdr:rowOff>
    </xdr:from>
    <xdr:to>
      <xdr:col>10</xdr:col>
      <xdr:colOff>546652</xdr:colOff>
      <xdr:row>56</xdr:row>
      <xdr:rowOff>43962</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874EE-413F-4297-BCA5-BC7D6A269D57}">
  <sheetPr>
    <tabColor theme="4"/>
  </sheetPr>
  <dimension ref="A1:M66"/>
  <sheetViews>
    <sheetView showGridLines="0" tabSelected="1" view="pageBreakPreview" zoomScaleNormal="70" zoomScaleSheetLayoutView="100" zoomScalePageLayoutView="85" workbookViewId="0">
      <selection activeCell="Q13" sqref="Q13"/>
    </sheetView>
  </sheetViews>
  <sheetFormatPr defaultRowHeight="11.25"/>
  <cols>
    <col min="9" max="9" width="14.6640625" customWidth="1"/>
    <col min="12" max="12" width="20.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c r="A5" s="1"/>
      <c r="B5" s="1"/>
      <c r="C5" s="1"/>
      <c r="D5" s="1"/>
      <c r="E5" s="1"/>
      <c r="F5" s="1"/>
      <c r="G5" s="1"/>
      <c r="H5" s="1"/>
      <c r="I5" s="1"/>
      <c r="J5" s="1"/>
      <c r="K5" s="1"/>
      <c r="L5" s="1"/>
      <c r="M5" s="1"/>
    </row>
    <row r="6" spans="1:13">
      <c r="A6" s="1"/>
      <c r="B6" s="1"/>
      <c r="C6" s="1"/>
      <c r="D6" s="1"/>
      <c r="E6" s="1"/>
      <c r="F6" s="1"/>
      <c r="G6" s="1"/>
      <c r="H6" s="1"/>
      <c r="I6" s="1"/>
      <c r="J6" s="1"/>
      <c r="K6" s="1"/>
      <c r="L6" s="1"/>
      <c r="M6" s="1"/>
    </row>
    <row r="7" spans="1:13">
      <c r="A7" s="1"/>
      <c r="B7" s="1"/>
      <c r="C7" s="1"/>
      <c r="D7" s="1"/>
      <c r="E7" s="1"/>
      <c r="F7" s="1"/>
      <c r="G7" s="1"/>
      <c r="H7" s="1"/>
      <c r="I7" s="1"/>
      <c r="J7" s="1"/>
      <c r="K7" s="1"/>
      <c r="L7" s="1"/>
      <c r="M7" s="1"/>
    </row>
    <row r="8" spans="1:13">
      <c r="A8" s="1"/>
      <c r="B8" s="1"/>
      <c r="C8" s="1"/>
      <c r="D8" s="1"/>
      <c r="E8" s="1"/>
      <c r="F8" s="1"/>
      <c r="G8" s="1"/>
      <c r="H8" s="1"/>
      <c r="I8" s="1"/>
      <c r="J8" s="1"/>
      <c r="K8" s="1"/>
      <c r="L8" s="1"/>
      <c r="M8" s="1"/>
    </row>
    <row r="9" spans="1:13">
      <c r="A9" s="1"/>
      <c r="B9" s="1"/>
      <c r="C9" s="1"/>
      <c r="D9" s="1"/>
      <c r="E9" s="1"/>
      <c r="F9" s="1"/>
      <c r="G9" s="1"/>
      <c r="H9" s="1"/>
      <c r="I9" s="1"/>
      <c r="J9" s="1"/>
      <c r="K9" s="1"/>
      <c r="L9" s="1"/>
      <c r="M9" s="1"/>
    </row>
    <row r="10" spans="1:13">
      <c r="A10" s="1"/>
      <c r="B10" s="1"/>
      <c r="C10" s="1"/>
      <c r="D10" s="1"/>
      <c r="E10" s="1"/>
      <c r="F10" s="1"/>
      <c r="G10" s="1"/>
      <c r="H10" s="1"/>
      <c r="I10" s="1"/>
      <c r="J10" s="1"/>
      <c r="K10" s="1"/>
      <c r="L10" s="1"/>
      <c r="M10" s="1"/>
    </row>
    <row r="11" spans="1:13">
      <c r="A11" s="1"/>
      <c r="B11" s="1"/>
      <c r="C11" s="1"/>
      <c r="D11" s="1"/>
      <c r="E11" s="1"/>
      <c r="F11" s="1"/>
      <c r="G11" s="1"/>
      <c r="H11" s="1"/>
      <c r="I11" s="1"/>
      <c r="J11" s="1"/>
      <c r="K11" s="1"/>
      <c r="L11" s="1"/>
      <c r="M11" s="1"/>
    </row>
    <row r="12" spans="1:13">
      <c r="A12" s="1"/>
      <c r="B12" s="1"/>
      <c r="C12" s="1"/>
      <c r="D12" s="1"/>
      <c r="E12" s="1"/>
      <c r="F12" s="1"/>
      <c r="G12" s="1"/>
      <c r="H12" s="1"/>
      <c r="I12" s="1"/>
      <c r="J12" s="1"/>
      <c r="K12" s="1"/>
      <c r="L12" s="1"/>
      <c r="M12" s="1"/>
    </row>
    <row r="13" spans="1:13">
      <c r="A13" s="1"/>
      <c r="B13" s="1"/>
      <c r="C13" s="1"/>
      <c r="D13" s="1"/>
      <c r="E13" s="1"/>
      <c r="F13" s="1"/>
      <c r="G13" s="1"/>
      <c r="H13" s="1"/>
      <c r="I13" s="1"/>
      <c r="J13" s="1"/>
      <c r="K13" s="1"/>
      <c r="L13" s="1"/>
      <c r="M13" s="1"/>
    </row>
    <row r="14" spans="1:13">
      <c r="A14" s="1"/>
      <c r="B14" s="1"/>
      <c r="C14" s="1"/>
      <c r="D14" s="1"/>
      <c r="E14" s="1"/>
      <c r="F14" s="1"/>
      <c r="G14" s="1"/>
      <c r="H14" s="1"/>
      <c r="I14" s="1"/>
      <c r="J14" s="1"/>
      <c r="K14" s="1"/>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c r="A17" s="1"/>
      <c r="B17" s="1"/>
      <c r="C17" s="1"/>
      <c r="D17" s="1"/>
      <c r="E17" s="1"/>
      <c r="F17" s="1"/>
      <c r="G17" s="1"/>
      <c r="H17" s="1"/>
      <c r="I17" s="1"/>
      <c r="J17" s="1"/>
      <c r="K17" s="1"/>
      <c r="L17" s="1"/>
      <c r="M17" s="1"/>
    </row>
    <row r="18" spans="1:13">
      <c r="A18" s="1"/>
      <c r="B18" s="1"/>
      <c r="C18" s="1"/>
      <c r="D18" s="1"/>
      <c r="E18" s="1"/>
      <c r="F18" s="1"/>
      <c r="G18" s="1"/>
      <c r="H18" s="1"/>
      <c r="I18" s="1"/>
      <c r="J18" s="1"/>
      <c r="K18" s="1"/>
      <c r="L18" s="1"/>
      <c r="M18" s="1"/>
    </row>
    <row r="19" spans="1:13">
      <c r="A19" s="1"/>
      <c r="B19" s="1"/>
      <c r="C19" s="1"/>
      <c r="D19" s="1"/>
      <c r="E19" s="1"/>
      <c r="F19" s="1"/>
      <c r="G19" s="1"/>
      <c r="H19" s="1"/>
      <c r="I19" s="1"/>
      <c r="J19" s="1"/>
      <c r="K19" s="1"/>
      <c r="L19" s="1"/>
      <c r="M19" s="1"/>
    </row>
    <row r="20" spans="1:13">
      <c r="A20" s="1"/>
      <c r="B20" s="1"/>
      <c r="C20" s="1"/>
      <c r="D20" s="1"/>
      <c r="E20" s="1"/>
      <c r="F20" s="1"/>
      <c r="G20" s="1"/>
      <c r="H20" s="1"/>
      <c r="I20" s="1"/>
      <c r="J20" s="1"/>
      <c r="K20" s="1"/>
      <c r="L20" s="1"/>
      <c r="M20" s="1"/>
    </row>
    <row r="21" spans="1:13">
      <c r="A21" s="1"/>
      <c r="B21" s="1"/>
      <c r="C21" s="1"/>
      <c r="D21" s="1"/>
      <c r="E21" s="1"/>
      <c r="F21" s="1"/>
      <c r="G21" s="1"/>
      <c r="H21" s="1"/>
      <c r="I21" s="1"/>
      <c r="J21" s="1"/>
      <c r="K21" s="1"/>
      <c r="L21" s="1"/>
      <c r="M21" s="1"/>
    </row>
    <row r="22" spans="1:13">
      <c r="A22" s="1"/>
      <c r="B22" s="1"/>
      <c r="C22" s="1"/>
      <c r="D22" s="1"/>
      <c r="E22" s="1"/>
      <c r="F22" s="1"/>
      <c r="G22" s="1"/>
      <c r="H22" s="1"/>
      <c r="I22" s="1"/>
      <c r="J22" s="1"/>
      <c r="K22" s="1"/>
      <c r="L22" s="1"/>
      <c r="M22" s="1"/>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row r="26" spans="1:13">
      <c r="A26" s="1"/>
      <c r="B26" s="1"/>
      <c r="C26" s="1"/>
      <c r="D26" s="1"/>
      <c r="E26" s="1"/>
      <c r="F26" s="1"/>
      <c r="G26" s="1"/>
      <c r="H26" s="1"/>
      <c r="I26" s="1"/>
      <c r="J26" s="1"/>
      <c r="K26" s="1"/>
      <c r="L26" s="1"/>
      <c r="M26" s="1"/>
    </row>
    <row r="27" spans="1:13">
      <c r="A27" s="1"/>
      <c r="B27" s="1"/>
      <c r="C27" s="1"/>
      <c r="D27" s="1"/>
      <c r="E27" s="1"/>
      <c r="F27" s="1"/>
      <c r="G27" s="1"/>
      <c r="H27" s="1"/>
      <c r="I27" s="1"/>
      <c r="J27" s="1"/>
      <c r="K27" s="1"/>
      <c r="L27" s="1"/>
      <c r="M27" s="1"/>
    </row>
    <row r="28" spans="1:13">
      <c r="A28" s="1"/>
      <c r="B28" s="1"/>
      <c r="C28" s="1"/>
      <c r="D28" s="1"/>
      <c r="E28" s="1"/>
      <c r="F28" s="1"/>
      <c r="G28" s="1"/>
      <c r="H28" s="1"/>
      <c r="I28" s="1"/>
      <c r="J28" s="1"/>
      <c r="K28" s="1"/>
      <c r="L28" s="1"/>
      <c r="M28" s="1"/>
    </row>
    <row r="29" spans="1:13">
      <c r="A29" s="1"/>
      <c r="B29" s="1"/>
      <c r="C29" s="1"/>
      <c r="D29" s="1"/>
      <c r="E29" s="1"/>
      <c r="F29" s="1"/>
      <c r="G29" s="1"/>
      <c r="H29" s="1"/>
      <c r="I29" s="1"/>
      <c r="J29" s="1"/>
      <c r="K29" s="1"/>
      <c r="L29" s="1"/>
      <c r="M29" s="1"/>
    </row>
    <row r="30" spans="1:13">
      <c r="A30" s="1"/>
      <c r="B30" s="1"/>
      <c r="C30" s="1"/>
      <c r="D30" s="1"/>
      <c r="E30" s="1"/>
      <c r="F30" s="1"/>
      <c r="G30" s="1"/>
      <c r="H30" s="1"/>
      <c r="I30" s="1"/>
      <c r="J30" s="1"/>
      <c r="K30" s="1"/>
      <c r="L30" s="1"/>
      <c r="M30" s="1"/>
    </row>
    <row r="31" spans="1:13">
      <c r="A31" s="1"/>
      <c r="B31" s="1"/>
      <c r="C31" s="1"/>
      <c r="D31" s="1"/>
      <c r="E31" s="1"/>
      <c r="F31" s="1"/>
      <c r="G31" s="1"/>
      <c r="H31" s="1"/>
      <c r="I31" s="1"/>
      <c r="J31" s="1"/>
      <c r="K31" s="1"/>
      <c r="L31" s="1"/>
      <c r="M31" s="1"/>
    </row>
    <row r="32" spans="1:13">
      <c r="A32" s="1"/>
      <c r="B32" s="1"/>
      <c r="C32" s="1"/>
      <c r="D32" s="1"/>
      <c r="E32" s="1"/>
      <c r="F32" s="1"/>
      <c r="G32" s="1"/>
      <c r="H32" s="1"/>
      <c r="I32" s="1"/>
      <c r="J32" s="1"/>
      <c r="K32" s="1"/>
      <c r="L32" s="1"/>
      <c r="M32" s="1"/>
    </row>
    <row r="33" spans="1:13">
      <c r="A33" s="1"/>
      <c r="B33" s="1"/>
      <c r="C33" s="1"/>
      <c r="D33" s="1"/>
      <c r="E33" s="1"/>
      <c r="F33" s="1"/>
      <c r="G33" s="1"/>
      <c r="H33" s="1"/>
      <c r="I33" s="1"/>
      <c r="J33" s="1"/>
      <c r="K33" s="1"/>
      <c r="L33" s="1"/>
      <c r="M33" s="1"/>
    </row>
    <row r="34" spans="1:13">
      <c r="A34" s="1"/>
      <c r="B34" s="1"/>
      <c r="C34" s="1"/>
      <c r="D34" s="1"/>
      <c r="E34" s="1"/>
      <c r="F34" s="1"/>
      <c r="G34" s="1"/>
      <c r="H34" s="1"/>
      <c r="I34" s="1"/>
      <c r="J34" s="1"/>
      <c r="K34" s="1"/>
      <c r="L34" s="1"/>
      <c r="M34" s="1"/>
    </row>
    <row r="35" spans="1:13">
      <c r="A35" s="1"/>
      <c r="B35" s="1"/>
      <c r="C35" s="1"/>
      <c r="D35" s="1"/>
      <c r="E35" s="1"/>
      <c r="F35" s="1"/>
      <c r="G35" s="1"/>
      <c r="H35" s="1"/>
      <c r="I35" s="1"/>
      <c r="J35" s="1"/>
      <c r="K35" s="1"/>
      <c r="L35" s="1"/>
      <c r="M35" s="1"/>
    </row>
    <row r="36" spans="1:13">
      <c r="A36" s="1"/>
      <c r="B36" s="1"/>
      <c r="C36" s="1"/>
      <c r="D36" s="1"/>
      <c r="E36" s="1"/>
      <c r="F36" s="1"/>
      <c r="G36" s="1"/>
      <c r="H36" s="1"/>
      <c r="I36" s="1"/>
      <c r="J36" s="1"/>
      <c r="K36" s="1"/>
      <c r="L36" s="1"/>
      <c r="M36" s="1"/>
    </row>
    <row r="37" spans="1:13">
      <c r="A37" s="1"/>
      <c r="B37" s="1"/>
      <c r="C37" s="1"/>
      <c r="D37" s="1"/>
      <c r="E37" s="1"/>
      <c r="F37" s="1"/>
      <c r="G37" s="1"/>
      <c r="H37" s="1"/>
      <c r="I37" s="1"/>
      <c r="J37" s="1"/>
      <c r="K37" s="1"/>
      <c r="L37" s="1"/>
      <c r="M37" s="1"/>
    </row>
    <row r="38" spans="1:13">
      <c r="A38" s="1"/>
      <c r="B38" s="1"/>
      <c r="C38" s="1"/>
      <c r="D38" s="1"/>
      <c r="E38" s="1"/>
      <c r="F38" s="1"/>
      <c r="G38" s="1"/>
      <c r="H38" s="1"/>
      <c r="I38" s="1"/>
      <c r="J38" s="1"/>
      <c r="K38" s="1"/>
      <c r="L38" s="1"/>
      <c r="M38" s="1"/>
    </row>
    <row r="39" spans="1:13">
      <c r="A39" s="1"/>
      <c r="B39" s="1"/>
      <c r="C39" s="1"/>
      <c r="D39" s="1"/>
      <c r="E39" s="1"/>
      <c r="F39" s="1"/>
      <c r="G39" s="1"/>
      <c r="H39" s="1"/>
      <c r="I39" s="1"/>
      <c r="J39" s="1"/>
      <c r="K39" s="1"/>
      <c r="L39" s="1"/>
      <c r="M39" s="1"/>
    </row>
    <row r="40" spans="1:13">
      <c r="A40" s="1"/>
      <c r="B40" s="1"/>
      <c r="C40" s="1"/>
      <c r="D40" s="1"/>
      <c r="E40" s="1"/>
      <c r="F40" s="1"/>
      <c r="G40" s="1"/>
      <c r="H40" s="1"/>
      <c r="I40" s="1"/>
      <c r="J40" s="1"/>
      <c r="K40" s="1"/>
      <c r="L40" s="1"/>
      <c r="M40" s="1"/>
    </row>
    <row r="41" spans="1:13">
      <c r="A41" s="1"/>
      <c r="B41" s="1"/>
      <c r="C41" s="1"/>
      <c r="D41" s="1"/>
      <c r="E41" s="1"/>
      <c r="F41" s="1"/>
      <c r="G41" s="1"/>
      <c r="H41" s="1"/>
      <c r="I41" s="1"/>
      <c r="J41" s="1"/>
      <c r="K41" s="1"/>
      <c r="L41" s="1"/>
      <c r="M41" s="1"/>
    </row>
    <row r="42" spans="1:13">
      <c r="A42" s="1"/>
      <c r="B42" s="1"/>
      <c r="C42" s="1"/>
      <c r="D42" s="1"/>
      <c r="E42" s="1"/>
      <c r="F42" s="1"/>
      <c r="G42" s="1"/>
      <c r="H42" s="1"/>
      <c r="I42" s="1"/>
      <c r="J42" s="1"/>
      <c r="K42" s="1"/>
      <c r="L42" s="1"/>
      <c r="M42" s="1"/>
    </row>
    <row r="43" spans="1:13">
      <c r="A43" s="1"/>
      <c r="B43" s="1"/>
      <c r="C43" s="1"/>
      <c r="D43" s="1"/>
      <c r="E43" s="1"/>
      <c r="F43" s="1"/>
      <c r="G43" s="1"/>
      <c r="H43" s="1"/>
      <c r="I43" s="1"/>
      <c r="J43" s="1"/>
      <c r="K43" s="1"/>
      <c r="L43" s="1"/>
      <c r="M43" s="1"/>
    </row>
    <row r="44" spans="1:13">
      <c r="A44" s="1"/>
      <c r="B44" s="1"/>
      <c r="C44" s="1"/>
      <c r="D44" s="1"/>
      <c r="E44" s="1"/>
      <c r="F44" s="1"/>
      <c r="G44" s="1"/>
      <c r="H44" s="1"/>
      <c r="I44" s="1"/>
      <c r="J44" s="1"/>
      <c r="K44" s="1"/>
      <c r="L44" s="1"/>
      <c r="M44" s="1"/>
    </row>
    <row r="45" spans="1:13">
      <c r="A45" s="1"/>
      <c r="B45" s="1"/>
      <c r="C45" s="1"/>
      <c r="D45" s="1"/>
      <c r="E45" s="1"/>
      <c r="F45" s="1"/>
      <c r="G45" s="1"/>
      <c r="H45" s="1"/>
      <c r="I45" s="1"/>
      <c r="J45" s="1"/>
      <c r="K45" s="1"/>
      <c r="L45" s="1"/>
      <c r="M45" s="1"/>
    </row>
    <row r="46" spans="1:13">
      <c r="A46" s="1"/>
      <c r="B46" s="1"/>
      <c r="C46" s="1"/>
      <c r="D46" s="1"/>
      <c r="E46" s="1"/>
      <c r="F46" s="1"/>
      <c r="G46" s="1"/>
      <c r="H46" s="1"/>
      <c r="I46" s="1"/>
      <c r="J46" s="1"/>
      <c r="K46" s="1"/>
      <c r="L46" s="1"/>
      <c r="M46" s="1"/>
    </row>
    <row r="47" spans="1:13">
      <c r="A47" s="1"/>
      <c r="B47" s="1"/>
      <c r="C47" s="1"/>
      <c r="D47" s="1"/>
      <c r="E47" s="1"/>
      <c r="F47" s="1"/>
      <c r="G47" s="1"/>
      <c r="H47" s="1"/>
      <c r="I47" s="1"/>
      <c r="J47" s="1"/>
      <c r="K47" s="1"/>
      <c r="L47" s="1"/>
      <c r="M47" s="1"/>
    </row>
    <row r="48" spans="1:13">
      <c r="A48" s="1"/>
      <c r="B48" s="1"/>
      <c r="C48" s="1"/>
      <c r="D48" s="1"/>
      <c r="E48" s="1"/>
      <c r="F48" s="1"/>
      <c r="G48" s="1"/>
      <c r="H48" s="1"/>
      <c r="I48" s="1"/>
      <c r="J48" s="1"/>
      <c r="K48" s="1"/>
      <c r="L48" s="1"/>
      <c r="M48" s="1"/>
    </row>
    <row r="49" spans="1:13">
      <c r="A49" s="1"/>
      <c r="B49" s="1"/>
      <c r="C49" s="1"/>
      <c r="D49" s="1"/>
      <c r="E49" s="1"/>
      <c r="F49" s="1"/>
      <c r="G49" s="1"/>
      <c r="H49" s="1"/>
      <c r="I49" s="1"/>
      <c r="J49" s="1"/>
      <c r="K49" s="1"/>
      <c r="L49" s="1"/>
      <c r="M49" s="1"/>
    </row>
    <row r="50" spans="1:13">
      <c r="A50" s="1"/>
      <c r="B50" s="1"/>
      <c r="C50" s="1"/>
      <c r="D50" s="1"/>
      <c r="E50" s="1"/>
      <c r="F50" s="1"/>
      <c r="G50" s="1"/>
      <c r="H50" s="1"/>
      <c r="I50" s="1"/>
      <c r="J50" s="1"/>
      <c r="K50" s="1"/>
      <c r="L50" s="1"/>
      <c r="M50" s="1"/>
    </row>
    <row r="51" spans="1:13">
      <c r="A51" s="1"/>
      <c r="B51" s="1"/>
      <c r="C51" s="1"/>
      <c r="D51" s="1"/>
      <c r="E51" s="1"/>
      <c r="F51" s="1"/>
      <c r="G51" s="1"/>
      <c r="H51" s="1"/>
      <c r="I51" s="1"/>
      <c r="J51" s="1"/>
      <c r="K51" s="1"/>
      <c r="L51" s="1"/>
      <c r="M51" s="1"/>
    </row>
    <row r="52" spans="1:13">
      <c r="A52" s="1"/>
      <c r="B52" s="1"/>
      <c r="C52" s="1"/>
      <c r="D52" s="1"/>
      <c r="E52" s="1"/>
      <c r="F52" s="1"/>
      <c r="G52" s="1"/>
      <c r="H52" s="1"/>
      <c r="I52" s="1"/>
      <c r="J52" s="1"/>
      <c r="K52" s="1"/>
      <c r="L52" s="1"/>
      <c r="M52" s="1"/>
    </row>
    <row r="53" spans="1:13">
      <c r="A53" s="1"/>
      <c r="B53" s="1"/>
      <c r="C53" s="1"/>
      <c r="D53" s="1"/>
      <c r="E53" s="1"/>
      <c r="F53" s="1"/>
      <c r="G53" s="1"/>
      <c r="H53" s="1"/>
      <c r="I53" s="1"/>
      <c r="J53" s="1"/>
      <c r="K53" s="1"/>
      <c r="L53" s="1"/>
      <c r="M53" s="1"/>
    </row>
    <row r="54" spans="1:13">
      <c r="A54" s="1"/>
      <c r="B54" s="1"/>
      <c r="C54" s="1"/>
      <c r="D54" s="1"/>
      <c r="E54" s="1"/>
      <c r="F54" s="1"/>
      <c r="G54" s="1"/>
      <c r="H54" s="1"/>
      <c r="I54" s="1"/>
      <c r="J54" s="1"/>
      <c r="K54" s="1"/>
      <c r="L54" s="1"/>
      <c r="M54" s="1"/>
    </row>
    <row r="55" spans="1:13">
      <c r="A55" s="1"/>
      <c r="B55" s="1"/>
      <c r="C55" s="1"/>
      <c r="D55" s="1"/>
      <c r="E55" s="1"/>
      <c r="F55" s="1"/>
      <c r="G55" s="1"/>
      <c r="H55" s="1"/>
      <c r="I55" s="1"/>
      <c r="J55" s="1"/>
      <c r="K55" s="1"/>
      <c r="L55" s="1"/>
      <c r="M55" s="1"/>
    </row>
    <row r="56" spans="1:13">
      <c r="A56" s="1"/>
      <c r="B56" s="1"/>
      <c r="C56" s="1"/>
      <c r="D56" s="1"/>
      <c r="E56" s="1"/>
      <c r="F56" s="1"/>
      <c r="G56" s="1"/>
      <c r="H56" s="1"/>
      <c r="I56" s="1"/>
      <c r="J56" s="1"/>
      <c r="K56" s="1"/>
      <c r="L56" s="1"/>
      <c r="M56" s="1"/>
    </row>
    <row r="57" spans="1:13">
      <c r="A57" s="1"/>
      <c r="B57" s="1"/>
      <c r="C57" s="1"/>
      <c r="D57" s="1"/>
      <c r="E57" s="1"/>
      <c r="F57" s="1"/>
      <c r="G57" s="1"/>
      <c r="H57" s="1"/>
      <c r="I57" s="1"/>
      <c r="J57" s="1"/>
      <c r="K57" s="1"/>
      <c r="L57" s="1"/>
      <c r="M57" s="1"/>
    </row>
    <row r="58" spans="1:13">
      <c r="A58" s="1"/>
      <c r="B58" s="1"/>
      <c r="C58" s="1"/>
      <c r="D58" s="1"/>
      <c r="E58" s="1"/>
      <c r="F58" s="1"/>
      <c r="G58" s="1"/>
      <c r="H58" s="1"/>
      <c r="I58" s="1"/>
      <c r="J58" s="1"/>
      <c r="K58" s="1"/>
      <c r="L58" s="1"/>
      <c r="M58" s="1"/>
    </row>
    <row r="59" spans="1:13">
      <c r="A59" s="1"/>
      <c r="B59" s="1"/>
      <c r="C59" s="1"/>
      <c r="D59" s="1"/>
      <c r="E59" s="1"/>
      <c r="F59" s="1"/>
      <c r="G59" s="1"/>
      <c r="H59" s="1"/>
      <c r="I59" s="1"/>
      <c r="J59" s="1"/>
      <c r="K59" s="1"/>
      <c r="L59" s="1"/>
      <c r="M59" s="1"/>
    </row>
    <row r="60" spans="1:13">
      <c r="A60" s="1"/>
      <c r="B60" s="1"/>
      <c r="C60" s="1"/>
      <c r="D60" s="1"/>
      <c r="E60" s="1"/>
      <c r="F60" s="1"/>
      <c r="G60" s="1"/>
      <c r="H60" s="1"/>
      <c r="I60" s="1"/>
      <c r="J60" s="1"/>
      <c r="K60" s="1"/>
      <c r="L60" s="1"/>
      <c r="M60" s="1"/>
    </row>
    <row r="61" spans="1:13">
      <c r="A61" s="1"/>
      <c r="B61" s="1"/>
      <c r="C61" s="1"/>
      <c r="D61" s="1"/>
      <c r="E61" s="1"/>
      <c r="F61" s="1"/>
      <c r="G61" s="1"/>
      <c r="H61" s="1"/>
      <c r="I61" s="1"/>
      <c r="J61" s="1"/>
      <c r="K61" s="1"/>
      <c r="L61" s="1"/>
      <c r="M61" s="1"/>
    </row>
    <row r="62" spans="1:13">
      <c r="A62" s="1"/>
      <c r="B62" s="1"/>
      <c r="C62" s="1"/>
      <c r="D62" s="1"/>
      <c r="E62" s="1"/>
      <c r="F62" s="1"/>
      <c r="G62" s="1"/>
      <c r="H62" s="1"/>
      <c r="I62" s="1"/>
      <c r="J62" s="1"/>
      <c r="K62" s="1"/>
      <c r="L62" s="1"/>
      <c r="M62" s="1"/>
    </row>
    <row r="63" spans="1:13">
      <c r="A63" s="1"/>
      <c r="B63" s="1"/>
      <c r="C63" s="1"/>
      <c r="D63" s="1"/>
      <c r="E63" s="1"/>
      <c r="F63" s="1"/>
      <c r="G63" s="1"/>
      <c r="H63" s="1"/>
      <c r="I63" s="1"/>
      <c r="J63" s="1"/>
      <c r="K63" s="1"/>
      <c r="L63" s="1"/>
      <c r="M63" s="1"/>
    </row>
    <row r="64" spans="1:13">
      <c r="A64" s="1"/>
      <c r="B64" s="1"/>
      <c r="C64" s="1"/>
      <c r="D64" s="1"/>
      <c r="E64" s="1"/>
      <c r="F64" s="1"/>
      <c r="G64" s="1"/>
      <c r="H64" s="1"/>
      <c r="I64" s="1"/>
      <c r="J64" s="1"/>
      <c r="K64" s="1"/>
      <c r="L64" s="1"/>
      <c r="M64" s="1"/>
    </row>
    <row r="65" spans="1:13">
      <c r="A65" s="1"/>
      <c r="B65" s="1"/>
      <c r="C65" s="1"/>
      <c r="D65" s="1"/>
      <c r="E65" s="1"/>
      <c r="F65" s="1"/>
      <c r="G65" s="1"/>
      <c r="H65" s="1"/>
      <c r="I65" s="1"/>
      <c r="J65" s="1"/>
      <c r="K65" s="1"/>
      <c r="L65" s="1"/>
      <c r="M65" s="1"/>
    </row>
    <row r="66" spans="1:13">
      <c r="A66" s="1"/>
      <c r="B66" s="1"/>
      <c r="C66" s="1"/>
      <c r="D66" s="1"/>
      <c r="E66" s="1"/>
      <c r="F66" s="1"/>
      <c r="G66" s="1"/>
      <c r="H66" s="1"/>
      <c r="I66" s="1"/>
      <c r="J66" s="1"/>
      <c r="K66" s="1"/>
      <c r="L66" s="1"/>
      <c r="M66" s="1"/>
    </row>
  </sheetData>
  <pageMargins left="0.26960784313725489" right="0.22058823529411764" top="0.36764705882352944" bottom="0.26960784313725489"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29D01-64F8-4321-AE6B-6BCC10510F33}">
  <sheetPr>
    <tabColor theme="4"/>
  </sheetPr>
  <dimension ref="A1:L62"/>
  <sheetViews>
    <sheetView showGridLines="0" view="pageBreakPreview" zoomScale="145" zoomScaleNormal="100" zoomScaleSheetLayoutView="145" zoomScalePageLayoutView="145" workbookViewId="0">
      <selection activeCell="P17" sqref="P17"/>
    </sheetView>
  </sheetViews>
  <sheetFormatPr defaultRowHeight="11.25"/>
  <cols>
    <col min="1" max="1" width="15" style="3" customWidth="1"/>
    <col min="2" max="4" width="10" style="3" customWidth="1"/>
    <col min="5" max="5" width="11" style="3" customWidth="1"/>
    <col min="6" max="6" width="9.33203125" style="3" customWidth="1"/>
    <col min="7" max="8" width="10" style="3" customWidth="1"/>
    <col min="9" max="9" width="9.6640625" style="3" customWidth="1"/>
    <col min="10" max="11" width="10.6640625" style="3" customWidth="1"/>
    <col min="12" max="16384" width="9.33203125" style="3"/>
  </cols>
  <sheetData>
    <row r="1" spans="1:12" ht="11.25" customHeight="1"/>
    <row r="2" spans="1:12" ht="11.25" customHeight="1">
      <c r="A2" s="911" t="s">
        <v>290</v>
      </c>
      <c r="B2" s="911"/>
      <c r="C2" s="911"/>
      <c r="D2" s="911"/>
      <c r="E2" s="911"/>
      <c r="F2" s="911"/>
      <c r="G2" s="911"/>
      <c r="H2" s="911"/>
      <c r="I2" s="911"/>
      <c r="J2" s="911"/>
      <c r="K2" s="911"/>
    </row>
    <row r="3" spans="1:12" ht="11.25" customHeight="1">
      <c r="A3" s="84"/>
      <c r="B3" s="84"/>
      <c r="C3" s="84"/>
      <c r="D3" s="84"/>
      <c r="E3" s="84"/>
      <c r="F3" s="84"/>
      <c r="G3" s="84"/>
      <c r="H3" s="84"/>
      <c r="I3" s="84"/>
      <c r="J3" s="84"/>
      <c r="K3" s="84"/>
      <c r="L3" s="45"/>
    </row>
    <row r="4" spans="1:12" ht="11.25" customHeight="1">
      <c r="A4" s="912" t="s">
        <v>512</v>
      </c>
      <c r="B4" s="912"/>
      <c r="C4" s="912"/>
      <c r="D4" s="912"/>
      <c r="E4" s="912"/>
      <c r="F4" s="912"/>
      <c r="G4" s="912"/>
      <c r="H4" s="912"/>
      <c r="I4" s="912"/>
      <c r="J4" s="912"/>
      <c r="K4" s="912"/>
      <c r="L4" s="45"/>
    </row>
    <row r="5" spans="1:12" ht="11.25" customHeight="1">
      <c r="A5" s="84"/>
      <c r="B5" s="85"/>
      <c r="C5" s="86"/>
      <c r="D5" s="87"/>
      <c r="E5" s="87"/>
      <c r="F5" s="87"/>
      <c r="G5" s="87"/>
      <c r="H5" s="88"/>
      <c r="I5" s="83"/>
      <c r="J5" s="83"/>
      <c r="K5" s="89"/>
      <c r="L5" s="10"/>
    </row>
    <row r="6" spans="1:12" ht="12.75" customHeight="1">
      <c r="A6" s="894" t="s">
        <v>236</v>
      </c>
      <c r="B6" s="891" t="s">
        <v>293</v>
      </c>
      <c r="C6" s="892"/>
      <c r="D6" s="892"/>
      <c r="E6" s="892" t="s">
        <v>34</v>
      </c>
      <c r="F6" s="892"/>
      <c r="G6" s="893" t="s">
        <v>292</v>
      </c>
      <c r="H6" s="893"/>
      <c r="I6" s="893"/>
      <c r="J6" s="893"/>
      <c r="K6" s="893"/>
      <c r="L6" s="20"/>
    </row>
    <row r="7" spans="1:12" ht="12.75" customHeight="1">
      <c r="A7" s="894"/>
      <c r="B7" s="391">
        <f>+'5. RER'!B5</f>
        <v>43133</v>
      </c>
      <c r="C7" s="391">
        <f>+'5. RER'!C5</f>
        <v>43163</v>
      </c>
      <c r="D7" s="391">
        <f>+'5. RER'!D5</f>
        <v>43191</v>
      </c>
      <c r="E7" s="391">
        <f>+'5. RER'!E5</f>
        <v>42826</v>
      </c>
      <c r="F7" s="913" t="s">
        <v>135</v>
      </c>
      <c r="G7" s="392">
        <v>2018</v>
      </c>
      <c r="H7" s="392">
        <v>2017</v>
      </c>
      <c r="I7" s="913" t="s">
        <v>43</v>
      </c>
      <c r="J7" s="392">
        <v>2016</v>
      </c>
      <c r="K7" s="913" t="s">
        <v>36</v>
      </c>
      <c r="L7" s="17"/>
    </row>
    <row r="8" spans="1:12" ht="12.75" customHeight="1">
      <c r="A8" s="894"/>
      <c r="B8" s="393">
        <v>43144.8125</v>
      </c>
      <c r="C8" s="393">
        <v>43176.791666666664</v>
      </c>
      <c r="D8" s="393">
        <v>43214.78125</v>
      </c>
      <c r="E8" s="393">
        <v>42853.791666666664</v>
      </c>
      <c r="F8" s="914"/>
      <c r="G8" s="394">
        <v>43214.78125</v>
      </c>
      <c r="H8" s="394">
        <v>42801.8125</v>
      </c>
      <c r="I8" s="914"/>
      <c r="J8" s="394">
        <v>42459.791666666664</v>
      </c>
      <c r="K8" s="914"/>
      <c r="L8" s="19"/>
    </row>
    <row r="9" spans="1:12" ht="12.75" customHeight="1">
      <c r="A9" s="894"/>
      <c r="B9" s="395">
        <v>43144.8125</v>
      </c>
      <c r="C9" s="395">
        <v>43176.791666666664</v>
      </c>
      <c r="D9" s="395">
        <v>43214.78125</v>
      </c>
      <c r="E9" s="395">
        <v>42853.791666666664</v>
      </c>
      <c r="F9" s="914"/>
      <c r="G9" s="395">
        <v>43214.78125</v>
      </c>
      <c r="H9" s="396">
        <v>42801.8125</v>
      </c>
      <c r="I9" s="914"/>
      <c r="J9" s="397">
        <v>42459.791666666664</v>
      </c>
      <c r="K9" s="914"/>
      <c r="L9" s="18"/>
    </row>
    <row r="10" spans="1:12" ht="12.75" customHeight="1">
      <c r="A10" s="398" t="s">
        <v>37</v>
      </c>
      <c r="B10" s="562">
        <v>4444.7789599999996</v>
      </c>
      <c r="C10" s="563">
        <v>4472.9233000000013</v>
      </c>
      <c r="D10" s="564">
        <v>4457.8647499999988</v>
      </c>
      <c r="E10" s="562">
        <v>3921.927180000001</v>
      </c>
      <c r="F10" s="399">
        <f>+IF(E10=0,"",D10/E10-1)</f>
        <v>0.13665158617248929</v>
      </c>
      <c r="G10" s="562">
        <v>4457.8647499999988</v>
      </c>
      <c r="H10" s="563">
        <v>4181.7234999999982</v>
      </c>
      <c r="I10" s="399">
        <f>+IF(H10=0,"",G10/H10-1)</f>
        <v>6.6035272298611059E-2</v>
      </c>
      <c r="J10" s="562">
        <v>3527.2958100000001</v>
      </c>
      <c r="K10" s="399">
        <f t="shared" ref="K10:K20" si="0">+IF(J10=0,"",H10/J10-1)</f>
        <v>0.18553240931613213</v>
      </c>
      <c r="L10" s="18"/>
    </row>
    <row r="11" spans="1:12" ht="12.75" customHeight="1">
      <c r="A11" s="193" t="s">
        <v>38</v>
      </c>
      <c r="B11" s="565">
        <v>1958.0462900000002</v>
      </c>
      <c r="C11" s="361">
        <v>1961.6245200000005</v>
      </c>
      <c r="D11" s="566">
        <v>1943.7948299999998</v>
      </c>
      <c r="E11" s="565">
        <v>2351.3886999999995</v>
      </c>
      <c r="F11" s="183">
        <f>+IF(E11=0,"",D11/E11-1)</f>
        <v>-0.17334176608061436</v>
      </c>
      <c r="G11" s="565">
        <v>1943.7948299999998</v>
      </c>
      <c r="H11" s="361">
        <v>2286.1302900000001</v>
      </c>
      <c r="I11" s="183">
        <f>+IF(H11=0,"",G11/H11-1)</f>
        <v>-0.14974450996841493</v>
      </c>
      <c r="J11" s="565">
        <v>2770.9643299999998</v>
      </c>
      <c r="K11" s="183">
        <f t="shared" si="0"/>
        <v>-0.1749694266183498</v>
      </c>
      <c r="L11" s="18"/>
    </row>
    <row r="12" spans="1:12" ht="12.75" customHeight="1">
      <c r="A12" s="194" t="s">
        <v>39</v>
      </c>
      <c r="B12" s="567">
        <v>174.14297999999999</v>
      </c>
      <c r="C12" s="362">
        <v>205.14547000000002</v>
      </c>
      <c r="D12" s="568">
        <v>309.01528000000002</v>
      </c>
      <c r="E12" s="567">
        <v>176.67536000000001</v>
      </c>
      <c r="F12" s="184">
        <f>+IF(E12=0,"",D12/E12-1)</f>
        <v>0.74905702753343761</v>
      </c>
      <c r="G12" s="567">
        <v>309.01528000000002</v>
      </c>
      <c r="H12" s="362">
        <v>91.209550000000007</v>
      </c>
      <c r="I12" s="184">
        <f>+IF(H12=0,"",G12/H12-1)</f>
        <v>2.3879706675452295</v>
      </c>
      <c r="J12" s="567">
        <v>146.64738</v>
      </c>
      <c r="K12" s="184">
        <f t="shared" si="0"/>
        <v>-0.37803491613692652</v>
      </c>
      <c r="L12" s="17"/>
    </row>
    <row r="13" spans="1:12" ht="12.75" customHeight="1">
      <c r="A13" s="195" t="s">
        <v>30</v>
      </c>
      <c r="B13" s="569">
        <v>0</v>
      </c>
      <c r="C13" s="570">
        <v>0</v>
      </c>
      <c r="D13" s="571">
        <v>0</v>
      </c>
      <c r="E13" s="569">
        <v>0</v>
      </c>
      <c r="F13" s="185" t="str">
        <f>+IF(E13=0,"",D13/E13-1)</f>
        <v/>
      </c>
      <c r="G13" s="569">
        <v>0</v>
      </c>
      <c r="H13" s="570">
        <v>0</v>
      </c>
      <c r="I13" s="185" t="str">
        <f>+IF(H13=0,"",G13/H13-1)</f>
        <v/>
      </c>
      <c r="J13" s="569">
        <v>0</v>
      </c>
      <c r="K13" s="185" t="str">
        <f t="shared" si="0"/>
        <v/>
      </c>
      <c r="L13" s="19"/>
    </row>
    <row r="14" spans="1:12" ht="12.75" customHeight="1">
      <c r="A14" s="196" t="s">
        <v>44</v>
      </c>
      <c r="B14" s="572">
        <f>+SUM(B10:B13)</f>
        <v>6576.9682299999995</v>
      </c>
      <c r="C14" s="573">
        <f>+SUM(C10:C13)</f>
        <v>6639.693290000002</v>
      </c>
      <c r="D14" s="574">
        <f>+SUM(D10:D13)</f>
        <v>6710.6748599999983</v>
      </c>
      <c r="E14" s="572">
        <f>+SUM(E10:E13)</f>
        <v>6449.9912400000003</v>
      </c>
      <c r="F14" s="186">
        <f>+IF(E14=0,"",D14/E14-1)</f>
        <v>4.0416120007009226E-2</v>
      </c>
      <c r="G14" s="572">
        <f>+SUM(G10:G13)</f>
        <v>6710.6748599999983</v>
      </c>
      <c r="H14" s="573">
        <f>+SUM(H10:H13)</f>
        <v>6559.0633399999979</v>
      </c>
      <c r="I14" s="186">
        <f>+IF(H14=0,"",G14/H14-1)</f>
        <v>2.3114812609813962E-2</v>
      </c>
      <c r="J14" s="572">
        <f>+SUM(J10:J13)</f>
        <v>6444.9075200000007</v>
      </c>
      <c r="K14" s="186">
        <f t="shared" si="0"/>
        <v>1.7712561374348068E-2</v>
      </c>
      <c r="L14" s="18"/>
    </row>
    <row r="15" spans="1:12" ht="6.75" customHeight="1">
      <c r="A15" s="368"/>
      <c r="B15" s="368"/>
      <c r="C15" s="368"/>
      <c r="D15" s="368"/>
      <c r="E15" s="368"/>
      <c r="F15" s="368"/>
      <c r="G15" s="368"/>
      <c r="H15" s="368"/>
      <c r="I15" s="368"/>
      <c r="J15" s="368"/>
      <c r="K15" s="368"/>
      <c r="L15" s="18"/>
    </row>
    <row r="16" spans="1:12" ht="12.75" customHeight="1">
      <c r="A16" s="400" t="s">
        <v>40</v>
      </c>
      <c r="B16" s="401">
        <v>0</v>
      </c>
      <c r="C16" s="402">
        <v>0</v>
      </c>
      <c r="D16" s="403">
        <v>0</v>
      </c>
      <c r="E16" s="401">
        <v>0</v>
      </c>
      <c r="F16" s="404" t="str">
        <f>+IF(E16=0,"",D16/E16-1)</f>
        <v/>
      </c>
      <c r="G16" s="401">
        <v>0</v>
      </c>
      <c r="H16" s="402">
        <v>36.515999999999998</v>
      </c>
      <c r="I16" s="404">
        <f>+IF(H16=0,"",G16/H16-1)</f>
        <v>-1</v>
      </c>
      <c r="J16" s="401">
        <v>0</v>
      </c>
      <c r="K16" s="404" t="str">
        <f t="shared" si="0"/>
        <v/>
      </c>
      <c r="L16" s="20"/>
    </row>
    <row r="17" spans="1:12" ht="12.75" customHeight="1">
      <c r="A17" s="405" t="s">
        <v>41</v>
      </c>
      <c r="B17" s="363">
        <v>0</v>
      </c>
      <c r="C17" s="345">
        <v>0</v>
      </c>
      <c r="D17" s="364">
        <v>0</v>
      </c>
      <c r="E17" s="363">
        <v>0</v>
      </c>
      <c r="F17" s="168" t="str">
        <f>+IF(E17=0,"",D17/E17-1)</f>
        <v/>
      </c>
      <c r="G17" s="363">
        <v>0</v>
      </c>
      <c r="H17" s="345">
        <v>0</v>
      </c>
      <c r="I17" s="168" t="str">
        <f>+IF(H17=0,"",G17/H17-1)</f>
        <v/>
      </c>
      <c r="J17" s="363">
        <v>0</v>
      </c>
      <c r="K17" s="168" t="str">
        <f t="shared" si="0"/>
        <v/>
      </c>
      <c r="L17" s="20"/>
    </row>
    <row r="18" spans="1:12" ht="24" customHeight="1">
      <c r="A18" s="406" t="s">
        <v>42</v>
      </c>
      <c r="B18" s="407">
        <f>+B17-B16</f>
        <v>0</v>
      </c>
      <c r="C18" s="408">
        <f>+C17-C16</f>
        <v>0</v>
      </c>
      <c r="D18" s="409">
        <f>+D17-D16</f>
        <v>0</v>
      </c>
      <c r="E18" s="407">
        <f>+E17-E16</f>
        <v>0</v>
      </c>
      <c r="F18" s="410"/>
      <c r="G18" s="407">
        <f>+G17-G16</f>
        <v>0</v>
      </c>
      <c r="H18" s="408">
        <f>+H17-H16</f>
        <v>-36.515999999999998</v>
      </c>
      <c r="I18" s="410">
        <f>+IF(H18=0,"",G18/H18-1)</f>
        <v>-1</v>
      </c>
      <c r="J18" s="407">
        <f>+J17-J16</f>
        <v>0</v>
      </c>
      <c r="K18" s="410" t="str">
        <f t="shared" si="0"/>
        <v/>
      </c>
      <c r="L18" s="20"/>
    </row>
    <row r="19" spans="1:12" ht="6" customHeight="1">
      <c r="A19" s="29"/>
      <c r="B19" s="29"/>
      <c r="C19" s="29"/>
      <c r="D19" s="29"/>
      <c r="E19" s="29"/>
      <c r="F19" s="29"/>
      <c r="G19" s="29"/>
      <c r="H19" s="29"/>
      <c r="I19" s="29"/>
      <c r="J19" s="29"/>
      <c r="K19" s="29"/>
      <c r="L19" s="20"/>
    </row>
    <row r="20" spans="1:12" ht="24" customHeight="1">
      <c r="A20" s="411" t="s">
        <v>291</v>
      </c>
      <c r="B20" s="575">
        <f t="shared" ref="B20:E20" si="1">+B14-B18</f>
        <v>6576.9682299999995</v>
      </c>
      <c r="C20" s="576">
        <f t="shared" si="1"/>
        <v>6639.693290000002</v>
      </c>
      <c r="D20" s="577">
        <f t="shared" si="1"/>
        <v>6710.6748599999983</v>
      </c>
      <c r="E20" s="575">
        <f t="shared" si="1"/>
        <v>6449.9912400000003</v>
      </c>
      <c r="F20" s="412">
        <f>+IF(E20=0,"",D20/E20-1)</f>
        <v>4.0416120007009226E-2</v>
      </c>
      <c r="G20" s="575">
        <f>+G14-G18</f>
        <v>6710.6748599999983</v>
      </c>
      <c r="H20" s="575">
        <f>+H14-H18</f>
        <v>6595.5793399999975</v>
      </c>
      <c r="I20" s="412">
        <f>+IF(H20=0,"",G20/H20-1)</f>
        <v>1.7450403378818313E-2</v>
      </c>
      <c r="J20" s="575">
        <f>+J14-J18</f>
        <v>6444.9075200000007</v>
      </c>
      <c r="K20" s="825">
        <f t="shared" si="0"/>
        <v>2.3378430106627324E-2</v>
      </c>
      <c r="L20" s="20"/>
    </row>
    <row r="21" spans="1:12" ht="11.25" customHeight="1">
      <c r="A21" s="386" t="s">
        <v>546</v>
      </c>
      <c r="B21" s="159"/>
      <c r="C21" s="159"/>
      <c r="D21" s="159"/>
      <c r="E21" s="159"/>
      <c r="F21" s="159"/>
      <c r="G21" s="159"/>
      <c r="H21" s="159"/>
      <c r="I21" s="159"/>
      <c r="J21" s="159"/>
      <c r="K21" s="159"/>
      <c r="L21" s="22"/>
    </row>
    <row r="22" spans="1:12" ht="17.25" customHeight="1">
      <c r="A22" s="909" t="s">
        <v>534</v>
      </c>
      <c r="B22" s="909"/>
      <c r="C22" s="909"/>
      <c r="D22" s="909"/>
      <c r="E22" s="909"/>
      <c r="F22" s="909"/>
      <c r="G22" s="909"/>
      <c r="H22" s="909"/>
      <c r="I22" s="909"/>
      <c r="J22" s="909"/>
      <c r="K22" s="909"/>
      <c r="L22" s="20"/>
    </row>
    <row r="23" spans="1:12" ht="11.25" customHeight="1">
      <c r="A23" s="187"/>
      <c r="B23" s="187"/>
      <c r="C23" s="187"/>
      <c r="D23" s="187"/>
      <c r="E23" s="187"/>
      <c r="F23" s="187"/>
      <c r="G23" s="187"/>
      <c r="H23" s="187"/>
      <c r="I23" s="187"/>
      <c r="J23" s="187"/>
      <c r="K23" s="187"/>
      <c r="L23" s="20"/>
    </row>
    <row r="24" spans="1:12" ht="11.25" customHeight="1">
      <c r="A24" s="158"/>
      <c r="B24" s="158"/>
      <c r="C24" s="158"/>
      <c r="D24" s="158"/>
      <c r="E24" s="158"/>
      <c r="F24" s="158"/>
      <c r="G24" s="158"/>
      <c r="H24" s="158"/>
      <c r="I24" s="158"/>
      <c r="J24" s="158"/>
      <c r="K24" s="159"/>
      <c r="L24" s="20"/>
    </row>
    <row r="25" spans="1:12" ht="11.25" customHeight="1">
      <c r="A25" s="157"/>
      <c r="B25" s="159"/>
      <c r="C25" s="159"/>
      <c r="D25" s="159"/>
      <c r="E25" s="159"/>
      <c r="F25" s="159"/>
      <c r="G25" s="159"/>
      <c r="H25" s="159"/>
      <c r="I25" s="159"/>
      <c r="J25" s="159"/>
      <c r="K25" s="159"/>
      <c r="L25" s="22"/>
    </row>
    <row r="26" spans="1:12" ht="11.25" customHeight="1">
      <c r="A26" s="157"/>
      <c r="B26" s="159"/>
      <c r="C26" s="159"/>
      <c r="D26" s="159"/>
      <c r="E26" s="159"/>
      <c r="F26" s="159"/>
      <c r="G26" s="159"/>
      <c r="H26" s="159"/>
      <c r="I26" s="159"/>
      <c r="J26" s="159"/>
      <c r="K26" s="159"/>
      <c r="L26" s="20"/>
    </row>
    <row r="27" spans="1:12" ht="11.25" customHeight="1">
      <c r="A27" s="157"/>
      <c r="B27" s="159"/>
      <c r="C27" s="159"/>
      <c r="D27" s="159"/>
      <c r="E27" s="159"/>
      <c r="F27" s="159"/>
      <c r="G27" s="159"/>
      <c r="H27" s="159"/>
      <c r="I27" s="159"/>
      <c r="J27" s="159"/>
      <c r="K27" s="159"/>
      <c r="L27" s="20"/>
    </row>
    <row r="28" spans="1:12" ht="11.25" customHeight="1">
      <c r="A28" s="157"/>
      <c r="B28" s="159"/>
      <c r="C28" s="159"/>
      <c r="D28" s="159"/>
      <c r="E28" s="159"/>
      <c r="F28" s="159"/>
      <c r="G28" s="159"/>
      <c r="H28" s="159"/>
      <c r="I28" s="159"/>
      <c r="J28" s="159"/>
      <c r="K28" s="159"/>
      <c r="L28" s="20"/>
    </row>
    <row r="29" spans="1:12" ht="11.25" customHeight="1">
      <c r="A29" s="157"/>
      <c r="B29" s="159"/>
      <c r="C29" s="159"/>
      <c r="D29" s="159"/>
      <c r="E29" s="159"/>
      <c r="F29" s="159"/>
      <c r="G29" s="159"/>
      <c r="H29" s="159"/>
      <c r="I29" s="159"/>
      <c r="J29" s="159"/>
      <c r="K29" s="159"/>
      <c r="L29" s="20"/>
    </row>
    <row r="30" spans="1:12" ht="11.25" customHeight="1">
      <c r="A30" s="157"/>
      <c r="B30" s="159"/>
      <c r="C30" s="159"/>
      <c r="D30" s="159"/>
      <c r="E30" s="159"/>
      <c r="F30" s="159"/>
      <c r="G30" s="159"/>
      <c r="H30" s="159"/>
      <c r="I30" s="159"/>
      <c r="J30" s="159"/>
      <c r="K30" s="159"/>
      <c r="L30" s="20"/>
    </row>
    <row r="31" spans="1:12" ht="11.25" customHeight="1">
      <c r="A31" s="157"/>
      <c r="B31" s="159"/>
      <c r="C31" s="159"/>
      <c r="D31" s="159"/>
      <c r="E31" s="159"/>
      <c r="F31" s="159"/>
      <c r="G31" s="159"/>
      <c r="H31" s="159"/>
      <c r="I31" s="159"/>
      <c r="J31" s="159"/>
      <c r="K31" s="159"/>
      <c r="L31" s="20"/>
    </row>
    <row r="32" spans="1:12" ht="11.25" customHeight="1">
      <c r="A32" s="157"/>
      <c r="B32" s="159"/>
      <c r="C32" s="159"/>
      <c r="D32" s="159"/>
      <c r="E32" s="159"/>
      <c r="F32" s="159"/>
      <c r="G32" s="159"/>
      <c r="H32" s="159"/>
      <c r="I32" s="159"/>
      <c r="J32" s="159"/>
      <c r="K32" s="159"/>
      <c r="L32" s="20"/>
    </row>
    <row r="33" spans="1:12" ht="11.25" customHeight="1">
      <c r="A33" s="157"/>
      <c r="B33" s="159"/>
      <c r="C33" s="159"/>
      <c r="D33" s="159"/>
      <c r="E33" s="159"/>
      <c r="F33" s="159"/>
      <c r="G33" s="159"/>
      <c r="H33" s="159"/>
      <c r="I33" s="159"/>
      <c r="J33" s="159"/>
      <c r="K33" s="159"/>
      <c r="L33" s="20"/>
    </row>
    <row r="34" spans="1:12" ht="11.25" customHeight="1">
      <c r="A34" s="157"/>
      <c r="B34" s="159"/>
      <c r="C34" s="159"/>
      <c r="D34" s="159"/>
      <c r="E34" s="159"/>
      <c r="F34" s="159"/>
      <c r="G34" s="159"/>
      <c r="H34" s="159"/>
      <c r="I34" s="159"/>
      <c r="J34" s="159"/>
      <c r="K34" s="159"/>
      <c r="L34" s="20"/>
    </row>
    <row r="35" spans="1:12" ht="11.25" customHeight="1">
      <c r="A35" s="157"/>
      <c r="B35" s="159"/>
      <c r="C35" s="159"/>
      <c r="D35" s="159"/>
      <c r="E35" s="159"/>
      <c r="F35" s="159"/>
      <c r="G35" s="159"/>
      <c r="H35" s="159"/>
      <c r="I35" s="159"/>
      <c r="J35" s="159"/>
      <c r="K35" s="159"/>
      <c r="L35" s="20"/>
    </row>
    <row r="36" spans="1:12" ht="11.25" customHeight="1">
      <c r="A36" s="157"/>
      <c r="B36" s="159"/>
      <c r="C36" s="159"/>
      <c r="D36" s="159"/>
      <c r="E36" s="159"/>
      <c r="F36" s="159"/>
      <c r="G36" s="159"/>
      <c r="H36" s="159"/>
      <c r="I36" s="159"/>
      <c r="J36" s="159"/>
      <c r="K36" s="159"/>
      <c r="L36" s="20"/>
    </row>
    <row r="37" spans="1:12" ht="11.25" customHeight="1">
      <c r="A37" s="157"/>
      <c r="B37" s="159"/>
      <c r="C37" s="159"/>
      <c r="D37" s="159"/>
      <c r="E37" s="159"/>
      <c r="F37" s="159"/>
      <c r="G37" s="159"/>
      <c r="H37" s="159"/>
      <c r="I37" s="159"/>
      <c r="J37" s="159"/>
      <c r="K37" s="159"/>
      <c r="L37" s="20"/>
    </row>
    <row r="38" spans="1:12" ht="11.25" customHeight="1">
      <c r="A38" s="157"/>
      <c r="B38" s="159"/>
      <c r="C38" s="159"/>
      <c r="D38" s="159"/>
      <c r="E38" s="159"/>
      <c r="F38" s="159"/>
      <c r="G38" s="159"/>
      <c r="H38" s="159"/>
      <c r="I38" s="159"/>
      <c r="J38" s="159"/>
      <c r="K38" s="159"/>
      <c r="L38" s="20"/>
    </row>
    <row r="39" spans="1:12" ht="11.25" customHeight="1">
      <c r="A39" s="157"/>
      <c r="B39" s="159"/>
      <c r="C39" s="159"/>
      <c r="D39" s="159"/>
      <c r="E39" s="159"/>
      <c r="F39" s="159"/>
      <c r="G39" s="159"/>
      <c r="H39" s="159"/>
      <c r="I39" s="159"/>
      <c r="J39" s="159"/>
      <c r="K39" s="159"/>
      <c r="L39" s="20"/>
    </row>
    <row r="40" spans="1:12" ht="11.25" customHeight="1">
      <c r="A40" s="157"/>
      <c r="B40" s="159"/>
      <c r="C40" s="159"/>
      <c r="D40" s="159"/>
      <c r="E40" s="159"/>
      <c r="F40" s="159"/>
      <c r="G40" s="159"/>
      <c r="H40" s="159"/>
      <c r="I40" s="159"/>
      <c r="J40" s="159"/>
      <c r="K40" s="159"/>
      <c r="L40" s="20"/>
    </row>
    <row r="41" spans="1:12" ht="11.25" customHeight="1">
      <c r="A41" s="157"/>
      <c r="B41" s="159"/>
      <c r="C41" s="159"/>
      <c r="D41" s="159"/>
      <c r="E41" s="159"/>
      <c r="F41" s="159"/>
      <c r="G41" s="159"/>
      <c r="H41" s="159"/>
      <c r="I41" s="159"/>
      <c r="J41" s="159"/>
      <c r="K41" s="159"/>
      <c r="L41" s="20"/>
    </row>
    <row r="42" spans="1:12" ht="11.25" customHeight="1">
      <c r="A42" s="157"/>
      <c r="B42" s="159"/>
      <c r="C42" s="159"/>
      <c r="D42" s="159"/>
      <c r="E42" s="159"/>
      <c r="F42" s="159"/>
      <c r="G42" s="159"/>
      <c r="H42" s="159"/>
      <c r="I42" s="159"/>
      <c r="J42" s="159"/>
      <c r="K42" s="159"/>
      <c r="L42" s="20"/>
    </row>
    <row r="43" spans="1:12" ht="11.25" customHeight="1">
      <c r="A43" s="157"/>
      <c r="B43" s="159"/>
      <c r="C43" s="159"/>
      <c r="D43" s="159"/>
      <c r="E43" s="159"/>
      <c r="F43" s="159"/>
      <c r="G43" s="159"/>
      <c r="H43" s="159"/>
      <c r="I43" s="159"/>
      <c r="J43" s="159"/>
      <c r="K43" s="159"/>
      <c r="L43" s="20"/>
    </row>
    <row r="44" spans="1:12" ht="11.25" customHeight="1">
      <c r="A44" s="157"/>
      <c r="B44" s="159"/>
      <c r="C44" s="159"/>
      <c r="D44" s="159"/>
      <c r="E44" s="159"/>
      <c r="F44" s="159"/>
      <c r="G44" s="159"/>
      <c r="H44" s="159"/>
      <c r="I44" s="159"/>
      <c r="J44" s="159"/>
      <c r="K44" s="159"/>
      <c r="L44" s="20"/>
    </row>
    <row r="45" spans="1:12" ht="11.25" customHeight="1">
      <c r="A45" s="157"/>
      <c r="B45" s="159"/>
      <c r="C45" s="159"/>
      <c r="D45" s="159"/>
      <c r="E45" s="159"/>
      <c r="F45" s="159"/>
      <c r="G45" s="159"/>
      <c r="H45" s="159"/>
      <c r="I45" s="159"/>
      <c r="J45" s="159"/>
      <c r="K45" s="159"/>
      <c r="L45" s="20"/>
    </row>
    <row r="46" spans="1:12" ht="11.25" customHeight="1">
      <c r="A46" s="157"/>
      <c r="B46" s="159"/>
      <c r="C46" s="159"/>
      <c r="D46" s="159"/>
      <c r="E46" s="159"/>
      <c r="F46" s="159"/>
      <c r="G46" s="159"/>
      <c r="H46" s="159"/>
      <c r="I46" s="159"/>
      <c r="J46" s="159"/>
      <c r="K46" s="159"/>
      <c r="L46" s="48"/>
    </row>
    <row r="47" spans="1:12" ht="11.25" customHeight="1">
      <c r="A47" s="157"/>
      <c r="B47" s="159"/>
      <c r="C47" s="159"/>
      <c r="D47" s="159"/>
      <c r="E47" s="159"/>
      <c r="F47" s="159"/>
      <c r="G47" s="159"/>
      <c r="H47" s="159"/>
      <c r="I47" s="159"/>
      <c r="J47" s="159"/>
      <c r="K47" s="159"/>
      <c r="L47" s="20"/>
    </row>
    <row r="48" spans="1:12" ht="11.25" customHeight="1">
      <c r="A48" s="157"/>
      <c r="B48" s="159"/>
      <c r="C48" s="159"/>
      <c r="D48" s="159"/>
      <c r="E48" s="159"/>
      <c r="F48" s="159"/>
      <c r="G48" s="159"/>
      <c r="H48" s="159"/>
      <c r="I48" s="159"/>
      <c r="J48" s="159"/>
      <c r="K48" s="159"/>
      <c r="L48" s="20"/>
    </row>
    <row r="49" spans="1:12" ht="11.25" customHeight="1">
      <c r="A49" s="157"/>
      <c r="B49" s="159"/>
      <c r="C49" s="159"/>
      <c r="D49" s="159"/>
      <c r="E49" s="159"/>
      <c r="F49" s="159"/>
      <c r="G49" s="159"/>
      <c r="H49" s="159"/>
      <c r="I49" s="159"/>
      <c r="J49" s="159"/>
      <c r="K49" s="159"/>
      <c r="L49" s="20"/>
    </row>
    <row r="50" spans="1:12" ht="11.25" customHeight="1">
      <c r="A50" s="157"/>
      <c r="B50" s="159"/>
      <c r="C50" s="159"/>
      <c r="D50" s="159"/>
      <c r="E50" s="159"/>
      <c r="F50" s="159"/>
      <c r="G50" s="159"/>
      <c r="H50" s="159"/>
      <c r="I50" s="159"/>
      <c r="J50" s="159"/>
      <c r="K50" s="159"/>
      <c r="L50" s="20"/>
    </row>
    <row r="51" spans="1:12" ht="11.25" customHeight="1">
      <c r="A51" s="157"/>
      <c r="B51" s="159"/>
      <c r="C51" s="159"/>
      <c r="D51" s="159"/>
      <c r="E51" s="159"/>
      <c r="F51" s="159"/>
      <c r="G51" s="159"/>
      <c r="H51" s="159"/>
      <c r="I51" s="159"/>
      <c r="J51" s="159"/>
      <c r="K51" s="159"/>
      <c r="L51" s="20"/>
    </row>
    <row r="52" spans="1:12" ht="11.25" customHeight="1">
      <c r="A52" s="188"/>
      <c r="B52" s="188"/>
      <c r="C52" s="188"/>
      <c r="D52" s="188"/>
      <c r="E52" s="188"/>
      <c r="F52" s="188"/>
      <c r="G52" s="188"/>
      <c r="H52" s="188"/>
      <c r="I52" s="188"/>
      <c r="J52" s="188"/>
      <c r="K52" s="188"/>
      <c r="L52" s="20"/>
    </row>
    <row r="53" spans="1:12" ht="11.25" customHeight="1">
      <c r="L53" s="15"/>
    </row>
    <row r="54" spans="1:12" ht="11.25" customHeight="1">
      <c r="A54" s="189"/>
      <c r="B54" s="159"/>
      <c r="C54" s="159"/>
      <c r="D54" s="159"/>
      <c r="E54" s="159"/>
      <c r="F54" s="159"/>
      <c r="G54" s="159"/>
      <c r="H54" s="159"/>
      <c r="I54" s="159"/>
      <c r="J54" s="159"/>
      <c r="K54" s="159"/>
      <c r="L54" s="14"/>
    </row>
    <row r="55" spans="1:12" ht="11.25" customHeight="1">
      <c r="A55" s="189"/>
      <c r="B55" s="190"/>
      <c r="C55" s="190"/>
      <c r="D55" s="190"/>
      <c r="E55" s="190"/>
      <c r="F55" s="190"/>
      <c r="G55" s="159"/>
      <c r="H55" s="159"/>
      <c r="I55" s="159"/>
      <c r="J55" s="159"/>
      <c r="K55" s="159"/>
      <c r="L55" s="14"/>
    </row>
    <row r="56" spans="1:12" ht="11.25" customHeight="1">
      <c r="A56" s="179"/>
      <c r="B56" s="191"/>
      <c r="C56" s="191"/>
      <c r="D56" s="192"/>
      <c r="E56" s="192"/>
      <c r="F56" s="192"/>
      <c r="G56" s="159"/>
      <c r="H56" s="159"/>
      <c r="I56" s="159"/>
      <c r="J56" s="159"/>
      <c r="K56" s="159"/>
      <c r="L56" s="14"/>
    </row>
    <row r="57" spans="1:12" ht="11.25" customHeight="1">
      <c r="L57" s="14"/>
    </row>
    <row r="58" spans="1:12" ht="12">
      <c r="A58" s="910" t="str">
        <f>"Gráfico N° 11: Comparación de la máxima potencia coincidente de potencia (MW) por tipo de generación en el SEIN en "&amp;'1. Resumen'!Q4</f>
        <v>Gráfico N° 11: Comparación de la máxima potencia coincidente de potencia (MW) por tipo de generación en el SEIN en abril</v>
      </c>
      <c r="B58" s="910"/>
      <c r="C58" s="910"/>
      <c r="D58" s="910"/>
      <c r="E58" s="910"/>
      <c r="F58" s="910"/>
      <c r="G58" s="910"/>
      <c r="H58" s="910"/>
      <c r="I58" s="910"/>
      <c r="J58" s="910"/>
      <c r="K58" s="910"/>
      <c r="L58" s="14"/>
    </row>
    <row r="59" spans="1:12" ht="12">
      <c r="A59" s="179"/>
      <c r="B59" s="191"/>
      <c r="C59" s="191"/>
      <c r="D59" s="192"/>
      <c r="E59" s="192"/>
      <c r="F59" s="192"/>
      <c r="G59" s="159"/>
      <c r="H59" s="159"/>
      <c r="I59" s="159"/>
      <c r="J59" s="159"/>
      <c r="K59" s="159"/>
      <c r="L59" s="14"/>
    </row>
    <row r="60" spans="1:12" ht="12">
      <c r="A60" s="179"/>
      <c r="B60" s="191"/>
      <c r="C60" s="191"/>
      <c r="D60" s="192"/>
      <c r="E60" s="192"/>
      <c r="F60" s="192"/>
      <c r="G60" s="159"/>
      <c r="H60" s="159"/>
      <c r="I60" s="159"/>
      <c r="J60" s="159"/>
      <c r="K60" s="159"/>
      <c r="L60" s="14"/>
    </row>
    <row r="61" spans="1:12" ht="12.75">
      <c r="A61" s="23"/>
      <c r="B61" s="181"/>
      <c r="C61" s="181"/>
      <c r="D61" s="182"/>
      <c r="E61" s="182"/>
      <c r="F61" s="182"/>
      <c r="G61" s="91"/>
      <c r="H61" s="91"/>
      <c r="I61" s="91"/>
      <c r="J61" s="91"/>
      <c r="K61" s="91"/>
      <c r="L61" s="14"/>
    </row>
    <row r="62" spans="1:12" ht="12.75">
      <c r="A62" s="23"/>
      <c r="B62" s="181"/>
      <c r="C62" s="181"/>
      <c r="D62" s="182"/>
      <c r="E62" s="182"/>
      <c r="F62" s="182"/>
      <c r="G62" s="91"/>
      <c r="H62" s="91"/>
      <c r="I62" s="91"/>
      <c r="J62" s="91"/>
      <c r="K62" s="91"/>
    </row>
  </sheetData>
  <mergeCells count="11">
    <mergeCell ref="A22:K22"/>
    <mergeCell ref="A58:K58"/>
    <mergeCell ref="A2:K2"/>
    <mergeCell ref="A4:K4"/>
    <mergeCell ref="B6:D6"/>
    <mergeCell ref="E6:F6"/>
    <mergeCell ref="G6:K6"/>
    <mergeCell ref="F7:F9"/>
    <mergeCell ref="I7:I9"/>
    <mergeCell ref="K7:K9"/>
    <mergeCell ref="A6:A9"/>
  </mergeCells>
  <pageMargins left="0.7" right="0.59782608695652173" top="0.86956521739130432" bottom="0.61458333333333337" header="0.3" footer="0.3"/>
  <pageSetup orientation="portrait" r:id="rId1"/>
  <headerFooter>
    <oddHeader>&amp;R&amp;7Informe de la Operación Mensual - Abril 2018
INFSGI-MES-04-2018
10/05/2018
Versión: 01</oddHeader>
    <oddFooter>&amp;L&amp;7COES SINAC, 2018
&amp;C8&amp;R&amp;7Dirección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FB5BA-1DD1-41DB-B49C-3B532BCE1B90}">
  <sheetPr>
    <tabColor theme="4"/>
  </sheetPr>
  <dimension ref="A1:O72"/>
  <sheetViews>
    <sheetView showGridLines="0" view="pageBreakPreview" zoomScale="145" zoomScaleNormal="100" zoomScaleSheetLayoutView="145" zoomScalePageLayoutView="145" workbookViewId="0">
      <selection activeCell="P17" sqref="P17"/>
    </sheetView>
  </sheetViews>
  <sheetFormatPr defaultRowHeight="11.25"/>
  <cols>
    <col min="1" max="1" width="26.5" style="3" customWidth="1"/>
    <col min="2" max="2" width="11.33203125" style="3" customWidth="1"/>
    <col min="3" max="3" width="10.83203125" style="3" customWidth="1"/>
    <col min="4" max="4" width="8.6640625" style="3" customWidth="1"/>
    <col min="5" max="9" width="9.33203125" style="3"/>
    <col min="10" max="10" width="11.83203125" style="3" customWidth="1"/>
    <col min="11" max="11" width="9.33203125" style="3" customWidth="1"/>
    <col min="12" max="12" width="27.83203125" style="3" customWidth="1"/>
    <col min="13" max="16384" width="9.33203125" style="3"/>
  </cols>
  <sheetData>
    <row r="1" spans="1:15" ht="11.25" customHeight="1">
      <c r="A1" s="916" t="s">
        <v>296</v>
      </c>
      <c r="B1" s="916"/>
      <c r="C1" s="916"/>
      <c r="D1" s="916"/>
      <c r="E1" s="916"/>
      <c r="F1" s="916"/>
      <c r="G1" s="916"/>
      <c r="H1" s="916"/>
      <c r="I1" s="916"/>
      <c r="J1" s="916"/>
    </row>
    <row r="2" spans="1:15" ht="7.5" customHeight="1">
      <c r="A2" s="92"/>
      <c r="B2" s="91"/>
      <c r="C2" s="91"/>
      <c r="D2" s="91"/>
      <c r="E2" s="91"/>
      <c r="F2" s="91"/>
      <c r="G2" s="91"/>
      <c r="H2" s="91"/>
      <c r="I2" s="91"/>
      <c r="J2" s="91"/>
      <c r="K2" s="45"/>
      <c r="L2" s="45"/>
    </row>
    <row r="3" spans="1:15" ht="11.25" customHeight="1">
      <c r="A3" s="917" t="s">
        <v>136</v>
      </c>
      <c r="B3" s="919" t="str">
        <f>+'1. Resumen'!Q4</f>
        <v>abril</v>
      </c>
      <c r="C3" s="920"/>
      <c r="D3" s="921"/>
      <c r="E3" s="159"/>
      <c r="F3" s="159"/>
      <c r="G3" s="922" t="s">
        <v>295</v>
      </c>
      <c r="H3" s="922"/>
      <c r="I3" s="922"/>
      <c r="J3" s="159"/>
      <c r="K3" s="175"/>
      <c r="L3" s="175"/>
    </row>
    <row r="4" spans="1:15" ht="11.25" customHeight="1">
      <c r="A4" s="917"/>
      <c r="B4" s="197">
        <v>2018</v>
      </c>
      <c r="C4" s="198">
        <v>2017</v>
      </c>
      <c r="D4" s="923" t="s">
        <v>35</v>
      </c>
      <c r="E4" s="159"/>
      <c r="F4" s="159"/>
      <c r="G4" s="159"/>
      <c r="H4" s="159"/>
      <c r="I4" s="159"/>
      <c r="J4" s="159"/>
      <c r="K4" s="31"/>
      <c r="L4" s="152"/>
    </row>
    <row r="5" spans="1:15" ht="11.25" customHeight="1">
      <c r="A5" s="917"/>
      <c r="B5" s="199">
        <f>+'8. Max Potencia'!D8</f>
        <v>43214.78125</v>
      </c>
      <c r="C5" s="199">
        <f>+'8. Max Potencia'!E8</f>
        <v>42853.791666666664</v>
      </c>
      <c r="D5" s="923"/>
      <c r="E5" s="159"/>
      <c r="F5" s="159"/>
      <c r="G5" s="159"/>
      <c r="H5" s="159"/>
      <c r="I5" s="159"/>
      <c r="J5" s="159"/>
      <c r="K5" s="31"/>
      <c r="L5" s="26"/>
    </row>
    <row r="6" spans="1:15" ht="11.25" customHeight="1" thickBot="1">
      <c r="A6" s="918"/>
      <c r="B6" s="418">
        <f>+'8. Max Potencia'!D9</f>
        <v>43214.78125</v>
      </c>
      <c r="C6" s="418">
        <f>+'8. Max Potencia'!E9</f>
        <v>42853.791666666664</v>
      </c>
      <c r="D6" s="924"/>
      <c r="E6" s="159"/>
      <c r="F6" s="159"/>
      <c r="G6" s="159"/>
      <c r="H6" s="159"/>
      <c r="I6" s="159"/>
      <c r="J6" s="159"/>
      <c r="K6" s="32"/>
      <c r="L6" s="303" t="s">
        <v>294</v>
      </c>
      <c r="M6" s="3">
        <v>2018</v>
      </c>
      <c r="N6" s="3">
        <v>2017</v>
      </c>
    </row>
    <row r="7" spans="1:15" ht="9.75" customHeight="1">
      <c r="A7" s="733" t="s">
        <v>281</v>
      </c>
      <c r="B7" s="734">
        <v>1044.61185</v>
      </c>
      <c r="C7" s="734">
        <v>407.98996</v>
      </c>
      <c r="D7" s="735">
        <f>IF(C7=0,"",B7/C7-1)</f>
        <v>1.5603861673458828</v>
      </c>
      <c r="E7" s="159"/>
      <c r="F7" s="159"/>
      <c r="G7" s="159"/>
      <c r="H7" s="159"/>
      <c r="I7" s="159"/>
      <c r="J7" s="159"/>
      <c r="K7" s="30"/>
      <c r="L7" s="419" t="s">
        <v>132</v>
      </c>
      <c r="N7" s="3">
        <v>20.295780000000001</v>
      </c>
      <c r="O7" s="414"/>
    </row>
    <row r="8" spans="1:15" ht="9.75" customHeight="1">
      <c r="A8" s="736" t="s">
        <v>95</v>
      </c>
      <c r="B8" s="737">
        <v>881.57181000000003</v>
      </c>
      <c r="C8" s="737">
        <v>600.46352999999999</v>
      </c>
      <c r="D8" s="738">
        <f t="shared" ref="D8:D63" si="0">IF(C8=0,"",B8/C8-1)</f>
        <v>0.46815212907268489</v>
      </c>
      <c r="E8" s="159"/>
      <c r="F8" s="159"/>
      <c r="G8" s="159"/>
      <c r="H8" s="159"/>
      <c r="I8" s="159"/>
      <c r="J8" s="159"/>
      <c r="K8" s="33"/>
      <c r="L8" s="419" t="s">
        <v>126</v>
      </c>
      <c r="N8" s="3">
        <v>0</v>
      </c>
      <c r="O8" s="414"/>
    </row>
    <row r="9" spans="1:15" ht="9.75" customHeight="1">
      <c r="A9" s="739" t="s">
        <v>96</v>
      </c>
      <c r="B9" s="740">
        <v>848.4681599999999</v>
      </c>
      <c r="C9" s="740">
        <v>816.71712000000002</v>
      </c>
      <c r="D9" s="741">
        <f t="shared" si="0"/>
        <v>3.8876422720268033E-2</v>
      </c>
      <c r="E9" s="836"/>
      <c r="F9" s="159"/>
      <c r="G9" s="159"/>
      <c r="H9" s="159"/>
      <c r="I9" s="159"/>
      <c r="J9" s="159"/>
      <c r="K9" s="32"/>
      <c r="L9" s="419" t="s">
        <v>133</v>
      </c>
      <c r="N9" s="3">
        <v>11.861000000000001</v>
      </c>
      <c r="O9" s="414"/>
    </row>
    <row r="10" spans="1:15" ht="9.75" customHeight="1">
      <c r="A10" s="736" t="s">
        <v>279</v>
      </c>
      <c r="B10" s="737">
        <v>553.66996999999992</v>
      </c>
      <c r="C10" s="737">
        <v>544.14576</v>
      </c>
      <c r="D10" s="738">
        <f t="shared" si="0"/>
        <v>1.7503049182998165E-2</v>
      </c>
      <c r="E10" s="159"/>
      <c r="F10" s="159"/>
      <c r="G10" s="159"/>
      <c r="H10" s="159"/>
      <c r="I10" s="159"/>
      <c r="J10" s="159"/>
      <c r="K10" s="32"/>
      <c r="L10" s="414" t="s">
        <v>134</v>
      </c>
      <c r="M10" s="417"/>
      <c r="N10" s="417">
        <v>238.51834000000002</v>
      </c>
      <c r="O10" s="414"/>
    </row>
    <row r="11" spans="1:15" ht="9.75" customHeight="1">
      <c r="A11" s="739" t="s">
        <v>276</v>
      </c>
      <c r="B11" s="740">
        <v>462.51179999999999</v>
      </c>
      <c r="C11" s="740">
        <v>452.88554999999997</v>
      </c>
      <c r="D11" s="741">
        <f t="shared" si="0"/>
        <v>2.1255370148153485E-2</v>
      </c>
      <c r="E11" s="159"/>
      <c r="F11" s="159"/>
      <c r="G11" s="159"/>
      <c r="H11" s="159"/>
      <c r="I11" s="159"/>
      <c r="J11" s="159"/>
      <c r="K11" s="32"/>
      <c r="L11" s="370" t="s">
        <v>113</v>
      </c>
      <c r="M11" s="417">
        <v>0</v>
      </c>
      <c r="N11" s="417">
        <v>122.69233</v>
      </c>
      <c r="O11" s="414"/>
    </row>
    <row r="12" spans="1:15" ht="9.75" customHeight="1">
      <c r="A12" s="736" t="s">
        <v>97</v>
      </c>
      <c r="B12" s="737">
        <v>400.79362000000003</v>
      </c>
      <c r="C12" s="737">
        <v>334.74356999999998</v>
      </c>
      <c r="D12" s="738">
        <f t="shared" si="0"/>
        <v>0.19731536590829823</v>
      </c>
      <c r="E12" s="159"/>
      <c r="F12" s="159"/>
      <c r="G12" s="159"/>
      <c r="H12" s="159"/>
      <c r="I12" s="159"/>
      <c r="J12" s="159"/>
      <c r="K12" s="30"/>
      <c r="L12" s="419" t="s">
        <v>107</v>
      </c>
      <c r="M12" s="389">
        <v>0</v>
      </c>
      <c r="N12" s="3">
        <v>172.17124999999999</v>
      </c>
      <c r="O12" s="414"/>
    </row>
    <row r="13" spans="1:15" ht="9.75" customHeight="1">
      <c r="A13" s="739" t="s">
        <v>282</v>
      </c>
      <c r="B13" s="740">
        <v>353.42095000000006</v>
      </c>
      <c r="C13" s="740">
        <v>346.39150000000001</v>
      </c>
      <c r="D13" s="741">
        <f t="shared" si="0"/>
        <v>2.029336747581878E-2</v>
      </c>
      <c r="E13" s="159"/>
      <c r="F13" s="159"/>
      <c r="G13" s="159"/>
      <c r="H13" s="159"/>
      <c r="I13" s="159"/>
      <c r="J13" s="159"/>
      <c r="K13" s="33"/>
      <c r="L13" s="370" t="s">
        <v>117</v>
      </c>
      <c r="M13" s="417">
        <v>0</v>
      </c>
      <c r="N13" s="417">
        <v>0</v>
      </c>
      <c r="O13" s="414"/>
    </row>
    <row r="14" spans="1:15" ht="9.75" customHeight="1">
      <c r="A14" s="736" t="s">
        <v>107</v>
      </c>
      <c r="B14" s="737">
        <v>293.38225</v>
      </c>
      <c r="C14" s="737">
        <v>0</v>
      </c>
      <c r="D14" s="738" t="str">
        <f t="shared" si="0"/>
        <v/>
      </c>
      <c r="E14" s="159"/>
      <c r="F14" s="159"/>
      <c r="G14" s="159"/>
      <c r="H14" s="159"/>
      <c r="I14" s="159"/>
      <c r="J14" s="159"/>
      <c r="K14" s="33"/>
      <c r="L14" s="370" t="s">
        <v>129</v>
      </c>
      <c r="M14" s="417">
        <v>0</v>
      </c>
      <c r="N14" s="417">
        <v>0</v>
      </c>
      <c r="O14" s="414"/>
    </row>
    <row r="15" spans="1:15" ht="9.75" customHeight="1">
      <c r="A15" s="739" t="s">
        <v>94</v>
      </c>
      <c r="B15" s="740">
        <v>240.09802999999999</v>
      </c>
      <c r="C15" s="740">
        <v>1103.5886700000001</v>
      </c>
      <c r="D15" s="741">
        <f t="shared" si="0"/>
        <v>-0.78243884109466255</v>
      </c>
      <c r="E15" s="159"/>
      <c r="F15" s="159"/>
      <c r="G15" s="159"/>
      <c r="H15" s="159"/>
      <c r="I15" s="159"/>
      <c r="J15" s="159"/>
      <c r="K15" s="33"/>
      <c r="L15" s="370" t="s">
        <v>286</v>
      </c>
      <c r="M15" s="417">
        <v>0</v>
      </c>
      <c r="N15" s="417">
        <v>129.16291000000001</v>
      </c>
      <c r="O15" s="414"/>
    </row>
    <row r="16" spans="1:15" ht="9.75" customHeight="1">
      <c r="A16" s="736" t="s">
        <v>101</v>
      </c>
      <c r="B16" s="737">
        <v>211.36326</v>
      </c>
      <c r="C16" s="737">
        <v>186.74880999999999</v>
      </c>
      <c r="D16" s="738">
        <f t="shared" si="0"/>
        <v>0.13180512368459008</v>
      </c>
      <c r="E16" s="159"/>
      <c r="F16" s="159"/>
      <c r="G16" s="159"/>
      <c r="H16" s="159"/>
      <c r="I16" s="159"/>
      <c r="J16" s="159"/>
      <c r="K16" s="33"/>
      <c r="L16" s="414" t="s">
        <v>285</v>
      </c>
      <c r="M16" s="417">
        <v>0</v>
      </c>
      <c r="N16" s="417">
        <v>0</v>
      </c>
      <c r="O16" s="414"/>
    </row>
    <row r="17" spans="1:15" ht="9.75" customHeight="1">
      <c r="A17" s="739" t="s">
        <v>100</v>
      </c>
      <c r="B17" s="740">
        <v>192.47320999999999</v>
      </c>
      <c r="C17" s="740">
        <v>197.68630999999999</v>
      </c>
      <c r="D17" s="741">
        <f t="shared" si="0"/>
        <v>-2.6370566580963484E-2</v>
      </c>
      <c r="E17" s="159"/>
      <c r="F17" s="159"/>
      <c r="G17" s="159"/>
      <c r="H17" s="159"/>
      <c r="I17" s="159"/>
      <c r="J17" s="159"/>
      <c r="K17" s="33"/>
      <c r="L17" s="419" t="s">
        <v>115</v>
      </c>
      <c r="M17" s="3">
        <v>0</v>
      </c>
      <c r="N17" s="3">
        <v>0</v>
      </c>
      <c r="O17" s="414"/>
    </row>
    <row r="18" spans="1:15" ht="9.75" customHeight="1">
      <c r="A18" s="736" t="s">
        <v>99</v>
      </c>
      <c r="B18" s="737">
        <v>163.94774999999998</v>
      </c>
      <c r="C18" s="737">
        <v>167.18489</v>
      </c>
      <c r="D18" s="738">
        <f t="shared" si="0"/>
        <v>-1.9362634984537275E-2</v>
      </c>
      <c r="E18" s="159"/>
      <c r="F18" s="159"/>
      <c r="G18" s="159"/>
      <c r="H18" s="159"/>
      <c r="I18" s="159"/>
      <c r="J18" s="159"/>
      <c r="K18" s="33"/>
      <c r="L18" s="414" t="s">
        <v>118</v>
      </c>
      <c r="M18" s="417">
        <v>0</v>
      </c>
      <c r="N18" s="417">
        <v>0</v>
      </c>
      <c r="O18" s="414"/>
    </row>
    <row r="19" spans="1:15" ht="9.75" customHeight="1">
      <c r="A19" s="739" t="s">
        <v>98</v>
      </c>
      <c r="B19" s="740">
        <v>144.29403000000002</v>
      </c>
      <c r="C19" s="740">
        <v>221.57373999999996</v>
      </c>
      <c r="D19" s="741">
        <f t="shared" si="0"/>
        <v>-0.34877648407252571</v>
      </c>
      <c r="E19" s="159"/>
      <c r="F19" s="159"/>
      <c r="G19" s="159"/>
      <c r="H19" s="159"/>
      <c r="I19" s="159"/>
      <c r="J19" s="159"/>
      <c r="K19" s="33"/>
      <c r="L19" s="416" t="s">
        <v>127</v>
      </c>
      <c r="M19" s="417">
        <v>0</v>
      </c>
      <c r="N19" s="417">
        <v>0</v>
      </c>
      <c r="O19" s="414"/>
    </row>
    <row r="20" spans="1:15" ht="9.75" customHeight="1">
      <c r="A20" s="736" t="s">
        <v>105</v>
      </c>
      <c r="B20" s="737">
        <v>124.78003</v>
      </c>
      <c r="C20" s="737"/>
      <c r="D20" s="738" t="str">
        <f t="shared" si="0"/>
        <v/>
      </c>
      <c r="E20" s="159"/>
      <c r="F20" s="159"/>
      <c r="G20" s="159"/>
      <c r="H20" s="159"/>
      <c r="I20" s="159"/>
      <c r="J20" s="159"/>
      <c r="K20" s="38"/>
      <c r="L20" s="414" t="s">
        <v>120</v>
      </c>
      <c r="M20" s="417">
        <v>0</v>
      </c>
      <c r="N20" s="417">
        <v>0</v>
      </c>
      <c r="O20" s="414"/>
    </row>
    <row r="21" spans="1:15" ht="9.75" customHeight="1">
      <c r="A21" s="739" t="s">
        <v>102</v>
      </c>
      <c r="B21" s="740">
        <v>110.79231</v>
      </c>
      <c r="C21" s="740">
        <v>111.24132</v>
      </c>
      <c r="D21" s="741">
        <f t="shared" si="0"/>
        <v>-4.0363598705948078E-3</v>
      </c>
      <c r="E21" s="159"/>
      <c r="F21" s="159"/>
      <c r="G21" s="159"/>
      <c r="H21" s="159"/>
      <c r="I21" s="159"/>
      <c r="J21" s="159"/>
      <c r="K21" s="33"/>
      <c r="L21" s="419" t="s">
        <v>119</v>
      </c>
      <c r="M21" s="3">
        <v>0</v>
      </c>
      <c r="N21" s="3">
        <v>0</v>
      </c>
      <c r="O21" s="414"/>
    </row>
    <row r="22" spans="1:15" ht="9.75" customHeight="1">
      <c r="A22" s="736" t="s">
        <v>596</v>
      </c>
      <c r="B22" s="737">
        <v>88.961479999999995</v>
      </c>
      <c r="C22" s="737">
        <v>89.998429999999999</v>
      </c>
      <c r="D22" s="738">
        <f t="shared" si="0"/>
        <v>-1.1521867659247009E-2</v>
      </c>
      <c r="E22" s="159"/>
      <c r="F22" s="159"/>
      <c r="G22" s="159"/>
      <c r="H22" s="159"/>
      <c r="I22" s="159"/>
      <c r="J22" s="159"/>
      <c r="K22" s="33"/>
      <c r="L22" s="419" t="s">
        <v>275</v>
      </c>
      <c r="M22" s="3">
        <v>0</v>
      </c>
      <c r="N22" s="3">
        <v>0</v>
      </c>
      <c r="O22" s="414"/>
    </row>
    <row r="23" spans="1:15" ht="9.75" customHeight="1">
      <c r="A23" s="739" t="s">
        <v>106</v>
      </c>
      <c r="B23" s="740">
        <v>88.914940000000001</v>
      </c>
      <c r="C23" s="740">
        <v>89.310940000000002</v>
      </c>
      <c r="D23" s="741">
        <f t="shared" si="0"/>
        <v>-4.4339472857413131E-3</v>
      </c>
      <c r="E23" s="159"/>
      <c r="F23" s="159"/>
      <c r="G23" s="159"/>
      <c r="H23" s="159"/>
      <c r="I23" s="159"/>
      <c r="J23" s="159"/>
      <c r="K23" s="33"/>
      <c r="L23" s="414" t="s">
        <v>131</v>
      </c>
      <c r="M23" s="417">
        <v>0</v>
      </c>
      <c r="N23" s="417">
        <v>0</v>
      </c>
      <c r="O23" s="414"/>
    </row>
    <row r="24" spans="1:15" ht="9.75" customHeight="1">
      <c r="A24" s="736" t="s">
        <v>277</v>
      </c>
      <c r="B24" s="737">
        <v>71.243490000000008</v>
      </c>
      <c r="C24" s="737">
        <v>61.216259999999991</v>
      </c>
      <c r="D24" s="738">
        <f t="shared" si="0"/>
        <v>0.16380010801051914</v>
      </c>
      <c r="E24" s="159"/>
      <c r="F24" s="159"/>
      <c r="G24" s="159"/>
      <c r="H24" s="159"/>
      <c r="I24" s="159"/>
      <c r="J24" s="159"/>
      <c r="K24" s="38"/>
      <c r="L24" s="414" t="s">
        <v>277</v>
      </c>
      <c r="M24" s="417">
        <v>0.46811000000000003</v>
      </c>
      <c r="N24" s="417">
        <v>93.507350000000002</v>
      </c>
      <c r="O24" s="414"/>
    </row>
    <row r="25" spans="1:15" ht="9.75" customHeight="1">
      <c r="A25" s="739" t="s">
        <v>104</v>
      </c>
      <c r="B25" s="740">
        <v>68.745959999999997</v>
      </c>
      <c r="C25" s="740">
        <v>63.892559999999996</v>
      </c>
      <c r="D25" s="741">
        <f t="shared" si="0"/>
        <v>7.5961896032965326E-2</v>
      </c>
      <c r="E25" s="159"/>
      <c r="F25" s="159"/>
      <c r="G25" s="159"/>
      <c r="H25" s="159"/>
      <c r="I25" s="159"/>
      <c r="J25" s="159"/>
      <c r="K25" s="33"/>
      <c r="L25" s="419" t="s">
        <v>128</v>
      </c>
      <c r="M25" s="389">
        <v>0.59999000000000002</v>
      </c>
      <c r="N25" s="3">
        <v>0</v>
      </c>
      <c r="O25" s="414"/>
    </row>
    <row r="26" spans="1:15" ht="9.75" customHeight="1">
      <c r="A26" s="736" t="s">
        <v>103</v>
      </c>
      <c r="B26" s="737">
        <v>48.357289999999999</v>
      </c>
      <c r="C26" s="737">
        <v>85.297970000000007</v>
      </c>
      <c r="D26" s="738">
        <f t="shared" si="0"/>
        <v>-0.43307806739128729</v>
      </c>
      <c r="E26" s="159"/>
      <c r="F26" s="159"/>
      <c r="G26" s="159"/>
      <c r="H26" s="159"/>
      <c r="I26" s="159"/>
      <c r="J26" s="159"/>
      <c r="K26" s="33"/>
      <c r="L26" s="414" t="s">
        <v>123</v>
      </c>
      <c r="M26" s="417">
        <v>3.5316099999999997</v>
      </c>
      <c r="N26" s="417">
        <v>3.2308500000000002</v>
      </c>
      <c r="O26" s="414"/>
    </row>
    <row r="27" spans="1:15" ht="9.75" customHeight="1">
      <c r="A27" s="739" t="s">
        <v>108</v>
      </c>
      <c r="B27" s="740">
        <v>46.536540000000002</v>
      </c>
      <c r="C27" s="740">
        <v>43.719270000000002</v>
      </c>
      <c r="D27" s="741">
        <f t="shared" si="0"/>
        <v>6.4440005517018006E-2</v>
      </c>
      <c r="E27" s="159"/>
      <c r="F27" s="159"/>
      <c r="G27" s="159"/>
      <c r="H27" s="159"/>
      <c r="I27" s="159"/>
      <c r="J27" s="159"/>
      <c r="K27" s="33"/>
      <c r="L27" s="414" t="s">
        <v>124</v>
      </c>
      <c r="M27" s="417">
        <v>3.6</v>
      </c>
      <c r="N27" s="417">
        <v>3.2</v>
      </c>
      <c r="O27" s="414"/>
    </row>
    <row r="28" spans="1:15" ht="9.75" customHeight="1">
      <c r="A28" s="736" t="s">
        <v>278</v>
      </c>
      <c r="B28" s="737">
        <v>37.219160000000002</v>
      </c>
      <c r="C28" s="737">
        <v>37.339120000000001</v>
      </c>
      <c r="D28" s="738">
        <f t="shared" si="0"/>
        <v>-3.2127163146854487E-3</v>
      </c>
      <c r="E28" s="159"/>
      <c r="F28" s="159"/>
      <c r="G28" s="159"/>
      <c r="H28" s="159"/>
      <c r="I28" s="159"/>
      <c r="J28" s="159"/>
      <c r="K28" s="33"/>
      <c r="L28" s="414" t="s">
        <v>125</v>
      </c>
      <c r="M28" s="417">
        <v>3.7729999999999997</v>
      </c>
      <c r="N28" s="417">
        <v>3.8529999999999998</v>
      </c>
      <c r="O28" s="414"/>
    </row>
    <row r="29" spans="1:15" ht="9.75" customHeight="1">
      <c r="A29" s="742" t="s">
        <v>109</v>
      </c>
      <c r="B29" s="743">
        <v>27.351590000000002</v>
      </c>
      <c r="C29" s="743">
        <v>27.472549999999998</v>
      </c>
      <c r="D29" s="744">
        <f t="shared" si="0"/>
        <v>-4.402940389588772E-3</v>
      </c>
      <c r="E29" s="159"/>
      <c r="F29" s="159"/>
      <c r="G29" s="159"/>
      <c r="H29" s="159"/>
      <c r="I29" s="159"/>
      <c r="J29" s="159"/>
      <c r="K29" s="33"/>
      <c r="L29" s="415" t="s">
        <v>122</v>
      </c>
      <c r="M29" s="417">
        <v>5.04</v>
      </c>
      <c r="N29" s="417">
        <v>0</v>
      </c>
      <c r="O29" s="414"/>
    </row>
    <row r="30" spans="1:15" ht="9.75" customHeight="1">
      <c r="A30" s="745" t="s">
        <v>287</v>
      </c>
      <c r="B30" s="746">
        <v>26.818739999999998</v>
      </c>
      <c r="C30" s="746">
        <v>30.613520000000001</v>
      </c>
      <c r="D30" s="747">
        <f t="shared" si="0"/>
        <v>-0.12395765008401527</v>
      </c>
      <c r="E30" s="159"/>
      <c r="F30" s="159"/>
      <c r="G30" s="159"/>
      <c r="H30" s="159"/>
      <c r="I30" s="159"/>
      <c r="J30" s="159"/>
      <c r="K30" s="33"/>
      <c r="L30" s="370" t="s">
        <v>284</v>
      </c>
      <c r="M30" s="417">
        <v>7.4263000000000003</v>
      </c>
      <c r="N30" s="417">
        <v>4.5601000000000003</v>
      </c>
      <c r="O30" s="414"/>
    </row>
    <row r="31" spans="1:15" ht="9.75" customHeight="1">
      <c r="A31" s="748" t="s">
        <v>283</v>
      </c>
      <c r="B31" s="749">
        <v>26.574349999999999</v>
      </c>
      <c r="C31" s="749">
        <v>23.47186</v>
      </c>
      <c r="D31" s="750">
        <f t="shared" si="0"/>
        <v>0.13217912853945113</v>
      </c>
      <c r="E31" s="159"/>
      <c r="F31" s="159"/>
      <c r="G31" s="159"/>
      <c r="H31" s="159"/>
      <c r="I31" s="159"/>
      <c r="J31" s="159"/>
      <c r="K31" s="33"/>
      <c r="L31" s="370" t="s">
        <v>121</v>
      </c>
      <c r="M31" s="417">
        <v>8.0326400000000007</v>
      </c>
      <c r="N31" s="417">
        <v>20.301360000000003</v>
      </c>
      <c r="O31" s="414"/>
    </row>
    <row r="32" spans="1:15" ht="9.75" customHeight="1">
      <c r="A32" s="745" t="s">
        <v>541</v>
      </c>
      <c r="B32" s="746">
        <v>19.976400000000002</v>
      </c>
      <c r="C32" s="746"/>
      <c r="D32" s="747" t="str">
        <f t="shared" si="0"/>
        <v/>
      </c>
      <c r="E32" s="159"/>
      <c r="F32" s="159"/>
      <c r="G32" s="159"/>
      <c r="H32" s="159"/>
      <c r="I32" s="159"/>
      <c r="J32" s="159"/>
      <c r="K32" s="33"/>
      <c r="L32" s="414" t="s">
        <v>116</v>
      </c>
      <c r="M32" s="417">
        <v>8.3485700000000005</v>
      </c>
      <c r="N32" s="417">
        <v>6.8383699999999994</v>
      </c>
      <c r="O32" s="414"/>
    </row>
    <row r="33" spans="1:15" ht="9.75" customHeight="1">
      <c r="A33" s="748" t="s">
        <v>130</v>
      </c>
      <c r="B33" s="749">
        <v>19.946739999999998</v>
      </c>
      <c r="C33" s="749">
        <v>0</v>
      </c>
      <c r="D33" s="750" t="str">
        <f t="shared" si="0"/>
        <v/>
      </c>
      <c r="E33" s="159"/>
      <c r="F33" s="159"/>
      <c r="G33" s="159"/>
      <c r="H33" s="159"/>
      <c r="I33" s="159"/>
      <c r="J33" s="159"/>
      <c r="K33" s="33"/>
      <c r="L33" s="370" t="s">
        <v>112</v>
      </c>
      <c r="M33" s="417">
        <v>12.44139</v>
      </c>
      <c r="N33" s="417">
        <v>19.433199999999999</v>
      </c>
      <c r="O33" s="414"/>
    </row>
    <row r="34" spans="1:15" ht="9.75" customHeight="1">
      <c r="A34" s="745" t="s">
        <v>110</v>
      </c>
      <c r="B34" s="746">
        <v>19.619999999999997</v>
      </c>
      <c r="C34" s="746">
        <v>19.084</v>
      </c>
      <c r="D34" s="747">
        <f t="shared" si="0"/>
        <v>2.8086355061831769E-2</v>
      </c>
      <c r="E34" s="159"/>
      <c r="F34" s="159"/>
      <c r="G34" s="159"/>
      <c r="H34" s="159"/>
      <c r="I34" s="159"/>
      <c r="J34" s="159"/>
      <c r="K34" s="33"/>
      <c r="L34" s="414" t="s">
        <v>114</v>
      </c>
      <c r="M34" s="417">
        <v>14.48199</v>
      </c>
      <c r="N34" s="417">
        <v>0</v>
      </c>
      <c r="O34" s="414"/>
    </row>
    <row r="35" spans="1:15" ht="9.75" customHeight="1">
      <c r="A35" s="748" t="s">
        <v>595</v>
      </c>
      <c r="B35" s="749">
        <v>19.575330000000001</v>
      </c>
      <c r="C35" s="749"/>
      <c r="D35" s="750" t="str">
        <f t="shared" si="0"/>
        <v/>
      </c>
      <c r="E35" s="159"/>
      <c r="F35" s="159"/>
      <c r="G35" s="159"/>
      <c r="H35" s="159"/>
      <c r="I35" s="159"/>
      <c r="J35" s="159"/>
      <c r="K35" s="33"/>
      <c r="L35" s="415" t="s">
        <v>104</v>
      </c>
      <c r="M35" s="417">
        <v>16.338909999999998</v>
      </c>
      <c r="N35" s="417">
        <v>17.57508</v>
      </c>
      <c r="O35" s="414"/>
    </row>
    <row r="36" spans="1:15" ht="9.75" customHeight="1">
      <c r="A36" s="745" t="s">
        <v>112</v>
      </c>
      <c r="B36" s="746">
        <v>18.94304</v>
      </c>
      <c r="C36" s="746">
        <v>19.126629999999999</v>
      </c>
      <c r="D36" s="747">
        <f t="shared" si="0"/>
        <v>-9.5986590423926543E-3</v>
      </c>
      <c r="E36" s="159"/>
      <c r="F36" s="159"/>
      <c r="G36" s="159"/>
      <c r="H36" s="159"/>
      <c r="I36" s="159"/>
      <c r="J36" s="159"/>
      <c r="K36" s="43"/>
      <c r="L36" s="370" t="s">
        <v>595</v>
      </c>
      <c r="M36" s="417">
        <v>19.28547</v>
      </c>
      <c r="N36" s="417"/>
      <c r="O36" s="414"/>
    </row>
    <row r="37" spans="1:15" ht="9.75" customHeight="1">
      <c r="A37" s="748" t="s">
        <v>114</v>
      </c>
      <c r="B37" s="749">
        <v>14.774369999999999</v>
      </c>
      <c r="C37" s="749">
        <v>13.26709</v>
      </c>
      <c r="D37" s="750">
        <f t="shared" si="0"/>
        <v>0.11361044509383733</v>
      </c>
      <c r="E37" s="159"/>
      <c r="F37" s="159"/>
      <c r="G37" s="159"/>
      <c r="H37" s="159"/>
      <c r="I37" s="159"/>
      <c r="J37" s="159"/>
      <c r="K37" s="43"/>
      <c r="L37" s="419" t="s">
        <v>111</v>
      </c>
      <c r="M37" s="389">
        <v>19.460709999999999</v>
      </c>
      <c r="O37" s="414"/>
    </row>
    <row r="38" spans="1:15" ht="9.75" customHeight="1">
      <c r="A38" s="745" t="s">
        <v>280</v>
      </c>
      <c r="B38" s="746">
        <v>9.0002999999999993</v>
      </c>
      <c r="C38" s="746"/>
      <c r="D38" s="747" t="str">
        <f t="shared" si="0"/>
        <v/>
      </c>
      <c r="E38" s="159"/>
      <c r="F38" s="159"/>
      <c r="G38" s="159"/>
      <c r="H38" s="159"/>
      <c r="I38" s="159"/>
      <c r="J38" s="159"/>
      <c r="K38" s="38"/>
      <c r="L38" s="370" t="s">
        <v>110</v>
      </c>
      <c r="M38" s="417">
        <v>19.64</v>
      </c>
      <c r="N38" s="417">
        <v>0</v>
      </c>
      <c r="O38" s="414"/>
    </row>
    <row r="39" spans="1:15" ht="9.75" customHeight="1">
      <c r="A39" s="748" t="s">
        <v>121</v>
      </c>
      <c r="B39" s="749">
        <v>8.8075100000000006</v>
      </c>
      <c r="C39" s="749">
        <v>2.6274099999999998</v>
      </c>
      <c r="D39" s="750">
        <f t="shared" si="0"/>
        <v>2.3521642986819726</v>
      </c>
      <c r="E39" s="159"/>
      <c r="F39" s="159"/>
      <c r="G39" s="159"/>
      <c r="H39" s="159"/>
      <c r="I39" s="159"/>
      <c r="J39" s="159"/>
      <c r="K39" s="38"/>
      <c r="L39" s="370" t="s">
        <v>541</v>
      </c>
      <c r="M39" s="417">
        <v>20.100000000000001</v>
      </c>
      <c r="N39" s="417"/>
      <c r="O39" s="414"/>
    </row>
    <row r="40" spans="1:15" ht="9.75" customHeight="1">
      <c r="A40" s="745" t="s">
        <v>116</v>
      </c>
      <c r="B40" s="746">
        <v>6.8397399999999999</v>
      </c>
      <c r="C40" s="746">
        <v>6.8010599999999997</v>
      </c>
      <c r="D40" s="747">
        <f t="shared" si="0"/>
        <v>5.6873487368145348E-3</v>
      </c>
      <c r="E40" s="159"/>
      <c r="F40" s="159"/>
      <c r="G40" s="159"/>
      <c r="H40" s="159"/>
      <c r="I40" s="159"/>
      <c r="J40" s="159"/>
      <c r="K40" s="38"/>
      <c r="L40" s="370" t="s">
        <v>130</v>
      </c>
      <c r="M40" s="417">
        <v>20.21865</v>
      </c>
      <c r="N40" s="417"/>
      <c r="O40" s="414"/>
    </row>
    <row r="41" spans="1:15" ht="9.75" customHeight="1">
      <c r="A41" s="748" t="s">
        <v>122</v>
      </c>
      <c r="B41" s="749">
        <v>4.55</v>
      </c>
      <c r="C41" s="749">
        <v>2.52</v>
      </c>
      <c r="D41" s="750">
        <f t="shared" si="0"/>
        <v>0.80555555555555558</v>
      </c>
      <c r="E41" s="159"/>
      <c r="F41" s="159"/>
      <c r="G41" s="159"/>
      <c r="H41" s="159"/>
      <c r="I41" s="159"/>
      <c r="J41" s="159"/>
      <c r="K41" s="43"/>
      <c r="L41" s="370" t="s">
        <v>109</v>
      </c>
      <c r="M41" s="417">
        <v>26.998449999999998</v>
      </c>
      <c r="N41" s="417">
        <v>26.39648</v>
      </c>
      <c r="O41" s="414"/>
    </row>
    <row r="42" spans="1:15" ht="9.75" customHeight="1">
      <c r="A42" s="745" t="s">
        <v>284</v>
      </c>
      <c r="B42" s="746">
        <v>4.4090999999999996</v>
      </c>
      <c r="C42" s="746">
        <v>4.5514000000000001</v>
      </c>
      <c r="D42" s="747">
        <f t="shared" si="0"/>
        <v>-3.1265105242343161E-2</v>
      </c>
      <c r="E42" s="159"/>
      <c r="F42" s="159"/>
      <c r="G42" s="159"/>
      <c r="H42" s="159"/>
      <c r="I42" s="159"/>
      <c r="J42" s="159"/>
      <c r="K42" s="43"/>
      <c r="L42" s="414" t="s">
        <v>283</v>
      </c>
      <c r="M42" s="417">
        <v>27.94117</v>
      </c>
      <c r="N42" s="417">
        <v>16.99982</v>
      </c>
      <c r="O42" s="414"/>
    </row>
    <row r="43" spans="1:15" ht="9.75" customHeight="1">
      <c r="A43" s="748" t="s">
        <v>125</v>
      </c>
      <c r="B43" s="749">
        <v>3.7160000000000002</v>
      </c>
      <c r="C43" s="749">
        <v>3.2210000000000001</v>
      </c>
      <c r="D43" s="750">
        <f t="shared" si="0"/>
        <v>0.15367898168270733</v>
      </c>
      <c r="E43" s="159"/>
      <c r="F43" s="159"/>
      <c r="G43" s="159"/>
      <c r="H43" s="159"/>
      <c r="I43" s="159"/>
      <c r="J43" s="159"/>
      <c r="K43" s="43"/>
      <c r="L43" s="370" t="s">
        <v>287</v>
      </c>
      <c r="M43" s="417">
        <v>32.922269999999997</v>
      </c>
      <c r="N43" s="417">
        <v>32.93768</v>
      </c>
      <c r="O43" s="414"/>
    </row>
    <row r="44" spans="1:15" ht="9.75" customHeight="1">
      <c r="A44" s="745" t="s">
        <v>123</v>
      </c>
      <c r="B44" s="746">
        <v>3.6137600000000001</v>
      </c>
      <c r="C44" s="746">
        <v>0</v>
      </c>
      <c r="D44" s="747" t="str">
        <f t="shared" si="0"/>
        <v/>
      </c>
      <c r="E44" s="159"/>
      <c r="F44" s="159"/>
      <c r="G44" s="159"/>
      <c r="H44" s="159"/>
      <c r="I44" s="159"/>
      <c r="J44" s="159"/>
      <c r="K44" s="160"/>
      <c r="L44" s="370" t="s">
        <v>278</v>
      </c>
      <c r="M44" s="417">
        <v>37.237279999999998</v>
      </c>
      <c r="N44" s="417">
        <v>37.327280000000002</v>
      </c>
      <c r="O44" s="414"/>
    </row>
    <row r="45" spans="1:15" ht="9.75" customHeight="1">
      <c r="A45" s="748" t="s">
        <v>131</v>
      </c>
      <c r="B45" s="749">
        <v>0</v>
      </c>
      <c r="C45" s="749">
        <v>0</v>
      </c>
      <c r="D45" s="750" t="str">
        <f t="shared" si="0"/>
        <v/>
      </c>
      <c r="E45" s="159"/>
      <c r="F45" s="159"/>
      <c r="G45" s="159"/>
      <c r="H45" s="159"/>
      <c r="I45" s="159"/>
      <c r="J45" s="159"/>
      <c r="L45" s="414" t="s">
        <v>108</v>
      </c>
      <c r="M45" s="417">
        <v>41.949539999999999</v>
      </c>
      <c r="N45" s="417">
        <v>49.393899999999995</v>
      </c>
      <c r="O45" s="414"/>
    </row>
    <row r="46" spans="1:15" ht="9.75" customHeight="1">
      <c r="A46" s="745" t="s">
        <v>275</v>
      </c>
      <c r="B46" s="746">
        <v>0</v>
      </c>
      <c r="C46" s="746">
        <v>0</v>
      </c>
      <c r="D46" s="747" t="str">
        <f t="shared" si="0"/>
        <v/>
      </c>
      <c r="E46" s="159"/>
      <c r="F46" s="159"/>
      <c r="G46" s="159"/>
      <c r="H46" s="159"/>
      <c r="I46" s="159"/>
      <c r="J46" s="159"/>
      <c r="L46" s="416" t="s">
        <v>103</v>
      </c>
      <c r="M46" s="417">
        <v>50.580829999999999</v>
      </c>
      <c r="N46" s="417">
        <v>83.772379999999998</v>
      </c>
      <c r="O46" s="414"/>
    </row>
    <row r="47" spans="1:15" ht="9.75" customHeight="1">
      <c r="A47" s="748" t="s">
        <v>128</v>
      </c>
      <c r="B47" s="749">
        <v>0</v>
      </c>
      <c r="C47" s="749">
        <v>0</v>
      </c>
      <c r="D47" s="750" t="str">
        <f t="shared" si="0"/>
        <v/>
      </c>
      <c r="E47" s="159"/>
      <c r="F47" s="159"/>
      <c r="G47" s="159"/>
      <c r="H47" s="159"/>
      <c r="I47" s="159"/>
      <c r="J47" s="159"/>
      <c r="L47" s="414" t="s">
        <v>105</v>
      </c>
      <c r="M47" s="417">
        <v>68.84151</v>
      </c>
      <c r="N47" s="417"/>
      <c r="O47" s="414"/>
    </row>
    <row r="48" spans="1:15" ht="9.75" customHeight="1">
      <c r="A48" s="745" t="s">
        <v>119</v>
      </c>
      <c r="B48" s="746">
        <v>0</v>
      </c>
      <c r="C48" s="746">
        <v>0</v>
      </c>
      <c r="D48" s="747" t="str">
        <f t="shared" si="0"/>
        <v/>
      </c>
      <c r="E48" s="159"/>
      <c r="F48" s="159"/>
      <c r="G48" s="159"/>
      <c r="H48" s="159"/>
      <c r="I48" s="159"/>
      <c r="J48" s="159"/>
      <c r="L48" s="414" t="s">
        <v>566</v>
      </c>
      <c r="M48" s="417">
        <v>90.123379999999997</v>
      </c>
      <c r="N48" s="417">
        <v>90.278629999999993</v>
      </c>
      <c r="O48" s="414"/>
    </row>
    <row r="49" spans="1:15" ht="9.75" customHeight="1">
      <c r="A49" s="748" t="s">
        <v>120</v>
      </c>
      <c r="B49" s="749">
        <v>0</v>
      </c>
      <c r="C49" s="749">
        <v>0</v>
      </c>
      <c r="D49" s="750" t="str">
        <f t="shared" si="0"/>
        <v/>
      </c>
      <c r="E49" s="159"/>
      <c r="F49" s="159"/>
      <c r="G49" s="159"/>
      <c r="H49" s="159"/>
      <c r="I49" s="159"/>
      <c r="J49" s="159"/>
      <c r="L49" s="370" t="s">
        <v>106</v>
      </c>
      <c r="M49" s="417">
        <v>92.023880000000005</v>
      </c>
      <c r="N49" s="417">
        <v>56.634650000000001</v>
      </c>
      <c r="O49" s="414"/>
    </row>
    <row r="50" spans="1:15" ht="9.75" customHeight="1">
      <c r="A50" s="745" t="s">
        <v>124</v>
      </c>
      <c r="B50" s="746">
        <v>0</v>
      </c>
      <c r="C50" s="746">
        <v>2.8</v>
      </c>
      <c r="D50" s="747">
        <f t="shared" si="0"/>
        <v>-1</v>
      </c>
      <c r="E50" s="159"/>
      <c r="F50" s="159"/>
      <c r="G50" s="159"/>
      <c r="H50" s="159"/>
      <c r="I50" s="159"/>
      <c r="J50" s="159"/>
      <c r="L50" s="370" t="s">
        <v>102</v>
      </c>
      <c r="M50" s="417">
        <v>111.25274999999999</v>
      </c>
      <c r="N50" s="417">
        <v>110.68579</v>
      </c>
      <c r="O50" s="414"/>
    </row>
    <row r="51" spans="1:15" ht="9.75" customHeight="1">
      <c r="A51" s="748" t="s">
        <v>127</v>
      </c>
      <c r="B51" s="749">
        <v>0</v>
      </c>
      <c r="C51" s="749">
        <v>0</v>
      </c>
      <c r="D51" s="750" t="str">
        <f t="shared" si="0"/>
        <v/>
      </c>
      <c r="E51" s="159"/>
      <c r="F51" s="159"/>
      <c r="G51" s="159"/>
      <c r="H51" s="159"/>
      <c r="I51" s="159"/>
      <c r="J51" s="159"/>
      <c r="L51" s="370" t="s">
        <v>99</v>
      </c>
      <c r="M51" s="417">
        <v>164.70982999999998</v>
      </c>
      <c r="N51" s="417">
        <v>168.08004999999997</v>
      </c>
      <c r="O51" s="414"/>
    </row>
    <row r="52" spans="1:15" ht="9.75" customHeight="1">
      <c r="A52" s="745" t="s">
        <v>118</v>
      </c>
      <c r="B52" s="746">
        <v>0</v>
      </c>
      <c r="C52" s="746">
        <v>0</v>
      </c>
      <c r="D52" s="747" t="str">
        <f t="shared" si="0"/>
        <v/>
      </c>
      <c r="E52" s="159"/>
      <c r="F52" s="159"/>
      <c r="G52" s="159"/>
      <c r="H52" s="159"/>
      <c r="I52" s="159"/>
      <c r="J52" s="159"/>
      <c r="L52" s="370" t="s">
        <v>98</v>
      </c>
      <c r="M52" s="417">
        <v>183.01977000000005</v>
      </c>
      <c r="N52" s="417">
        <v>197.24307999999999</v>
      </c>
      <c r="O52" s="414"/>
    </row>
    <row r="53" spans="1:15" ht="9.75" customHeight="1">
      <c r="A53" s="748" t="s">
        <v>115</v>
      </c>
      <c r="B53" s="749">
        <v>0</v>
      </c>
      <c r="C53" s="749">
        <v>0</v>
      </c>
      <c r="D53" s="750" t="str">
        <f t="shared" si="0"/>
        <v/>
      </c>
      <c r="E53" s="159"/>
      <c r="F53" s="159"/>
      <c r="G53" s="159"/>
      <c r="H53" s="159"/>
      <c r="I53" s="159"/>
      <c r="J53" s="159"/>
      <c r="L53" s="370" t="s">
        <v>100</v>
      </c>
      <c r="M53" s="417">
        <v>192.97874000000002</v>
      </c>
      <c r="N53" s="417">
        <v>197.39031</v>
      </c>
      <c r="O53" s="414"/>
    </row>
    <row r="54" spans="1:15" ht="9.75" customHeight="1">
      <c r="A54" s="745" t="s">
        <v>285</v>
      </c>
      <c r="B54" s="746">
        <v>0</v>
      </c>
      <c r="C54" s="746">
        <v>0</v>
      </c>
      <c r="D54" s="747" t="str">
        <f t="shared" si="0"/>
        <v/>
      </c>
      <c r="E54" s="159"/>
      <c r="F54" s="159"/>
      <c r="G54" s="159"/>
      <c r="H54" s="159"/>
      <c r="I54" s="159"/>
      <c r="J54" s="159"/>
      <c r="L54" s="370" t="s">
        <v>101</v>
      </c>
      <c r="M54" s="417">
        <v>216.76038</v>
      </c>
      <c r="N54" s="417">
        <v>215.91942999999998</v>
      </c>
      <c r="O54" s="414"/>
    </row>
    <row r="55" spans="1:15" ht="9.75" customHeight="1">
      <c r="A55" s="748" t="s">
        <v>286</v>
      </c>
      <c r="B55" s="749">
        <v>0</v>
      </c>
      <c r="C55" s="749">
        <v>0</v>
      </c>
      <c r="D55" s="750" t="str">
        <f t="shared" si="0"/>
        <v/>
      </c>
      <c r="E55" s="159"/>
      <c r="F55" s="159"/>
      <c r="G55" s="159"/>
      <c r="H55" s="159"/>
      <c r="I55" s="159"/>
      <c r="J55" s="159"/>
      <c r="L55" s="370" t="s">
        <v>282</v>
      </c>
      <c r="M55" s="417">
        <v>353.78869999999995</v>
      </c>
      <c r="N55" s="417">
        <v>361.23822000000001</v>
      </c>
      <c r="O55" s="414"/>
    </row>
    <row r="56" spans="1:15" ht="9.75" customHeight="1">
      <c r="A56" s="745" t="s">
        <v>129</v>
      </c>
      <c r="B56" s="746">
        <v>0</v>
      </c>
      <c r="C56" s="746">
        <v>0</v>
      </c>
      <c r="D56" s="747" t="str">
        <f t="shared" si="0"/>
        <v/>
      </c>
      <c r="E56" s="159"/>
      <c r="F56" s="159"/>
      <c r="G56" s="159"/>
      <c r="H56" s="159"/>
      <c r="I56" s="159"/>
      <c r="J56" s="159"/>
      <c r="L56" s="370" t="s">
        <v>94</v>
      </c>
      <c r="M56" s="417">
        <v>403.77977999999996</v>
      </c>
      <c r="N56" s="417">
        <v>1105.33825</v>
      </c>
      <c r="O56" s="414"/>
    </row>
    <row r="57" spans="1:15" ht="9.75" customHeight="1">
      <c r="A57" s="748" t="s">
        <v>117</v>
      </c>
      <c r="B57" s="749">
        <v>0</v>
      </c>
      <c r="C57" s="749">
        <v>0</v>
      </c>
      <c r="D57" s="750" t="str">
        <f t="shared" si="0"/>
        <v/>
      </c>
      <c r="E57" s="159"/>
      <c r="F57" s="159"/>
      <c r="G57" s="159"/>
      <c r="H57" s="159"/>
      <c r="I57" s="159"/>
      <c r="J57" s="159"/>
      <c r="L57" s="370" t="s">
        <v>97</v>
      </c>
      <c r="M57" s="417">
        <v>408.46721000000002</v>
      </c>
      <c r="N57" s="417">
        <v>327.91179</v>
      </c>
      <c r="O57" s="414"/>
    </row>
    <row r="58" spans="1:15" ht="9.75" customHeight="1">
      <c r="A58" s="745" t="s">
        <v>113</v>
      </c>
      <c r="B58" s="746">
        <v>0</v>
      </c>
      <c r="C58" s="746">
        <v>0</v>
      </c>
      <c r="D58" s="747" t="str">
        <f t="shared" si="0"/>
        <v/>
      </c>
      <c r="E58" s="159"/>
      <c r="F58" s="159"/>
      <c r="G58" s="159"/>
      <c r="H58" s="159"/>
      <c r="I58" s="159"/>
      <c r="J58" s="159"/>
      <c r="L58" s="370" t="s">
        <v>276</v>
      </c>
      <c r="M58" s="417">
        <v>464.36599999999999</v>
      </c>
      <c r="N58" s="417">
        <v>455.30390999999997</v>
      </c>
      <c r="O58" s="414"/>
    </row>
    <row r="59" spans="1:15" ht="9.75" customHeight="1">
      <c r="A59" s="728" t="s">
        <v>133</v>
      </c>
      <c r="B59" s="729"/>
      <c r="C59" s="729">
        <v>11.9505</v>
      </c>
      <c r="D59" s="750">
        <f t="shared" si="0"/>
        <v>-1</v>
      </c>
      <c r="E59" s="159"/>
      <c r="F59" s="159"/>
      <c r="G59" s="159"/>
      <c r="H59" s="159"/>
      <c r="I59" s="159"/>
      <c r="J59" s="159"/>
      <c r="L59" s="414" t="s">
        <v>279</v>
      </c>
      <c r="M59" s="417">
        <v>562.00026000000003</v>
      </c>
      <c r="N59" s="417">
        <v>0</v>
      </c>
      <c r="O59" s="414"/>
    </row>
    <row r="60" spans="1:15" ht="9.75" customHeight="1">
      <c r="A60" s="751" t="s">
        <v>134</v>
      </c>
      <c r="B60" s="752"/>
      <c r="C60" s="752">
        <v>320.34893999999997</v>
      </c>
      <c r="D60" s="753">
        <f t="shared" si="0"/>
        <v>-1</v>
      </c>
      <c r="E60" s="159"/>
      <c r="F60" s="159"/>
      <c r="G60" s="159"/>
      <c r="H60" s="159"/>
      <c r="I60" s="159"/>
      <c r="J60" s="159"/>
      <c r="L60" s="370" t="s">
        <v>96</v>
      </c>
      <c r="M60" s="417">
        <v>787.60464000000002</v>
      </c>
      <c r="N60" s="417">
        <v>851.45999999999992</v>
      </c>
      <c r="O60" s="414"/>
    </row>
    <row r="61" spans="1:15" ht="9.75" customHeight="1">
      <c r="A61" s="728" t="s">
        <v>126</v>
      </c>
      <c r="B61" s="729"/>
      <c r="C61" s="729">
        <v>0</v>
      </c>
      <c r="D61" s="741" t="str">
        <f t="shared" si="0"/>
        <v/>
      </c>
      <c r="E61" s="159"/>
      <c r="F61" s="159"/>
      <c r="G61" s="159"/>
      <c r="H61" s="159"/>
      <c r="I61" s="159"/>
      <c r="J61" s="159"/>
      <c r="L61" s="370" t="s">
        <v>95</v>
      </c>
      <c r="M61" s="417">
        <v>926.37645999999995</v>
      </c>
      <c r="N61" s="417">
        <v>899.98611000000017</v>
      </c>
      <c r="O61" s="414"/>
    </row>
    <row r="62" spans="1:15" ht="9.75" customHeight="1">
      <c r="A62" s="736" t="s">
        <v>132</v>
      </c>
      <c r="B62" s="737"/>
      <c r="C62" s="737">
        <v>0</v>
      </c>
      <c r="D62" s="738" t="str">
        <f t="shared" si="0"/>
        <v/>
      </c>
      <c r="E62" s="159"/>
      <c r="F62" s="159"/>
      <c r="G62" s="159"/>
      <c r="H62" s="159"/>
      <c r="I62" s="159"/>
      <c r="J62" s="159"/>
      <c r="L62" s="370" t="s">
        <v>281</v>
      </c>
      <c r="M62" s="417">
        <v>1213.1831199999997</v>
      </c>
      <c r="N62" s="417">
        <v>407.56466</v>
      </c>
      <c r="O62" s="414"/>
    </row>
    <row r="63" spans="1:15" ht="9.75" customHeight="1">
      <c r="A63" s="730" t="s">
        <v>44</v>
      </c>
      <c r="B63" s="731">
        <f>SUM(B7:B62)</f>
        <v>6710.6748599999992</v>
      </c>
      <c r="C63" s="731">
        <f>SUM(C7:C62)</f>
        <v>6449.9912400000003</v>
      </c>
      <c r="D63" s="732">
        <f t="shared" si="0"/>
        <v>4.0416120007009226E-2</v>
      </c>
      <c r="E63" s="200"/>
      <c r="F63" s="200"/>
      <c r="G63" s="200"/>
      <c r="H63" s="201"/>
      <c r="I63" s="201"/>
      <c r="J63" s="201"/>
      <c r="L63" s="370"/>
      <c r="M63" s="417"/>
      <c r="N63" s="417"/>
    </row>
    <row r="64" spans="1:15" ht="32.25" customHeight="1">
      <c r="A64" s="906" t="str">
        <f>"Cuadro N° 8: Participación de las empresas generadoras del COES en la máxima potencia coincidente (MW) en "&amp;'1. Resumen'!Q4</f>
        <v>Cuadro N° 8: Participación de las empresas generadoras del COES en la máxima potencia coincidente (MW) en abril</v>
      </c>
      <c r="B64" s="906"/>
      <c r="C64" s="906"/>
      <c r="D64" s="906"/>
      <c r="E64" s="180"/>
      <c r="F64" s="906" t="str">
        <f>"Gráfico N° 12: Comparación de la máxima potencia coincidente  (MW) de las empresas generadoras del COES en "&amp;'1. Resumen'!Q4</f>
        <v>Gráfico N° 12: Comparación de la máxima potencia coincidente  (MW) de las empresas generadoras del COES en abril</v>
      </c>
      <c r="G64" s="906"/>
      <c r="H64" s="906"/>
      <c r="I64" s="906"/>
      <c r="J64" s="906"/>
    </row>
    <row r="65" spans="1:10" ht="12.75" customHeight="1">
      <c r="A65" s="723"/>
      <c r="B65" s="723"/>
      <c r="C65" s="723"/>
      <c r="D65" s="723"/>
      <c r="E65" s="180"/>
      <c r="F65" s="723"/>
      <c r="G65" s="723"/>
      <c r="H65" s="723"/>
      <c r="I65" s="723"/>
      <c r="J65" s="723"/>
    </row>
    <row r="66" spans="1:10" ht="12.75" customHeight="1">
      <c r="A66" s="915" t="s">
        <v>547</v>
      </c>
      <c r="B66" s="915"/>
      <c r="C66" s="915"/>
      <c r="D66" s="915"/>
      <c r="E66" s="915"/>
      <c r="F66" s="915"/>
      <c r="G66" s="915"/>
      <c r="H66" s="915"/>
      <c r="I66" s="915"/>
      <c r="J66" s="915"/>
    </row>
    <row r="67" spans="1:10" ht="12.75" customHeight="1">
      <c r="A67" s="915" t="s">
        <v>594</v>
      </c>
      <c r="B67" s="915"/>
      <c r="C67" s="915"/>
      <c r="D67" s="915"/>
      <c r="E67" s="915"/>
      <c r="F67" s="915"/>
      <c r="G67" s="915"/>
      <c r="H67" s="915"/>
      <c r="I67" s="915"/>
      <c r="J67" s="915"/>
    </row>
    <row r="68" spans="1:10">
      <c r="A68" s="900"/>
      <c r="B68" s="900"/>
      <c r="C68" s="900"/>
      <c r="D68" s="900"/>
      <c r="E68" s="900"/>
      <c r="F68" s="900"/>
      <c r="G68" s="900"/>
      <c r="H68" s="900"/>
      <c r="I68" s="900"/>
      <c r="J68" s="900"/>
    </row>
    <row r="69" spans="1:10">
      <c r="A69" s="901"/>
      <c r="B69" s="901"/>
      <c r="C69" s="901"/>
      <c r="D69" s="901"/>
      <c r="E69" s="901"/>
      <c r="F69" s="901"/>
      <c r="G69" s="901"/>
      <c r="H69" s="901"/>
      <c r="I69" s="901"/>
      <c r="J69" s="901"/>
    </row>
    <row r="70" spans="1:10">
      <c r="A70" s="900"/>
      <c r="B70" s="900"/>
      <c r="C70" s="900"/>
      <c r="D70" s="900"/>
      <c r="E70" s="900"/>
      <c r="F70" s="900"/>
      <c r="G70" s="900"/>
      <c r="H70" s="900"/>
      <c r="I70" s="900"/>
      <c r="J70" s="900"/>
    </row>
    <row r="71" spans="1:10">
      <c r="A71" s="925"/>
      <c r="B71" s="925"/>
      <c r="C71" s="925"/>
      <c r="D71" s="925"/>
      <c r="E71" s="925"/>
      <c r="F71" s="925"/>
      <c r="G71" s="925"/>
      <c r="H71" s="925"/>
      <c r="I71" s="925"/>
      <c r="J71" s="925"/>
    </row>
    <row r="72" spans="1:10">
      <c r="A72" s="926"/>
      <c r="B72" s="926"/>
      <c r="C72" s="926"/>
      <c r="D72" s="926"/>
      <c r="E72" s="926"/>
      <c r="F72" s="926"/>
      <c r="G72" s="926"/>
      <c r="H72" s="926"/>
      <c r="I72" s="926"/>
      <c r="J72" s="926"/>
    </row>
  </sheetData>
  <autoFilter ref="L6:N62" xr:uid="{51C3E269-94FB-4FDB-993A-26794E6E080A}">
    <sortState ref="L7:N62">
      <sortCondition ref="M6:M62"/>
    </sortState>
  </autoFilter>
  <mergeCells count="14">
    <mergeCell ref="A68:J68"/>
    <mergeCell ref="A69:J69"/>
    <mergeCell ref="A70:J70"/>
    <mergeCell ref="A71:J71"/>
    <mergeCell ref="A72:J72"/>
    <mergeCell ref="A67:J67"/>
    <mergeCell ref="A66:J66"/>
    <mergeCell ref="A64:D64"/>
    <mergeCell ref="F64:J64"/>
    <mergeCell ref="A1:J1"/>
    <mergeCell ref="A3:A6"/>
    <mergeCell ref="B3:D3"/>
    <mergeCell ref="G3:I3"/>
    <mergeCell ref="D4:D6"/>
  </mergeCells>
  <pageMargins left="0.7" right="0.5892857142857143" top="0.86956521739130432" bottom="0.61458333333333337" header="0.3" footer="0.3"/>
  <pageSetup orientation="portrait" r:id="rId1"/>
  <headerFooter>
    <oddHeader>&amp;R&amp;7Informe de la Operación Mensual - Abril 2018
INFSGI-MES-04-2018
10/05/2018
Versión: 01</oddHeader>
    <oddFooter>&amp;L&amp;7COES SINAC, 2018
&amp;C9&amp;R&amp;7Dirección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FFC84-8601-4039-BAF5-E8D89E970AE5}">
  <sheetPr>
    <tabColor theme="4"/>
  </sheetPr>
  <dimension ref="A1:AL65"/>
  <sheetViews>
    <sheetView showGridLines="0" view="pageBreakPreview" zoomScale="130" zoomScaleNormal="100" zoomScaleSheetLayoutView="130" zoomScalePageLayoutView="130" workbookViewId="0">
      <selection activeCell="P17" sqref="P17"/>
    </sheetView>
  </sheetViews>
  <sheetFormatPr defaultRowHeight="11.25"/>
  <cols>
    <col min="1" max="1" width="7.6640625" style="95" customWidth="1"/>
    <col min="2" max="2" width="9.83203125" style="95" customWidth="1"/>
    <col min="3" max="3" width="29.6640625" style="95" customWidth="1"/>
    <col min="4" max="5" width="12.6640625" style="95" customWidth="1"/>
    <col min="6" max="6" width="12.1640625" style="95" customWidth="1"/>
    <col min="7" max="8" width="9.33203125" style="95"/>
    <col min="9" max="9" width="9.33203125" style="95" customWidth="1"/>
    <col min="10" max="11" width="9.33203125" style="607" customWidth="1"/>
    <col min="12" max="31" width="9.33203125" style="607"/>
    <col min="32" max="16384" width="9.33203125" style="95"/>
  </cols>
  <sheetData>
    <row r="1" spans="1:38" ht="11.25" customHeight="1"/>
    <row r="2" spans="1:38" ht="17.25" customHeight="1">
      <c r="A2" s="911" t="s">
        <v>297</v>
      </c>
      <c r="B2" s="911"/>
      <c r="C2" s="911"/>
      <c r="D2" s="911"/>
      <c r="E2" s="911"/>
      <c r="F2" s="911"/>
      <c r="G2" s="911"/>
      <c r="H2" s="911"/>
    </row>
    <row r="3" spans="1:38" ht="11.25" customHeight="1">
      <c r="A3" s="207"/>
      <c r="B3" s="207"/>
      <c r="C3" s="207"/>
      <c r="D3" s="207"/>
      <c r="E3" s="207"/>
      <c r="F3" s="102"/>
      <c r="G3" s="102"/>
      <c r="H3" s="102"/>
      <c r="I3" s="45"/>
      <c r="J3" s="608"/>
    </row>
    <row r="4" spans="1:38" ht="11.25" customHeight="1">
      <c r="A4" s="927" t="s">
        <v>298</v>
      </c>
      <c r="B4" s="927"/>
      <c r="C4" s="927"/>
      <c r="D4" s="927"/>
      <c r="E4" s="927"/>
      <c r="F4" s="927"/>
      <c r="G4" s="927"/>
      <c r="H4" s="927"/>
      <c r="I4" s="45"/>
      <c r="J4" s="608"/>
    </row>
    <row r="5" spans="1:38" ht="11.25" customHeight="1">
      <c r="A5" s="97"/>
      <c r="B5" s="208"/>
      <c r="C5" s="99"/>
      <c r="D5" s="99"/>
      <c r="E5" s="100"/>
      <c r="F5" s="96"/>
      <c r="G5" s="96"/>
      <c r="H5" s="101"/>
      <c r="I5" s="209"/>
      <c r="J5" s="609"/>
    </row>
    <row r="6" spans="1:38" ht="42.75" customHeight="1">
      <c r="A6" s="97"/>
      <c r="C6" s="217" t="s">
        <v>137</v>
      </c>
      <c r="D6" s="218" t="s">
        <v>774</v>
      </c>
      <c r="E6" s="218" t="s">
        <v>775</v>
      </c>
      <c r="F6" s="219" t="s">
        <v>138</v>
      </c>
      <c r="G6" s="220"/>
      <c r="H6" s="221"/>
    </row>
    <row r="7" spans="1:38" ht="11.25" customHeight="1">
      <c r="A7" s="97"/>
      <c r="C7" s="222" t="s">
        <v>139</v>
      </c>
      <c r="D7" s="223">
        <v>22.975999999999999</v>
      </c>
      <c r="E7" s="223">
        <v>20.364000000000001</v>
      </c>
      <c r="F7" s="224">
        <f>IF(E7=0,"",(D7-E7)/E7)</f>
        <v>0.12826556668630909</v>
      </c>
      <c r="G7" s="220"/>
      <c r="H7" s="221"/>
    </row>
    <row r="8" spans="1:38" ht="11.25" customHeight="1">
      <c r="A8" s="97"/>
      <c r="C8" s="225" t="s">
        <v>140</v>
      </c>
      <c r="D8" s="226">
        <v>122.667</v>
      </c>
      <c r="E8" s="226">
        <v>130.20599999999999</v>
      </c>
      <c r="F8" s="227">
        <f t="shared" ref="F8:F28" si="0">IF(E8=0,"",(D8-E8)/E8)</f>
        <v>-5.7900557577991701E-2</v>
      </c>
      <c r="G8" s="220"/>
      <c r="H8" s="221"/>
    </row>
    <row r="9" spans="1:38" ht="11.25" customHeight="1">
      <c r="A9" s="97"/>
      <c r="C9" s="222" t="s">
        <v>141</v>
      </c>
      <c r="D9" s="223">
        <v>100.50700000000001</v>
      </c>
      <c r="E9" s="223">
        <v>91.064999999999998</v>
      </c>
      <c r="F9" s="224">
        <f t="shared" si="0"/>
        <v>0.10368418162850719</v>
      </c>
      <c r="G9" s="220"/>
      <c r="H9" s="221"/>
      <c r="M9" s="610" t="s">
        <v>305</v>
      </c>
      <c r="N9" s="611"/>
      <c r="O9" s="611"/>
      <c r="P9" s="611"/>
      <c r="Q9" s="611"/>
      <c r="R9" s="611"/>
      <c r="S9" s="611"/>
      <c r="T9" s="611"/>
      <c r="U9" s="611"/>
      <c r="V9" s="611"/>
      <c r="W9" s="611"/>
      <c r="X9" s="611"/>
      <c r="Y9" s="611"/>
      <c r="Z9" s="611"/>
      <c r="AA9" s="611"/>
      <c r="AB9" s="611"/>
      <c r="AC9" s="611"/>
      <c r="AD9" s="611"/>
      <c r="AE9" s="611"/>
      <c r="AF9" s="423"/>
      <c r="AG9" s="423"/>
      <c r="AH9" s="423"/>
      <c r="AI9" s="423"/>
      <c r="AJ9" s="423"/>
      <c r="AK9" s="423"/>
      <c r="AL9" s="423"/>
    </row>
    <row r="10" spans="1:38" ht="11.25" customHeight="1">
      <c r="A10" s="97"/>
      <c r="C10" s="225" t="s">
        <v>142</v>
      </c>
      <c r="D10" s="226">
        <v>79.873000000000005</v>
      </c>
      <c r="E10" s="226">
        <v>80.451999999999998</v>
      </c>
      <c r="F10" s="227">
        <f t="shared" si="0"/>
        <v>-7.1968378660566988E-3</v>
      </c>
      <c r="G10" s="220"/>
      <c r="H10" s="221"/>
      <c r="M10" s="610" t="s">
        <v>306</v>
      </c>
      <c r="N10" s="611"/>
      <c r="O10" s="611"/>
      <c r="P10" s="611"/>
      <c r="Q10" s="611"/>
      <c r="R10" s="611"/>
      <c r="S10" s="611"/>
      <c r="T10" s="611"/>
      <c r="AD10" s="611"/>
      <c r="AE10" s="611"/>
      <c r="AF10" s="423"/>
      <c r="AG10" s="423"/>
      <c r="AH10" s="423"/>
      <c r="AI10" s="423"/>
      <c r="AJ10" s="423"/>
      <c r="AK10" s="423"/>
      <c r="AL10" s="423"/>
    </row>
    <row r="11" spans="1:38" ht="11.25" customHeight="1">
      <c r="A11" s="97"/>
      <c r="C11" s="222" t="s">
        <v>143</v>
      </c>
      <c r="D11" s="223">
        <v>39.848999999999997</v>
      </c>
      <c r="E11" s="223">
        <v>38.6</v>
      </c>
      <c r="F11" s="224">
        <f>IF(E11=0,"",(D11-E11)/E11)</f>
        <v>3.2357512953367751E-2</v>
      </c>
      <c r="G11" s="220"/>
      <c r="H11" s="221"/>
      <c r="M11" s="611"/>
      <c r="N11" s="612">
        <v>2016</v>
      </c>
      <c r="O11" s="612">
        <v>2017</v>
      </c>
      <c r="P11" s="612">
        <v>2018</v>
      </c>
      <c r="Q11" s="611"/>
      <c r="R11" s="611"/>
      <c r="S11" s="611"/>
      <c r="T11" s="611"/>
      <c r="AD11" s="611"/>
      <c r="AE11" s="611"/>
      <c r="AF11" s="423"/>
      <c r="AG11" s="423"/>
      <c r="AH11" s="423"/>
      <c r="AI11" s="423"/>
      <c r="AJ11" s="423"/>
      <c r="AK11" s="423"/>
      <c r="AL11" s="423"/>
    </row>
    <row r="12" spans="1:38" ht="11.25" customHeight="1">
      <c r="A12" s="97"/>
      <c r="C12" s="225" t="s">
        <v>144</v>
      </c>
      <c r="D12" s="226">
        <v>26.1</v>
      </c>
      <c r="E12" s="226">
        <v>21.04</v>
      </c>
      <c r="F12" s="227">
        <f t="shared" si="0"/>
        <v>0.24049429657794688</v>
      </c>
      <c r="G12" s="220"/>
      <c r="H12" s="221"/>
      <c r="M12" s="613">
        <v>1</v>
      </c>
      <c r="N12" s="614">
        <v>138.54</v>
      </c>
      <c r="O12" s="614">
        <v>93.1</v>
      </c>
      <c r="P12" s="614">
        <v>104.46</v>
      </c>
      <c r="Q12" s="611"/>
      <c r="R12" s="611"/>
      <c r="S12" s="611"/>
      <c r="T12" s="611"/>
      <c r="AD12" s="611"/>
      <c r="AE12" s="611"/>
      <c r="AF12" s="423"/>
      <c r="AG12" s="423"/>
      <c r="AH12" s="423"/>
      <c r="AI12" s="423"/>
      <c r="AJ12" s="423"/>
      <c r="AK12" s="423"/>
      <c r="AL12" s="423"/>
    </row>
    <row r="13" spans="1:38" ht="11.25" customHeight="1">
      <c r="A13" s="97"/>
      <c r="C13" s="222" t="s">
        <v>145</v>
      </c>
      <c r="D13" s="223">
        <v>101.89</v>
      </c>
      <c r="E13" s="223">
        <v>91.4</v>
      </c>
      <c r="F13" s="224">
        <f t="shared" si="0"/>
        <v>0.11477024070021875</v>
      </c>
      <c r="G13" s="220"/>
      <c r="H13" s="221"/>
      <c r="M13" s="613">
        <v>2</v>
      </c>
      <c r="N13" s="614">
        <v>140.53</v>
      </c>
      <c r="O13" s="614">
        <v>93.1</v>
      </c>
      <c r="P13" s="614">
        <v>103.4720001</v>
      </c>
      <c r="Q13" s="611"/>
      <c r="R13" s="611"/>
      <c r="S13" s="611"/>
      <c r="T13" s="611"/>
      <c r="AD13" s="611"/>
      <c r="AE13" s="611"/>
      <c r="AF13" s="423"/>
      <c r="AG13" s="423"/>
      <c r="AH13" s="423"/>
      <c r="AI13" s="423"/>
      <c r="AJ13" s="423"/>
      <c r="AK13" s="423"/>
      <c r="AL13" s="423"/>
    </row>
    <row r="14" spans="1:38" ht="11.25" customHeight="1">
      <c r="A14" s="97"/>
      <c r="C14" s="225" t="s">
        <v>146</v>
      </c>
      <c r="D14" s="226">
        <v>226.11199999999999</v>
      </c>
      <c r="E14" s="226">
        <v>234.33799999999999</v>
      </c>
      <c r="F14" s="227">
        <f t="shared" si="0"/>
        <v>-3.5103141615956436E-2</v>
      </c>
      <c r="G14" s="220"/>
      <c r="H14" s="221"/>
      <c r="M14" s="613">
        <v>3</v>
      </c>
      <c r="N14" s="614">
        <v>140.53</v>
      </c>
      <c r="O14" s="614">
        <v>98.74</v>
      </c>
      <c r="P14" s="614">
        <v>106.08699799999999</v>
      </c>
      <c r="Q14" s="611"/>
      <c r="R14" s="611"/>
      <c r="S14" s="611"/>
      <c r="T14" s="611"/>
      <c r="AD14" s="611"/>
      <c r="AE14" s="611"/>
      <c r="AF14" s="423"/>
      <c r="AG14" s="423"/>
      <c r="AH14" s="423"/>
      <c r="AI14" s="423"/>
      <c r="AJ14" s="423"/>
      <c r="AK14" s="423"/>
      <c r="AL14" s="423"/>
    </row>
    <row r="15" spans="1:38" ht="11.25" customHeight="1">
      <c r="A15" s="97"/>
      <c r="C15" s="222" t="s">
        <v>147</v>
      </c>
      <c r="D15" s="223">
        <v>31.73</v>
      </c>
      <c r="E15" s="223">
        <v>20.63</v>
      </c>
      <c r="F15" s="224">
        <f t="shared" si="0"/>
        <v>0.53805138148327691</v>
      </c>
      <c r="G15" s="220"/>
      <c r="H15" s="221"/>
      <c r="M15" s="613">
        <v>4</v>
      </c>
      <c r="N15" s="614">
        <v>137.43800000000002</v>
      </c>
      <c r="O15" s="614">
        <v>98.74</v>
      </c>
      <c r="P15" s="614">
        <v>112.7200012</v>
      </c>
      <c r="Q15" s="611"/>
      <c r="R15" s="611"/>
      <c r="S15" s="611"/>
      <c r="T15" s="611"/>
      <c r="AD15" s="611"/>
      <c r="AE15" s="611"/>
      <c r="AF15" s="423"/>
      <c r="AG15" s="423"/>
      <c r="AH15" s="423"/>
      <c r="AI15" s="423"/>
      <c r="AJ15" s="423"/>
      <c r="AK15" s="423"/>
      <c r="AL15" s="423"/>
    </row>
    <row r="16" spans="1:38" ht="11.25" customHeight="1">
      <c r="A16" s="97"/>
      <c r="C16" s="225" t="s">
        <v>148</v>
      </c>
      <c r="D16" s="226">
        <v>314.74099999999999</v>
      </c>
      <c r="E16" s="226">
        <v>354.11399999999998</v>
      </c>
      <c r="F16" s="227">
        <f t="shared" si="0"/>
        <v>-0.1111873577435515</v>
      </c>
      <c r="G16" s="220"/>
      <c r="H16" s="221"/>
      <c r="M16" s="613">
        <v>5</v>
      </c>
      <c r="N16" s="614">
        <v>137.43800000000002</v>
      </c>
      <c r="O16" s="614">
        <v>125.15</v>
      </c>
      <c r="P16" s="614">
        <v>122.3190002</v>
      </c>
      <c r="Q16" s="611"/>
      <c r="R16" s="611"/>
      <c r="S16" s="611"/>
      <c r="T16" s="611"/>
      <c r="AD16" s="611"/>
      <c r="AE16" s="611"/>
      <c r="AF16" s="423"/>
      <c r="AG16" s="423"/>
      <c r="AH16" s="423"/>
      <c r="AI16" s="423"/>
      <c r="AJ16" s="423"/>
      <c r="AK16" s="423"/>
      <c r="AL16" s="423"/>
    </row>
    <row r="17" spans="1:38" ht="11.25" customHeight="1">
      <c r="A17" s="97"/>
      <c r="C17" s="222" t="s">
        <v>149</v>
      </c>
      <c r="D17" s="223">
        <v>208.05</v>
      </c>
      <c r="E17" s="223">
        <v>198.43</v>
      </c>
      <c r="F17" s="224">
        <f t="shared" si="0"/>
        <v>4.8480572494078535E-2</v>
      </c>
      <c r="G17" s="220"/>
      <c r="H17" s="221"/>
      <c r="M17" s="613">
        <v>6</v>
      </c>
      <c r="N17" s="614">
        <v>137.43800000000002</v>
      </c>
      <c r="O17" s="614">
        <v>125.15</v>
      </c>
      <c r="P17" s="614">
        <v>126.1559982</v>
      </c>
      <c r="Q17" s="611"/>
      <c r="R17" s="611"/>
      <c r="S17" s="611"/>
      <c r="T17" s="611"/>
      <c r="AD17" s="611"/>
      <c r="AE17" s="611"/>
      <c r="AF17" s="423"/>
      <c r="AG17" s="423"/>
      <c r="AH17" s="423"/>
      <c r="AI17" s="423"/>
      <c r="AJ17" s="423"/>
      <c r="AK17" s="423"/>
      <c r="AL17" s="423"/>
    </row>
    <row r="18" spans="1:38" ht="11.25" customHeight="1">
      <c r="A18" s="97"/>
      <c r="C18" s="225" t="s">
        <v>150</v>
      </c>
      <c r="D18" s="226">
        <v>25.701000000000001</v>
      </c>
      <c r="E18" s="226">
        <v>26.8</v>
      </c>
      <c r="F18" s="227">
        <f t="shared" si="0"/>
        <v>-4.1007462686567173E-2</v>
      </c>
      <c r="G18" s="220"/>
      <c r="H18" s="221"/>
      <c r="M18" s="613">
        <v>7</v>
      </c>
      <c r="N18" s="614">
        <v>151.05499267578099</v>
      </c>
      <c r="O18" s="614">
        <v>142.99</v>
      </c>
      <c r="P18" s="614">
        <v>142.9900055</v>
      </c>
      <c r="Q18" s="611"/>
      <c r="R18" s="611"/>
      <c r="S18" s="611"/>
      <c r="T18" s="611"/>
      <c r="AD18" s="611"/>
      <c r="AE18" s="611"/>
      <c r="AF18" s="423"/>
      <c r="AG18" s="423"/>
      <c r="AH18" s="423"/>
      <c r="AI18" s="423"/>
      <c r="AJ18" s="423"/>
      <c r="AK18" s="423"/>
      <c r="AL18" s="423"/>
    </row>
    <row r="19" spans="1:38" ht="11.25" customHeight="1">
      <c r="A19" s="97"/>
      <c r="C19" s="222" t="s">
        <v>151</v>
      </c>
      <c r="D19" s="223">
        <v>56.021999999999998</v>
      </c>
      <c r="E19" s="223">
        <v>51.838000000000001</v>
      </c>
      <c r="F19" s="224">
        <f t="shared" si="0"/>
        <v>8.0712990470311302E-2</v>
      </c>
      <c r="G19" s="220"/>
      <c r="H19" s="221"/>
      <c r="M19" s="613">
        <v>8</v>
      </c>
      <c r="N19" s="614">
        <v>151.05499267578099</v>
      </c>
      <c r="O19" s="614">
        <v>142.99</v>
      </c>
      <c r="P19" s="614">
        <v>134.13600159999999</v>
      </c>
      <c r="Q19" s="611"/>
      <c r="R19" s="611"/>
      <c r="S19" s="611"/>
      <c r="T19" s="611"/>
      <c r="AD19" s="611"/>
      <c r="AE19" s="611"/>
      <c r="AF19" s="423"/>
      <c r="AG19" s="423"/>
      <c r="AH19" s="423"/>
      <c r="AI19" s="423"/>
      <c r="AJ19" s="423"/>
      <c r="AK19" s="423"/>
      <c r="AL19" s="423"/>
    </row>
    <row r="20" spans="1:38" ht="11.25" customHeight="1">
      <c r="A20" s="97"/>
      <c r="C20" s="225" t="s">
        <v>152</v>
      </c>
      <c r="D20" s="226">
        <v>28.446000000000002</v>
      </c>
      <c r="E20" s="226">
        <v>28.491</v>
      </c>
      <c r="F20" s="227">
        <f t="shared" si="0"/>
        <v>-1.5794461408865309E-3</v>
      </c>
      <c r="G20" s="220"/>
      <c r="H20" s="221"/>
      <c r="M20" s="613">
        <v>9</v>
      </c>
      <c r="N20" s="614">
        <v>165.00500489999999</v>
      </c>
      <c r="O20" s="614">
        <v>159.53</v>
      </c>
      <c r="P20" s="614">
        <v>153.34500120000001</v>
      </c>
      <c r="Q20" s="611"/>
      <c r="R20" s="611"/>
      <c r="S20" s="611"/>
      <c r="T20" s="611"/>
      <c r="AD20" s="611"/>
      <c r="AE20" s="611"/>
      <c r="AF20" s="423"/>
      <c r="AG20" s="423"/>
      <c r="AH20" s="423"/>
      <c r="AI20" s="423"/>
      <c r="AJ20" s="423"/>
      <c r="AK20" s="423"/>
      <c r="AL20" s="423"/>
    </row>
    <row r="21" spans="1:38" ht="11.25" customHeight="1">
      <c r="A21" s="97"/>
      <c r="C21" s="222" t="s">
        <v>153</v>
      </c>
      <c r="D21" s="437" t="s">
        <v>322</v>
      </c>
      <c r="E21" s="223">
        <v>46.021999999999998</v>
      </c>
      <c r="F21" s="224"/>
      <c r="G21" s="220"/>
      <c r="H21" s="221"/>
      <c r="M21" s="613">
        <v>10</v>
      </c>
      <c r="N21" s="614">
        <v>165.00500489999999</v>
      </c>
      <c r="O21" s="614">
        <v>159.53</v>
      </c>
      <c r="P21" s="614">
        <v>153.0590057</v>
      </c>
      <c r="Q21" s="611"/>
      <c r="R21" s="611"/>
      <c r="S21" s="611"/>
      <c r="T21" s="611"/>
      <c r="AD21" s="611"/>
      <c r="AE21" s="611"/>
      <c r="AF21" s="423"/>
      <c r="AG21" s="423"/>
      <c r="AH21" s="423"/>
      <c r="AI21" s="423"/>
      <c r="AJ21" s="423"/>
      <c r="AK21" s="423"/>
      <c r="AL21" s="423"/>
    </row>
    <row r="22" spans="1:38" ht="11.25" customHeight="1">
      <c r="A22" s="97"/>
      <c r="C22" s="225" t="s">
        <v>154</v>
      </c>
      <c r="D22" s="226">
        <v>6.1420000000000003</v>
      </c>
      <c r="E22" s="226">
        <v>7.3609999999999998</v>
      </c>
      <c r="F22" s="227">
        <f t="shared" si="0"/>
        <v>-0.16560249966037216</v>
      </c>
      <c r="G22" s="220"/>
      <c r="H22" s="221"/>
      <c r="M22" s="613">
        <v>11</v>
      </c>
      <c r="N22" s="614">
        <v>186.45199584960901</v>
      </c>
      <c r="O22" s="614">
        <v>184.94</v>
      </c>
      <c r="P22" s="614">
        <v>162.93200680000001</v>
      </c>
      <c r="Q22" s="615"/>
      <c r="R22" s="615"/>
      <c r="S22" s="615"/>
      <c r="T22" s="615"/>
      <c r="AD22" s="615"/>
      <c r="AE22" s="615"/>
      <c r="AF22" s="424"/>
      <c r="AG22" s="424"/>
      <c r="AH22" s="424"/>
      <c r="AI22" s="424"/>
      <c r="AJ22" s="424"/>
      <c r="AK22" s="424"/>
      <c r="AL22" s="424"/>
    </row>
    <row r="23" spans="1:38" ht="11.25" customHeight="1">
      <c r="A23" s="97"/>
      <c r="C23" s="222" t="s">
        <v>155</v>
      </c>
      <c r="D23" s="223">
        <v>7.6559999999999997</v>
      </c>
      <c r="E23" s="223">
        <v>8.5229999999999997</v>
      </c>
      <c r="F23" s="224">
        <f t="shared" si="0"/>
        <v>-0.10172474480816614</v>
      </c>
      <c r="G23" s="220"/>
      <c r="H23" s="221"/>
      <c r="M23" s="613">
        <v>12</v>
      </c>
      <c r="N23" s="614">
        <v>186.45199584960901</v>
      </c>
      <c r="O23" s="614">
        <v>184.94</v>
      </c>
      <c r="P23" s="614">
        <v>172.76199339999999</v>
      </c>
      <c r="Q23" s="615"/>
      <c r="R23" s="615"/>
      <c r="S23" s="615"/>
      <c r="T23" s="615"/>
      <c r="AD23" s="615"/>
      <c r="AE23" s="615"/>
      <c r="AF23" s="424"/>
      <c r="AG23" s="424"/>
      <c r="AH23" s="424"/>
      <c r="AI23" s="424"/>
      <c r="AJ23" s="424"/>
      <c r="AK23" s="424"/>
      <c r="AL23" s="424"/>
    </row>
    <row r="24" spans="1:38" ht="11.25" customHeight="1">
      <c r="A24" s="97"/>
      <c r="C24" s="225" t="s">
        <v>299</v>
      </c>
      <c r="D24" s="226">
        <v>0.41399999999999998</v>
      </c>
      <c r="E24" s="226">
        <v>11.058</v>
      </c>
      <c r="F24" s="227">
        <f t="shared" si="0"/>
        <v>-0.96256104177970703</v>
      </c>
      <c r="G24" s="220"/>
      <c r="H24" s="221"/>
      <c r="M24" s="613">
        <v>13</v>
      </c>
      <c r="N24" s="614">
        <v>195.64999389648401</v>
      </c>
      <c r="O24" s="614">
        <v>203.73</v>
      </c>
      <c r="P24" s="614">
        <v>182.13900760000001</v>
      </c>
      <c r="Q24" s="615"/>
      <c r="R24" s="615"/>
      <c r="S24" s="615"/>
      <c r="T24" s="615"/>
      <c r="AD24" s="615"/>
      <c r="AE24" s="615"/>
      <c r="AF24" s="424"/>
      <c r="AG24" s="424"/>
      <c r="AH24" s="424"/>
      <c r="AI24" s="424"/>
      <c r="AJ24" s="424"/>
      <c r="AK24" s="424"/>
      <c r="AL24" s="424"/>
    </row>
    <row r="25" spans="1:38" ht="11.25" customHeight="1">
      <c r="A25" s="97"/>
      <c r="C25" s="222" t="s">
        <v>156</v>
      </c>
      <c r="D25" s="223">
        <v>208.667</v>
      </c>
      <c r="E25" s="223">
        <v>225.57599999999999</v>
      </c>
      <c r="F25" s="224">
        <f t="shared" si="0"/>
        <v>-7.4959215519381464E-2</v>
      </c>
      <c r="G25" s="220"/>
      <c r="H25" s="221"/>
      <c r="M25" s="613">
        <v>14</v>
      </c>
      <c r="N25" s="614">
        <v>195.64999389648401</v>
      </c>
      <c r="O25" s="614">
        <v>203.73</v>
      </c>
      <c r="P25" s="614">
        <v>191.4750061</v>
      </c>
      <c r="Q25" s="615"/>
      <c r="R25" s="615"/>
      <c r="S25" s="615"/>
      <c r="T25" s="615"/>
      <c r="AD25" s="615"/>
      <c r="AE25" s="615"/>
      <c r="AF25" s="424"/>
      <c r="AG25" s="424"/>
      <c r="AH25" s="424"/>
      <c r="AI25" s="424"/>
      <c r="AJ25" s="424"/>
      <c r="AK25" s="424"/>
      <c r="AL25" s="424"/>
    </row>
    <row r="26" spans="1:38" ht="11.25" customHeight="1">
      <c r="A26" s="97"/>
      <c r="C26" s="225" t="s">
        <v>157</v>
      </c>
      <c r="D26" s="226">
        <v>19.143000000000001</v>
      </c>
      <c r="E26" s="226">
        <v>48.848999999999997</v>
      </c>
      <c r="F26" s="227">
        <f t="shared" si="0"/>
        <v>-0.60811889700915056</v>
      </c>
      <c r="G26" s="228"/>
      <c r="H26" s="228"/>
      <c r="M26" s="613">
        <v>15</v>
      </c>
      <c r="N26" s="614">
        <v>201.93600463867099</v>
      </c>
      <c r="O26" s="614">
        <v>203.73</v>
      </c>
      <c r="P26" s="614">
        <v>198.43899540000001</v>
      </c>
      <c r="Q26" s="615"/>
      <c r="R26" s="615"/>
      <c r="S26" s="615"/>
      <c r="T26" s="615"/>
      <c r="AD26" s="615"/>
      <c r="AE26" s="615"/>
      <c r="AF26" s="424"/>
      <c r="AG26" s="424"/>
      <c r="AH26" s="424"/>
      <c r="AI26" s="424"/>
      <c r="AJ26" s="424"/>
      <c r="AK26" s="424"/>
      <c r="AL26" s="424"/>
    </row>
    <row r="27" spans="1:38" ht="11.25" customHeight="1">
      <c r="A27" s="97"/>
      <c r="C27" s="222" t="s">
        <v>158</v>
      </c>
      <c r="D27" s="223">
        <v>64.263000000000005</v>
      </c>
      <c r="E27" s="223">
        <v>65.77</v>
      </c>
      <c r="F27" s="224">
        <f t="shared" si="0"/>
        <v>-2.2913182301961241E-2</v>
      </c>
      <c r="G27" s="228"/>
      <c r="H27" s="228"/>
      <c r="M27" s="613">
        <v>16</v>
      </c>
      <c r="N27" s="614">
        <v>201.93600463867099</v>
      </c>
      <c r="O27" s="614">
        <v>222.8</v>
      </c>
      <c r="P27" s="614">
        <v>201.52999879999999</v>
      </c>
      <c r="Q27" s="615"/>
      <c r="R27" s="615"/>
      <c r="S27" s="615"/>
      <c r="T27" s="615"/>
      <c r="AD27" s="615"/>
      <c r="AE27" s="615"/>
      <c r="AF27" s="424"/>
      <c r="AG27" s="424"/>
      <c r="AH27" s="424"/>
      <c r="AI27" s="424"/>
      <c r="AJ27" s="424"/>
      <c r="AK27" s="424"/>
      <c r="AL27" s="424"/>
    </row>
    <row r="28" spans="1:38" ht="11.25" customHeight="1">
      <c r="A28" s="97"/>
      <c r="C28" s="225" t="s">
        <v>159</v>
      </c>
      <c r="D28" s="226">
        <v>331.94400000000002</v>
      </c>
      <c r="E28" s="226">
        <v>383.86900000000003</v>
      </c>
      <c r="F28" s="227">
        <f t="shared" si="0"/>
        <v>-0.13526750011071487</v>
      </c>
      <c r="G28" s="228"/>
      <c r="H28" s="228"/>
      <c r="M28" s="613">
        <v>17</v>
      </c>
      <c r="N28" s="614">
        <v>201.93600463867099</v>
      </c>
      <c r="O28" s="614">
        <v>222.8</v>
      </c>
      <c r="P28" s="614">
        <v>206.03700259999999</v>
      </c>
      <c r="Q28" s="615"/>
      <c r="R28" s="615"/>
      <c r="S28" s="615"/>
      <c r="T28" s="615"/>
      <c r="AD28" s="615"/>
      <c r="AE28" s="615"/>
      <c r="AF28" s="424"/>
      <c r="AG28" s="424"/>
      <c r="AH28" s="424"/>
      <c r="AI28" s="424"/>
      <c r="AJ28" s="424"/>
      <c r="AK28" s="424"/>
      <c r="AL28" s="424"/>
    </row>
    <row r="29" spans="1:38" ht="35.25" customHeight="1">
      <c r="A29" s="94"/>
      <c r="C29" s="928" t="str">
        <f>"Cuadro N°9: Volúmen útil de los principales embalses y lagunas del SEIN al término del periodo mensual ("&amp;'1. Resumen'!Q7&amp;" de "&amp;'1. Resumen'!Q4&amp;") "</f>
        <v xml:space="preserve">Cuadro N°9: Volúmen útil de los principales embalses y lagunas del SEIN al término del periodo mensual (30 de abril) </v>
      </c>
      <c r="D29" s="928"/>
      <c r="E29" s="928"/>
      <c r="F29" s="928"/>
      <c r="G29" s="228"/>
      <c r="H29" s="228"/>
      <c r="I29" s="212"/>
      <c r="J29" s="616"/>
      <c r="M29" s="613">
        <v>18</v>
      </c>
      <c r="N29" s="614">
        <v>207.58900451660099</v>
      </c>
      <c r="O29" s="614">
        <v>225.58</v>
      </c>
      <c r="P29" s="614">
        <v>213.67399599999999</v>
      </c>
      <c r="Q29" s="615"/>
      <c r="R29" s="615"/>
      <c r="S29" s="615"/>
      <c r="T29" s="615"/>
      <c r="AD29" s="615"/>
      <c r="AE29" s="615"/>
      <c r="AF29" s="424"/>
      <c r="AG29" s="424"/>
      <c r="AH29" s="424"/>
      <c r="AI29" s="424"/>
      <c r="AJ29" s="424"/>
      <c r="AK29" s="424"/>
      <c r="AL29" s="424"/>
    </row>
    <row r="30" spans="1:38" ht="11.25" customHeight="1">
      <c r="A30" s="94"/>
      <c r="B30" s="230"/>
      <c r="C30" s="230" t="s">
        <v>323</v>
      </c>
      <c r="D30" s="230"/>
      <c r="E30" s="230"/>
      <c r="F30" s="228"/>
      <c r="G30" s="228"/>
      <c r="H30" s="228"/>
      <c r="M30" s="613">
        <v>19</v>
      </c>
      <c r="N30" s="614">
        <v>207.58900451660099</v>
      </c>
      <c r="O30" s="614">
        <v>225.58</v>
      </c>
      <c r="P30" s="614"/>
      <c r="Q30" s="615"/>
      <c r="R30" s="615"/>
      <c r="S30" s="615"/>
      <c r="T30" s="615"/>
      <c r="AD30" s="615"/>
      <c r="AE30" s="615"/>
      <c r="AF30" s="424"/>
      <c r="AG30" s="424"/>
      <c r="AH30" s="424"/>
      <c r="AI30" s="424"/>
      <c r="AJ30" s="424"/>
      <c r="AK30" s="424"/>
      <c r="AL30" s="424"/>
    </row>
    <row r="31" spans="1:38" ht="11.25" customHeight="1">
      <c r="A31" s="94"/>
      <c r="B31" s="230"/>
      <c r="C31" s="230"/>
      <c r="D31" s="230"/>
      <c r="E31" s="230"/>
      <c r="F31" s="228"/>
      <c r="G31" s="228"/>
      <c r="H31" s="228"/>
      <c r="I31" s="212"/>
      <c r="J31" s="616"/>
      <c r="M31" s="613">
        <v>20</v>
      </c>
      <c r="N31" s="614">
        <v>205.7</v>
      </c>
      <c r="O31" s="614">
        <v>226.61</v>
      </c>
      <c r="P31" s="614"/>
      <c r="Q31" s="615"/>
      <c r="R31" s="615"/>
      <c r="S31" s="615"/>
      <c r="T31" s="615"/>
      <c r="AD31" s="615"/>
      <c r="AE31" s="615"/>
      <c r="AF31" s="424"/>
      <c r="AG31" s="424"/>
      <c r="AH31" s="424"/>
      <c r="AI31" s="424"/>
      <c r="AJ31" s="424"/>
      <c r="AK31" s="424"/>
      <c r="AL31" s="424"/>
    </row>
    <row r="32" spans="1:38" ht="11.25" customHeight="1">
      <c r="A32" s="927" t="s">
        <v>513</v>
      </c>
      <c r="B32" s="927"/>
      <c r="C32" s="927"/>
      <c r="D32" s="927"/>
      <c r="E32" s="927"/>
      <c r="F32" s="927"/>
      <c r="G32" s="927"/>
      <c r="H32" s="927"/>
      <c r="I32" s="211"/>
      <c r="J32" s="616"/>
      <c r="M32" s="613">
        <v>21</v>
      </c>
      <c r="N32" s="614">
        <v>205.7</v>
      </c>
      <c r="O32" s="614">
        <v>226.61</v>
      </c>
      <c r="P32" s="614"/>
      <c r="Q32" s="615"/>
      <c r="R32" s="615"/>
      <c r="S32" s="615"/>
      <c r="T32" s="615"/>
      <c r="AD32" s="615"/>
      <c r="AE32" s="615"/>
      <c r="AF32" s="424"/>
      <c r="AG32" s="424"/>
      <c r="AH32" s="424"/>
      <c r="AI32" s="424"/>
      <c r="AJ32" s="424"/>
      <c r="AK32" s="424"/>
      <c r="AL32" s="424"/>
    </row>
    <row r="33" spans="1:38" ht="11.25" customHeight="1">
      <c r="A33" s="94"/>
      <c r="B33" s="102"/>
      <c r="C33" s="102"/>
      <c r="D33" s="102"/>
      <c r="E33" s="102"/>
      <c r="F33" s="102"/>
      <c r="G33" s="102"/>
      <c r="H33" s="102"/>
      <c r="I33" s="211"/>
      <c r="J33" s="616"/>
      <c r="M33" s="613">
        <v>22</v>
      </c>
      <c r="N33" s="614">
        <v>204.65</v>
      </c>
      <c r="O33" s="614">
        <v>227.42</v>
      </c>
      <c r="P33" s="614"/>
      <c r="Q33" s="615"/>
      <c r="R33" s="615"/>
      <c r="S33" s="615"/>
      <c r="T33" s="615"/>
      <c r="AD33" s="615"/>
      <c r="AE33" s="615"/>
      <c r="AF33" s="424"/>
      <c r="AG33" s="424"/>
      <c r="AH33" s="424"/>
      <c r="AI33" s="424"/>
      <c r="AJ33" s="424"/>
      <c r="AK33" s="424"/>
      <c r="AL33" s="424"/>
    </row>
    <row r="34" spans="1:38" ht="11.25" customHeight="1">
      <c r="A34" s="94"/>
      <c r="B34" s="102"/>
      <c r="C34" s="102"/>
      <c r="D34" s="102"/>
      <c r="E34" s="102"/>
      <c r="F34" s="102"/>
      <c r="G34" s="102"/>
      <c r="H34" s="102"/>
      <c r="I34" s="211"/>
      <c r="J34" s="616"/>
      <c r="M34" s="613">
        <v>23</v>
      </c>
      <c r="N34" s="614">
        <v>204.65</v>
      </c>
      <c r="O34" s="614">
        <v>227.42</v>
      </c>
      <c r="P34" s="614"/>
      <c r="Q34" s="615"/>
      <c r="R34" s="615"/>
      <c r="S34" s="615"/>
      <c r="T34" s="615"/>
      <c r="AD34" s="615"/>
      <c r="AE34" s="615"/>
      <c r="AF34" s="424"/>
      <c r="AG34" s="424"/>
      <c r="AH34" s="424"/>
      <c r="AI34" s="424"/>
      <c r="AJ34" s="424"/>
      <c r="AK34" s="424"/>
      <c r="AL34" s="424"/>
    </row>
    <row r="35" spans="1:38" ht="11.25" customHeight="1">
      <c r="A35" s="94"/>
      <c r="B35" s="102"/>
      <c r="C35" s="102"/>
      <c r="D35" s="102"/>
      <c r="E35" s="102"/>
      <c r="F35" s="102"/>
      <c r="G35" s="102"/>
      <c r="H35" s="102"/>
      <c r="I35" s="213"/>
      <c r="J35" s="616"/>
      <c r="M35" s="613">
        <v>24</v>
      </c>
      <c r="N35" s="614">
        <v>200.38</v>
      </c>
      <c r="O35" s="614">
        <v>227.45</v>
      </c>
      <c r="P35" s="614"/>
      <c r="Q35" s="615"/>
      <c r="R35" s="615"/>
      <c r="S35" s="615"/>
      <c r="T35" s="615"/>
      <c r="AD35" s="615"/>
      <c r="AE35" s="615"/>
      <c r="AF35" s="424"/>
      <c r="AG35" s="424"/>
      <c r="AH35" s="424"/>
      <c r="AI35" s="424"/>
      <c r="AJ35" s="424"/>
      <c r="AK35" s="424"/>
      <c r="AL35" s="424"/>
    </row>
    <row r="36" spans="1:38" ht="11.25" customHeight="1">
      <c r="A36" s="94"/>
      <c r="B36" s="102"/>
      <c r="C36" s="102"/>
      <c r="D36" s="102"/>
      <c r="E36" s="102"/>
      <c r="F36" s="102"/>
      <c r="G36" s="102"/>
      <c r="H36" s="102"/>
      <c r="I36" s="211"/>
      <c r="J36" s="616"/>
      <c r="M36" s="613">
        <v>25</v>
      </c>
      <c r="N36" s="614">
        <v>200.38</v>
      </c>
      <c r="O36" s="614">
        <v>227.45</v>
      </c>
      <c r="P36" s="614"/>
      <c r="Q36" s="615"/>
      <c r="R36" s="615"/>
      <c r="S36" s="615"/>
      <c r="T36" s="615"/>
      <c r="AD36" s="615"/>
      <c r="AE36" s="615"/>
      <c r="AF36" s="424"/>
      <c r="AG36" s="424"/>
      <c r="AH36" s="424"/>
      <c r="AI36" s="424"/>
      <c r="AJ36" s="424"/>
      <c r="AK36" s="424"/>
      <c r="AL36" s="424"/>
    </row>
    <row r="37" spans="1:38" ht="11.25" customHeight="1">
      <c r="A37" s="94"/>
      <c r="B37" s="102"/>
      <c r="C37" s="102"/>
      <c r="D37" s="102"/>
      <c r="E37" s="102"/>
      <c r="F37" s="102"/>
      <c r="G37" s="102"/>
      <c r="H37" s="102"/>
      <c r="I37" s="211"/>
      <c r="J37" s="617"/>
      <c r="M37" s="613">
        <v>26</v>
      </c>
      <c r="N37" s="614">
        <v>193.55099487304599</v>
      </c>
      <c r="O37" s="614">
        <v>225.56</v>
      </c>
      <c r="P37" s="614"/>
      <c r="Q37" s="615"/>
      <c r="R37" s="615"/>
      <c r="S37" s="615"/>
      <c r="T37" s="615"/>
      <c r="AD37" s="615"/>
      <c r="AE37" s="615"/>
      <c r="AF37" s="424"/>
      <c r="AG37" s="424"/>
      <c r="AH37" s="424"/>
      <c r="AI37" s="424"/>
      <c r="AJ37" s="424"/>
      <c r="AK37" s="424"/>
      <c r="AL37" s="424"/>
    </row>
    <row r="38" spans="1:38" ht="11.25" customHeight="1">
      <c r="A38" s="94"/>
      <c r="B38" s="102"/>
      <c r="C38" s="102"/>
      <c r="D38" s="102"/>
      <c r="E38" s="102"/>
      <c r="F38" s="102"/>
      <c r="G38" s="102"/>
      <c r="H38" s="102"/>
      <c r="I38" s="211"/>
      <c r="J38" s="617"/>
      <c r="M38" s="613">
        <v>27</v>
      </c>
      <c r="N38" s="614">
        <v>193.55099487304599</v>
      </c>
      <c r="O38" s="614">
        <v>225.56</v>
      </c>
      <c r="P38" s="614"/>
      <c r="Q38" s="615"/>
      <c r="R38" s="615"/>
      <c r="S38" s="615"/>
      <c r="T38" s="615"/>
      <c r="AD38" s="615"/>
      <c r="AE38" s="615"/>
      <c r="AF38" s="424"/>
      <c r="AG38" s="424"/>
      <c r="AH38" s="424"/>
      <c r="AI38" s="424"/>
      <c r="AJ38" s="424"/>
      <c r="AK38" s="424"/>
      <c r="AL38" s="424"/>
    </row>
    <row r="39" spans="1:38" ht="11.25" customHeight="1">
      <c r="A39" s="94"/>
      <c r="B39" s="102"/>
      <c r="C39" s="102"/>
      <c r="D39" s="102"/>
      <c r="E39" s="102"/>
      <c r="F39" s="102"/>
      <c r="G39" s="102"/>
      <c r="H39" s="102"/>
      <c r="I39" s="211"/>
      <c r="J39" s="618"/>
      <c r="M39" s="613">
        <v>28</v>
      </c>
      <c r="N39" s="614">
        <v>186.01199339999999</v>
      </c>
      <c r="O39" s="619">
        <v>225.56</v>
      </c>
      <c r="P39" s="619"/>
      <c r="Q39" s="615"/>
      <c r="R39" s="615"/>
      <c r="S39" s="615"/>
      <c r="T39" s="615"/>
      <c r="AD39" s="615"/>
      <c r="AE39" s="615"/>
      <c r="AF39" s="424"/>
      <c r="AG39" s="424"/>
      <c r="AH39" s="424"/>
      <c r="AI39" s="424"/>
      <c r="AJ39" s="424"/>
      <c r="AK39" s="424"/>
      <c r="AL39" s="424"/>
    </row>
    <row r="40" spans="1:38" ht="11.25" customHeight="1">
      <c r="A40" s="94"/>
      <c r="B40" s="102"/>
      <c r="C40" s="102"/>
      <c r="D40" s="102"/>
      <c r="E40" s="102"/>
      <c r="F40" s="102"/>
      <c r="G40" s="102"/>
      <c r="H40" s="102"/>
      <c r="I40" s="211"/>
      <c r="J40" s="618"/>
      <c r="M40" s="613">
        <v>29</v>
      </c>
      <c r="N40" s="614">
        <v>186.01199339999999</v>
      </c>
      <c r="O40" s="614">
        <v>222.04</v>
      </c>
      <c r="P40" s="614"/>
      <c r="Q40" s="615"/>
      <c r="R40" s="615"/>
      <c r="S40" s="615"/>
      <c r="T40" s="615"/>
      <c r="AD40" s="615"/>
      <c r="AE40" s="615"/>
      <c r="AF40" s="424"/>
      <c r="AG40" s="424"/>
      <c r="AH40" s="424"/>
      <c r="AI40" s="424"/>
      <c r="AJ40" s="424"/>
      <c r="AK40" s="424"/>
      <c r="AL40" s="424"/>
    </row>
    <row r="41" spans="1:38" ht="11.25" customHeight="1">
      <c r="A41" s="94"/>
      <c r="B41" s="102"/>
      <c r="C41" s="102"/>
      <c r="D41" s="102"/>
      <c r="E41" s="102"/>
      <c r="F41" s="102"/>
      <c r="G41" s="102"/>
      <c r="H41" s="102"/>
      <c r="I41" s="211"/>
      <c r="J41" s="618"/>
      <c r="M41" s="613">
        <v>30</v>
      </c>
      <c r="N41" s="614">
        <v>186.01199339999999</v>
      </c>
      <c r="O41" s="614">
        <v>222.04</v>
      </c>
      <c r="P41" s="614"/>
      <c r="Q41" s="615"/>
      <c r="R41" s="615"/>
      <c r="S41" s="615"/>
      <c r="T41" s="615"/>
      <c r="AD41" s="615"/>
      <c r="AE41" s="615"/>
      <c r="AF41" s="424"/>
      <c r="AG41" s="424"/>
      <c r="AH41" s="424"/>
      <c r="AI41" s="424"/>
      <c r="AJ41" s="424"/>
      <c r="AK41" s="424"/>
      <c r="AL41" s="424"/>
    </row>
    <row r="42" spans="1:38" ht="11.25" customHeight="1">
      <c r="A42" s="94"/>
      <c r="B42" s="102"/>
      <c r="C42" s="102"/>
      <c r="D42" s="102"/>
      <c r="E42" s="102"/>
      <c r="F42" s="102"/>
      <c r="G42" s="102"/>
      <c r="H42" s="102"/>
      <c r="I42" s="213"/>
      <c r="J42" s="617"/>
      <c r="M42" s="613">
        <v>31</v>
      </c>
      <c r="N42" s="614">
        <v>178.58200070000001</v>
      </c>
      <c r="O42" s="614">
        <v>213.13</v>
      </c>
      <c r="P42" s="614"/>
      <c r="Q42" s="615"/>
      <c r="R42" s="615"/>
      <c r="S42" s="615"/>
      <c r="T42" s="615"/>
      <c r="AD42" s="615"/>
      <c r="AE42" s="615"/>
      <c r="AF42" s="424"/>
      <c r="AG42" s="424"/>
      <c r="AH42" s="424"/>
      <c r="AI42" s="424"/>
      <c r="AJ42" s="424"/>
      <c r="AK42" s="424"/>
      <c r="AL42" s="424"/>
    </row>
    <row r="43" spans="1:38" ht="11.25" customHeight="1">
      <c r="A43" s="94"/>
      <c r="B43" s="102"/>
      <c r="C43" s="102"/>
      <c r="D43" s="102"/>
      <c r="E43" s="102"/>
      <c r="F43" s="102"/>
      <c r="G43" s="102"/>
      <c r="H43" s="102"/>
      <c r="I43" s="211"/>
      <c r="J43" s="617"/>
      <c r="M43" s="613">
        <v>32</v>
      </c>
      <c r="N43" s="614">
        <v>178.58200070000001</v>
      </c>
      <c r="O43" s="614">
        <v>213.13</v>
      </c>
      <c r="P43" s="614"/>
      <c r="Q43" s="615"/>
      <c r="R43" s="615"/>
      <c r="S43" s="615"/>
      <c r="T43" s="615"/>
      <c r="AD43" s="615"/>
      <c r="AE43" s="615"/>
      <c r="AF43" s="424"/>
      <c r="AG43" s="424"/>
      <c r="AH43" s="424"/>
      <c r="AI43" s="424"/>
      <c r="AJ43" s="424"/>
      <c r="AK43" s="424"/>
      <c r="AL43" s="424"/>
    </row>
    <row r="44" spans="1:38" ht="11.25" customHeight="1">
      <c r="A44" s="94"/>
      <c r="B44" s="102"/>
      <c r="C44" s="102"/>
      <c r="D44" s="102"/>
      <c r="E44" s="102"/>
      <c r="F44" s="102"/>
      <c r="G44" s="102"/>
      <c r="H44" s="102"/>
      <c r="I44" s="211"/>
      <c r="J44" s="617"/>
      <c r="M44" s="613">
        <v>33</v>
      </c>
      <c r="N44" s="614">
        <v>169.01100159999999</v>
      </c>
      <c r="O44" s="614">
        <v>205.97</v>
      </c>
      <c r="P44" s="614"/>
      <c r="Q44" s="615"/>
      <c r="R44" s="615"/>
      <c r="S44" s="615"/>
      <c r="T44" s="615"/>
      <c r="AD44" s="615"/>
      <c r="AE44" s="615"/>
      <c r="AF44" s="424"/>
      <c r="AG44" s="424"/>
      <c r="AH44" s="424"/>
      <c r="AI44" s="424"/>
      <c r="AJ44" s="424"/>
      <c r="AK44" s="424"/>
      <c r="AL44" s="424"/>
    </row>
    <row r="45" spans="1:38" ht="11.25" customHeight="1">
      <c r="A45" s="94"/>
      <c r="B45" s="102"/>
      <c r="C45" s="102"/>
      <c r="D45" s="102"/>
      <c r="E45" s="102"/>
      <c r="F45" s="102"/>
      <c r="G45" s="102"/>
      <c r="H45" s="102"/>
      <c r="I45" s="215"/>
      <c r="J45" s="620"/>
      <c r="M45" s="613">
        <v>34</v>
      </c>
      <c r="N45" s="614">
        <v>169.01100159999999</v>
      </c>
      <c r="O45" s="614">
        <v>199.49</v>
      </c>
      <c r="P45" s="614"/>
      <c r="Q45" s="615"/>
      <c r="R45" s="615"/>
      <c r="S45" s="615"/>
      <c r="T45" s="615"/>
      <c r="AD45" s="615"/>
      <c r="AE45" s="615"/>
      <c r="AF45" s="424"/>
      <c r="AG45" s="424"/>
      <c r="AH45" s="424"/>
      <c r="AI45" s="424"/>
      <c r="AJ45" s="424"/>
      <c r="AK45" s="424"/>
      <c r="AL45" s="424"/>
    </row>
    <row r="46" spans="1:38" ht="11.25" customHeight="1">
      <c r="A46" s="94"/>
      <c r="B46" s="102"/>
      <c r="C46" s="102"/>
      <c r="D46" s="102"/>
      <c r="E46" s="102"/>
      <c r="F46" s="102"/>
      <c r="G46" s="102"/>
      <c r="H46" s="102"/>
      <c r="I46" s="216"/>
      <c r="J46" s="621"/>
      <c r="M46" s="613">
        <v>35</v>
      </c>
      <c r="N46" s="622">
        <v>158.09199523925699</v>
      </c>
      <c r="O46" s="614">
        <v>193.4</v>
      </c>
      <c r="P46" s="614"/>
      <c r="Q46" s="615"/>
      <c r="R46" s="615"/>
      <c r="S46" s="615"/>
      <c r="T46" s="615"/>
      <c r="AD46" s="615"/>
      <c r="AE46" s="615"/>
      <c r="AF46" s="424"/>
      <c r="AG46" s="424"/>
      <c r="AH46" s="424"/>
      <c r="AI46" s="424"/>
      <c r="AJ46" s="424"/>
      <c r="AK46" s="424"/>
      <c r="AL46" s="424"/>
    </row>
    <row r="47" spans="1:38" ht="11.25" customHeight="1">
      <c r="A47" s="94"/>
      <c r="B47" s="102"/>
      <c r="C47" s="102"/>
      <c r="D47" s="102"/>
      <c r="E47" s="102"/>
      <c r="F47" s="102"/>
      <c r="G47" s="102"/>
      <c r="H47" s="102"/>
      <c r="I47" s="216"/>
      <c r="J47" s="621"/>
      <c r="M47" s="613">
        <v>36</v>
      </c>
      <c r="N47" s="622">
        <v>158.09199523925699</v>
      </c>
      <c r="O47" s="614">
        <v>187.93</v>
      </c>
      <c r="P47" s="614"/>
      <c r="Q47" s="615"/>
      <c r="R47" s="615"/>
      <c r="S47" s="615"/>
      <c r="T47" s="615"/>
      <c r="AD47" s="615"/>
      <c r="AE47" s="615"/>
      <c r="AF47" s="424"/>
      <c r="AG47" s="424"/>
      <c r="AH47" s="424"/>
      <c r="AI47" s="424"/>
      <c r="AJ47" s="424"/>
      <c r="AK47" s="424"/>
      <c r="AL47" s="424"/>
    </row>
    <row r="48" spans="1:38" ht="11.25" customHeight="1">
      <c r="A48" s="94"/>
      <c r="B48" s="102"/>
      <c r="C48" s="102"/>
      <c r="D48" s="102"/>
      <c r="E48" s="102"/>
      <c r="F48" s="102"/>
      <c r="G48" s="102"/>
      <c r="H48" s="102"/>
      <c r="I48" s="216"/>
      <c r="J48" s="621"/>
      <c r="M48" s="613">
        <v>37</v>
      </c>
      <c r="N48" s="614">
        <v>147.0650024</v>
      </c>
      <c r="O48" s="614">
        <v>182.85</v>
      </c>
      <c r="P48" s="614"/>
      <c r="Q48" s="615"/>
      <c r="R48" s="615"/>
      <c r="S48" s="615"/>
      <c r="T48" s="615"/>
      <c r="AD48" s="615"/>
      <c r="AE48" s="615"/>
      <c r="AF48" s="424"/>
      <c r="AG48" s="424"/>
      <c r="AH48" s="424"/>
      <c r="AI48" s="424"/>
      <c r="AJ48" s="424"/>
      <c r="AK48" s="424"/>
      <c r="AL48" s="424"/>
    </row>
    <row r="49" spans="1:38" ht="11.25" customHeight="1">
      <c r="A49" s="94"/>
      <c r="B49" s="102"/>
      <c r="C49" s="102"/>
      <c r="D49" s="102"/>
      <c r="E49" s="102"/>
      <c r="F49" s="102"/>
      <c r="G49" s="102"/>
      <c r="H49" s="102"/>
      <c r="I49" s="216"/>
      <c r="J49" s="621"/>
      <c r="M49" s="613">
        <v>38</v>
      </c>
      <c r="N49" s="614">
        <v>147.0650024</v>
      </c>
      <c r="O49" s="614">
        <v>179.77</v>
      </c>
      <c r="P49" s="614"/>
      <c r="Q49" s="615"/>
      <c r="R49" s="615"/>
      <c r="S49" s="615"/>
      <c r="T49" s="615"/>
      <c r="AD49" s="615"/>
      <c r="AE49" s="615"/>
      <c r="AF49" s="424"/>
      <c r="AG49" s="424"/>
      <c r="AH49" s="424"/>
      <c r="AI49" s="424"/>
      <c r="AJ49" s="424"/>
      <c r="AK49" s="424"/>
      <c r="AL49" s="424"/>
    </row>
    <row r="50" spans="1:38" ht="12.75">
      <c r="A50" s="94"/>
      <c r="B50" s="102"/>
      <c r="C50" s="102"/>
      <c r="D50" s="102"/>
      <c r="E50" s="102"/>
      <c r="F50" s="102"/>
      <c r="G50" s="102"/>
      <c r="H50" s="102"/>
      <c r="I50" s="216"/>
      <c r="J50" s="621"/>
      <c r="M50" s="613">
        <v>39</v>
      </c>
      <c r="N50" s="614">
        <v>139.11000060000001</v>
      </c>
      <c r="O50" s="614">
        <v>173.62</v>
      </c>
      <c r="P50" s="614"/>
      <c r="Q50" s="615"/>
      <c r="R50" s="615"/>
      <c r="S50" s="615"/>
      <c r="T50" s="615"/>
      <c r="AD50" s="615"/>
      <c r="AE50" s="615"/>
      <c r="AF50" s="424"/>
      <c r="AG50" s="424"/>
      <c r="AH50" s="424"/>
      <c r="AI50" s="424"/>
      <c r="AJ50" s="424"/>
      <c r="AK50" s="424"/>
      <c r="AL50" s="424"/>
    </row>
    <row r="51" spans="1:38" ht="12.75">
      <c r="A51" s="94"/>
      <c r="B51" s="102"/>
      <c r="C51" s="102"/>
      <c r="D51" s="102"/>
      <c r="E51" s="102"/>
      <c r="F51" s="102"/>
      <c r="G51" s="102"/>
      <c r="H51" s="102"/>
      <c r="I51" s="216"/>
      <c r="J51" s="621"/>
      <c r="M51" s="613">
        <v>40</v>
      </c>
      <c r="N51" s="614">
        <v>139.11000060000001</v>
      </c>
      <c r="O51" s="614">
        <v>163</v>
      </c>
      <c r="P51" s="614"/>
      <c r="Q51" s="615"/>
      <c r="R51" s="615"/>
      <c r="S51" s="615"/>
      <c r="T51" s="615"/>
      <c r="AD51" s="615"/>
      <c r="AE51" s="615"/>
      <c r="AF51" s="424"/>
      <c r="AG51" s="424"/>
      <c r="AH51" s="424"/>
      <c r="AI51" s="424"/>
      <c r="AJ51" s="424"/>
      <c r="AK51" s="424"/>
      <c r="AL51" s="424"/>
    </row>
    <row r="52" spans="1:38" ht="12.75">
      <c r="A52" s="94"/>
      <c r="B52" s="102"/>
      <c r="C52" s="102"/>
      <c r="D52" s="102"/>
      <c r="E52" s="102"/>
      <c r="F52" s="102"/>
      <c r="G52" s="102"/>
      <c r="H52" s="102"/>
      <c r="I52" s="216"/>
      <c r="J52" s="621"/>
      <c r="M52" s="613">
        <v>41</v>
      </c>
      <c r="N52" s="614">
        <v>139.11000060000001</v>
      </c>
      <c r="O52" s="614">
        <v>156.5</v>
      </c>
      <c r="P52" s="614"/>
      <c r="Q52" s="615"/>
      <c r="R52" s="615"/>
      <c r="S52" s="615"/>
      <c r="T52" s="615"/>
      <c r="AD52" s="615"/>
      <c r="AE52" s="615"/>
      <c r="AF52" s="424"/>
      <c r="AG52" s="424"/>
      <c r="AH52" s="424"/>
      <c r="AI52" s="424"/>
      <c r="AJ52" s="424"/>
      <c r="AK52" s="424"/>
      <c r="AL52" s="424"/>
    </row>
    <row r="53" spans="1:38" ht="12.75">
      <c r="A53" s="94"/>
      <c r="B53" s="102"/>
      <c r="C53" s="102"/>
      <c r="D53" s="102"/>
      <c r="E53" s="102"/>
      <c r="F53" s="102"/>
      <c r="G53" s="102"/>
      <c r="H53" s="102"/>
      <c r="I53" s="216"/>
      <c r="J53" s="621"/>
      <c r="M53" s="613">
        <v>42</v>
      </c>
      <c r="N53" s="614">
        <v>128.34500120000001</v>
      </c>
      <c r="O53" s="614">
        <v>152.78</v>
      </c>
      <c r="P53" s="614"/>
      <c r="Q53" s="615"/>
      <c r="R53" s="615"/>
      <c r="S53" s="615"/>
      <c r="T53" s="615"/>
      <c r="AD53" s="615"/>
      <c r="AE53" s="615"/>
      <c r="AF53" s="424"/>
      <c r="AG53" s="424"/>
      <c r="AH53" s="424"/>
      <c r="AI53" s="424"/>
      <c r="AJ53" s="424"/>
      <c r="AK53" s="424"/>
      <c r="AL53" s="424"/>
    </row>
    <row r="54" spans="1:38" ht="12.75">
      <c r="A54" s="94"/>
      <c r="B54" s="102"/>
      <c r="C54" s="102"/>
      <c r="D54" s="102"/>
      <c r="E54" s="102"/>
      <c r="F54" s="102"/>
      <c r="G54" s="102"/>
      <c r="H54" s="102"/>
      <c r="I54" s="216"/>
      <c r="J54" s="621"/>
      <c r="M54" s="613">
        <v>43</v>
      </c>
      <c r="N54" s="614">
        <v>128.34500120000001</v>
      </c>
      <c r="O54" s="614">
        <v>148.63</v>
      </c>
      <c r="P54" s="614"/>
      <c r="Q54" s="615"/>
      <c r="R54" s="615"/>
      <c r="S54" s="615"/>
      <c r="T54" s="615"/>
      <c r="AD54" s="615"/>
      <c r="AE54" s="615"/>
      <c r="AF54" s="424"/>
      <c r="AG54" s="424"/>
      <c r="AH54" s="424"/>
      <c r="AI54" s="424"/>
      <c r="AJ54" s="424"/>
      <c r="AK54" s="424"/>
      <c r="AL54" s="424"/>
    </row>
    <row r="55" spans="1:38" ht="12.75">
      <c r="A55" s="94"/>
      <c r="B55" s="102"/>
      <c r="C55" s="102"/>
      <c r="D55" s="102"/>
      <c r="E55" s="102"/>
      <c r="F55" s="102"/>
      <c r="G55" s="102"/>
      <c r="H55" s="102"/>
      <c r="I55" s="216"/>
      <c r="J55" s="621"/>
      <c r="M55" s="613">
        <v>44</v>
      </c>
      <c r="N55" s="614">
        <v>121.20099639999999</v>
      </c>
      <c r="O55" s="614">
        <v>142.91</v>
      </c>
      <c r="P55" s="614"/>
      <c r="Q55" s="615"/>
      <c r="R55" s="615"/>
      <c r="S55" s="615"/>
      <c r="T55" s="615"/>
      <c r="AD55" s="615"/>
      <c r="AE55" s="615"/>
      <c r="AF55" s="424"/>
      <c r="AG55" s="424"/>
      <c r="AH55" s="424"/>
      <c r="AI55" s="424"/>
      <c r="AJ55" s="424"/>
      <c r="AK55" s="424"/>
      <c r="AL55" s="424"/>
    </row>
    <row r="56" spans="1:38" ht="12.75">
      <c r="A56" s="94"/>
      <c r="B56" s="102"/>
      <c r="C56" s="102"/>
      <c r="D56" s="102"/>
      <c r="E56" s="102"/>
      <c r="F56" s="102"/>
      <c r="G56" s="102"/>
      <c r="H56" s="102"/>
      <c r="I56" s="216"/>
      <c r="J56" s="621"/>
      <c r="M56" s="613">
        <v>45</v>
      </c>
      <c r="N56" s="614">
        <v>121.20099639999999</v>
      </c>
      <c r="O56" s="614">
        <v>137.04</v>
      </c>
      <c r="P56" s="614"/>
      <c r="Q56" s="615"/>
      <c r="R56" s="615"/>
      <c r="S56" s="615"/>
      <c r="T56" s="615"/>
      <c r="AD56" s="615"/>
      <c r="AE56" s="615"/>
      <c r="AF56" s="424"/>
      <c r="AG56" s="424"/>
      <c r="AH56" s="424"/>
      <c r="AI56" s="424"/>
      <c r="AJ56" s="424"/>
      <c r="AK56" s="424"/>
      <c r="AL56" s="424"/>
    </row>
    <row r="57" spans="1:38" ht="12.75">
      <c r="A57" s="94"/>
      <c r="B57" s="102"/>
      <c r="C57" s="102"/>
      <c r="D57" s="102"/>
      <c r="E57" s="102"/>
      <c r="F57" s="102"/>
      <c r="G57" s="102"/>
      <c r="H57" s="102"/>
      <c r="M57" s="613">
        <v>46</v>
      </c>
      <c r="N57" s="614">
        <v>112.1429977</v>
      </c>
      <c r="O57" s="614">
        <v>131.22999999999999</v>
      </c>
      <c r="P57" s="614"/>
      <c r="Q57" s="615"/>
      <c r="R57" s="615"/>
      <c r="S57" s="615"/>
      <c r="T57" s="615"/>
      <c r="AD57" s="615"/>
      <c r="AE57" s="615"/>
      <c r="AF57" s="424"/>
      <c r="AG57" s="424"/>
      <c r="AH57" s="424"/>
      <c r="AI57" s="424"/>
      <c r="AJ57" s="424"/>
      <c r="AK57" s="424"/>
      <c r="AL57" s="424"/>
    </row>
    <row r="58" spans="1:38" ht="12.75">
      <c r="A58" s="94"/>
      <c r="B58" s="102"/>
      <c r="C58" s="102"/>
      <c r="D58" s="102"/>
      <c r="E58" s="102"/>
      <c r="F58" s="102"/>
      <c r="G58" s="102"/>
      <c r="H58" s="102"/>
      <c r="M58" s="613">
        <v>47</v>
      </c>
      <c r="N58" s="614">
        <v>112.1429977</v>
      </c>
      <c r="O58" s="614">
        <v>125.5</v>
      </c>
      <c r="P58" s="614"/>
      <c r="Q58" s="615"/>
      <c r="R58" s="615"/>
      <c r="S58" s="615"/>
      <c r="T58" s="615"/>
      <c r="AD58" s="615"/>
      <c r="AE58" s="615"/>
      <c r="AF58" s="424"/>
      <c r="AG58" s="424"/>
      <c r="AH58" s="424"/>
      <c r="AI58" s="424"/>
      <c r="AJ58" s="424"/>
      <c r="AK58" s="424"/>
      <c r="AL58" s="424"/>
    </row>
    <row r="59" spans="1:38" ht="12.75">
      <c r="A59" s="420" t="s">
        <v>601</v>
      </c>
      <c r="B59" s="102"/>
      <c r="C59" s="102"/>
      <c r="D59" s="102"/>
      <c r="E59" s="102"/>
      <c r="F59" s="102"/>
      <c r="G59" s="102"/>
      <c r="H59" s="102"/>
      <c r="M59" s="613">
        <v>48</v>
      </c>
      <c r="N59" s="614">
        <v>101.13500209999999</v>
      </c>
      <c r="O59" s="614">
        <v>120.41</v>
      </c>
      <c r="P59" s="614"/>
      <c r="Q59" s="615"/>
      <c r="R59" s="615"/>
      <c r="S59" s="615"/>
      <c r="T59" s="615"/>
      <c r="AD59" s="615"/>
      <c r="AE59" s="615"/>
      <c r="AF59" s="424"/>
      <c r="AG59" s="424"/>
      <c r="AH59" s="424"/>
      <c r="AI59" s="424"/>
      <c r="AJ59" s="424"/>
      <c r="AK59" s="424"/>
      <c r="AL59" s="424"/>
    </row>
    <row r="60" spans="1:38" ht="12.75">
      <c r="A60" s="93"/>
      <c r="B60" s="102"/>
      <c r="C60" s="102"/>
      <c r="D60" s="102"/>
      <c r="E60" s="102"/>
      <c r="F60" s="102"/>
      <c r="G60" s="102"/>
      <c r="H60" s="102"/>
      <c r="M60" s="613">
        <v>49</v>
      </c>
      <c r="N60" s="614">
        <v>101.13500209999999</v>
      </c>
      <c r="O60" s="614">
        <v>115.91300200000001</v>
      </c>
      <c r="P60" s="614"/>
      <c r="Q60" s="615"/>
      <c r="R60" s="615"/>
      <c r="S60" s="615"/>
      <c r="T60" s="615"/>
      <c r="AD60" s="615"/>
      <c r="AE60" s="615"/>
      <c r="AF60" s="424"/>
      <c r="AG60" s="424"/>
      <c r="AH60" s="424"/>
      <c r="AI60" s="424"/>
      <c r="AJ60" s="424"/>
      <c r="AK60" s="424"/>
      <c r="AL60" s="424"/>
    </row>
    <row r="61" spans="1:38">
      <c r="M61" s="613">
        <v>50</v>
      </c>
      <c r="N61" s="614">
        <v>96.752998349999999</v>
      </c>
      <c r="O61" s="614">
        <v>110.0599976</v>
      </c>
      <c r="P61" s="614"/>
      <c r="Q61" s="615"/>
      <c r="R61" s="615"/>
      <c r="S61" s="615"/>
      <c r="T61" s="615"/>
      <c r="AD61" s="611"/>
      <c r="AE61" s="611"/>
      <c r="AF61" s="423"/>
      <c r="AG61" s="423"/>
      <c r="AH61" s="423"/>
      <c r="AI61" s="423"/>
      <c r="AJ61" s="423"/>
      <c r="AK61" s="423"/>
      <c r="AL61" s="423"/>
    </row>
    <row r="62" spans="1:38">
      <c r="M62" s="613">
        <v>51</v>
      </c>
      <c r="N62" s="614">
        <v>96.752998349999999</v>
      </c>
      <c r="O62" s="614">
        <v>107.5970001</v>
      </c>
      <c r="P62" s="614"/>
      <c r="Q62" s="615"/>
      <c r="R62" s="615"/>
      <c r="S62" s="615"/>
      <c r="T62" s="615"/>
      <c r="AD62" s="611"/>
      <c r="AE62" s="611"/>
      <c r="AF62" s="423"/>
      <c r="AG62" s="423"/>
      <c r="AH62" s="423"/>
      <c r="AI62" s="423"/>
      <c r="AJ62" s="423"/>
      <c r="AK62" s="423"/>
      <c r="AL62" s="423"/>
    </row>
    <row r="63" spans="1:38">
      <c r="M63" s="613">
        <v>52</v>
      </c>
      <c r="N63" s="614">
        <v>96.752998349999999</v>
      </c>
      <c r="O63" s="614">
        <v>104.4029999</v>
      </c>
      <c r="P63" s="614"/>
      <c r="Q63" s="615"/>
      <c r="R63" s="615"/>
      <c r="S63" s="615"/>
      <c r="T63" s="615"/>
      <c r="AD63" s="611"/>
      <c r="AE63" s="611"/>
      <c r="AF63" s="423"/>
      <c r="AG63" s="423"/>
      <c r="AH63" s="423"/>
      <c r="AI63" s="423"/>
      <c r="AJ63" s="423"/>
      <c r="AK63" s="423"/>
      <c r="AL63" s="423"/>
    </row>
    <row r="64" spans="1:38">
      <c r="M64" s="613">
        <v>53</v>
      </c>
      <c r="N64" s="614"/>
      <c r="O64" s="614"/>
      <c r="P64" s="623"/>
      <c r="Q64" s="615"/>
      <c r="R64" s="615"/>
      <c r="S64" s="615"/>
      <c r="T64" s="615"/>
      <c r="AD64" s="611"/>
      <c r="AE64" s="611"/>
      <c r="AF64" s="423"/>
      <c r="AG64" s="423"/>
      <c r="AH64" s="423"/>
      <c r="AI64" s="423"/>
      <c r="AJ64" s="423"/>
      <c r="AK64" s="423"/>
      <c r="AL64" s="423"/>
    </row>
    <row r="65" spans="13:38">
      <c r="M65" s="611"/>
      <c r="N65" s="611"/>
      <c r="O65" s="611"/>
      <c r="P65" s="611"/>
      <c r="Q65" s="611"/>
      <c r="R65" s="611"/>
      <c r="S65" s="611"/>
      <c r="T65" s="611"/>
      <c r="AD65" s="611"/>
      <c r="AE65" s="611"/>
      <c r="AF65" s="423"/>
      <c r="AG65" s="423"/>
      <c r="AH65" s="423"/>
      <c r="AI65" s="423"/>
      <c r="AJ65" s="423"/>
      <c r="AK65" s="423"/>
      <c r="AL65" s="423"/>
    </row>
  </sheetData>
  <mergeCells count="4">
    <mergeCell ref="A2:H2"/>
    <mergeCell ref="A4:H4"/>
    <mergeCell ref="C29:F29"/>
    <mergeCell ref="A32:H32"/>
  </mergeCells>
  <pageMargins left="0.7" right="0.7" top="0.86956521739130432" bottom="0.61458333333333337" header="0.3" footer="0.3"/>
  <pageSetup orientation="portrait" r:id="rId1"/>
  <headerFooter>
    <oddHeader>&amp;R&amp;7Informe de la Operación Mensual - Abril 2018
INFSGI-MES-04-2018
10/05/2018
Versión: 01</oddHeader>
    <oddFooter>&amp;L&amp;7COES SINAC, 2018
&amp;C10&amp;R&amp;7Dirección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4190F-AA2D-4885-84D3-7562B601C81E}">
  <sheetPr>
    <tabColor theme="4"/>
  </sheetPr>
  <dimension ref="A1:Z63"/>
  <sheetViews>
    <sheetView showGridLines="0" view="pageBreakPreview" zoomScale="130" zoomScaleNormal="100" zoomScaleSheetLayoutView="130" zoomScalePageLayoutView="85" workbookViewId="0">
      <selection activeCell="P17" sqref="P17"/>
    </sheetView>
  </sheetViews>
  <sheetFormatPr defaultRowHeight="11.25"/>
  <cols>
    <col min="1" max="9" width="9.33203125" style="3"/>
    <col min="10" max="11" width="9.33203125" style="3" customWidth="1"/>
    <col min="12" max="13" width="9.33203125" style="3"/>
    <col min="14" max="25" width="9.33203125" style="692"/>
    <col min="26" max="26" width="9.33203125" style="540"/>
    <col min="27" max="16384" width="9.33203125" style="3"/>
  </cols>
  <sheetData>
    <row r="1" spans="1:22" ht="11.25" customHeight="1">
      <c r="A1" s="160"/>
      <c r="B1" s="160"/>
      <c r="C1" s="160"/>
      <c r="D1" s="160"/>
      <c r="E1" s="160"/>
      <c r="F1" s="160"/>
      <c r="G1" s="160"/>
      <c r="H1" s="160"/>
      <c r="I1" s="160"/>
      <c r="J1" s="160"/>
      <c r="K1" s="160"/>
      <c r="L1" s="160"/>
    </row>
    <row r="2" spans="1:22" ht="11.25" customHeight="1">
      <c r="A2" s="578"/>
      <c r="B2" s="590"/>
      <c r="C2" s="590"/>
      <c r="D2" s="590"/>
      <c r="E2" s="590"/>
      <c r="F2" s="590"/>
      <c r="G2" s="591"/>
      <c r="H2" s="591"/>
      <c r="I2" s="25"/>
      <c r="J2" s="160"/>
      <c r="K2" s="160"/>
      <c r="L2" s="160"/>
    </row>
    <row r="3" spans="1:22" ht="11.25" customHeight="1">
      <c r="A3" s="25"/>
      <c r="B3" s="25"/>
      <c r="C3" s="25"/>
      <c r="D3" s="25"/>
      <c r="E3" s="25"/>
      <c r="F3" s="25"/>
      <c r="G3" s="91"/>
      <c r="H3" s="91"/>
      <c r="I3" s="91"/>
      <c r="J3" s="45"/>
      <c r="K3" s="45"/>
      <c r="L3" s="45"/>
    </row>
    <row r="4" spans="1:22" ht="11.25" customHeight="1">
      <c r="A4" s="25"/>
      <c r="B4" s="25"/>
      <c r="C4" s="25"/>
      <c r="D4" s="25"/>
      <c r="E4" s="25"/>
      <c r="F4" s="25"/>
      <c r="G4" s="91"/>
      <c r="H4" s="91"/>
      <c r="I4" s="91"/>
      <c r="J4" s="45"/>
      <c r="K4" s="45"/>
      <c r="L4" s="45"/>
      <c r="N4" s="693" t="s">
        <v>307</v>
      </c>
      <c r="O4" s="694"/>
      <c r="P4" s="694"/>
      <c r="Q4" s="694"/>
      <c r="R4" s="694"/>
      <c r="S4" s="694"/>
      <c r="T4" s="695" t="s">
        <v>308</v>
      </c>
      <c r="U4" s="694"/>
      <c r="V4" s="694"/>
    </row>
    <row r="5" spans="1:22" ht="11.25" customHeight="1">
      <c r="A5" s="929"/>
      <c r="B5" s="929"/>
      <c r="C5" s="929"/>
      <c r="D5" s="929"/>
      <c r="E5" s="929"/>
      <c r="F5" s="929"/>
      <c r="G5" s="929"/>
      <c r="H5" s="929"/>
      <c r="I5" s="929"/>
      <c r="J5" s="16"/>
      <c r="K5" s="16"/>
      <c r="L5" s="10"/>
      <c r="N5" s="694"/>
      <c r="O5" s="696">
        <v>2016</v>
      </c>
      <c r="P5" s="696">
        <v>2017</v>
      </c>
      <c r="Q5" s="696">
        <v>2018</v>
      </c>
      <c r="R5" s="694"/>
      <c r="S5" s="694"/>
      <c r="T5" s="696">
        <v>2016</v>
      </c>
      <c r="U5" s="696">
        <v>2017</v>
      </c>
      <c r="V5" s="696">
        <v>2018</v>
      </c>
    </row>
    <row r="6" spans="1:22" ht="11.25" customHeight="1">
      <c r="A6" s="84"/>
      <c r="B6" s="202"/>
      <c r="C6" s="86"/>
      <c r="D6" s="87"/>
      <c r="E6" s="87"/>
      <c r="F6" s="88"/>
      <c r="G6" s="83"/>
      <c r="H6" s="83"/>
      <c r="I6" s="89"/>
      <c r="J6" s="16"/>
      <c r="K6" s="16"/>
      <c r="L6" s="7"/>
      <c r="N6" s="697">
        <v>1</v>
      </c>
      <c r="O6" s="698">
        <v>119.86</v>
      </c>
      <c r="P6" s="698">
        <v>27.559000019999999</v>
      </c>
      <c r="Q6" s="699">
        <v>34.76</v>
      </c>
      <c r="R6" s="694"/>
      <c r="S6" s="697">
        <v>1</v>
      </c>
      <c r="T6" s="700">
        <v>150.22999999999999</v>
      </c>
      <c r="U6" s="701">
        <v>122.19600180599998</v>
      </c>
      <c r="V6" s="702">
        <v>210.20000000000002</v>
      </c>
    </row>
    <row r="7" spans="1:22" ht="11.25" customHeight="1">
      <c r="A7" s="84"/>
      <c r="B7" s="930"/>
      <c r="C7" s="930"/>
      <c r="D7" s="203"/>
      <c r="E7" s="203"/>
      <c r="F7" s="88"/>
      <c r="G7" s="83"/>
      <c r="H7" s="83"/>
      <c r="I7" s="89"/>
      <c r="J7" s="5"/>
      <c r="K7" s="5"/>
      <c r="L7" s="20"/>
      <c r="N7" s="697">
        <v>2</v>
      </c>
      <c r="O7" s="698">
        <v>113.21</v>
      </c>
      <c r="P7" s="698">
        <v>36.5890007</v>
      </c>
      <c r="Q7" s="699">
        <v>47.749000549999998</v>
      </c>
      <c r="R7" s="694"/>
      <c r="S7" s="697">
        <v>2</v>
      </c>
      <c r="T7" s="700">
        <v>145.21</v>
      </c>
      <c r="U7" s="701">
        <v>136.535000822</v>
      </c>
      <c r="V7" s="702">
        <v>216.70300435500002</v>
      </c>
    </row>
    <row r="8" spans="1:22" ht="11.25" customHeight="1">
      <c r="A8" s="84"/>
      <c r="B8" s="204"/>
      <c r="C8" s="49"/>
      <c r="D8" s="205"/>
      <c r="E8" s="205"/>
      <c r="F8" s="88"/>
      <c r="G8" s="83"/>
      <c r="H8" s="83"/>
      <c r="I8" s="89"/>
      <c r="J8" s="6"/>
      <c r="K8" s="6"/>
      <c r="L8" s="16"/>
      <c r="N8" s="697">
        <v>3</v>
      </c>
      <c r="O8" s="698">
        <v>117.64</v>
      </c>
      <c r="P8" s="698">
        <v>63.17599869</v>
      </c>
      <c r="Q8" s="699">
        <v>67.130996699999997</v>
      </c>
      <c r="R8" s="694"/>
      <c r="S8" s="697">
        <v>3</v>
      </c>
      <c r="T8" s="700">
        <v>143.88</v>
      </c>
      <c r="U8" s="701">
        <v>170.80799961000002</v>
      </c>
      <c r="V8" s="702">
        <v>232.83600043999999</v>
      </c>
    </row>
    <row r="9" spans="1:22" ht="11.25" customHeight="1">
      <c r="A9" s="84"/>
      <c r="B9" s="204"/>
      <c r="C9" s="49"/>
      <c r="D9" s="205"/>
      <c r="E9" s="205"/>
      <c r="F9" s="88"/>
      <c r="G9" s="83"/>
      <c r="H9" s="83"/>
      <c r="I9" s="89"/>
      <c r="J9" s="5"/>
      <c r="K9" s="8"/>
      <c r="L9" s="21"/>
      <c r="N9" s="697">
        <v>4</v>
      </c>
      <c r="O9" s="698">
        <v>117.64</v>
      </c>
      <c r="P9" s="698">
        <v>113.2139969</v>
      </c>
      <c r="Q9" s="699">
        <v>93.789001459999994</v>
      </c>
      <c r="R9" s="694"/>
      <c r="S9" s="697">
        <v>4</v>
      </c>
      <c r="T9" s="700">
        <v>139.38200000000001</v>
      </c>
      <c r="U9" s="701">
        <v>186.385000214</v>
      </c>
      <c r="V9" s="702">
        <v>271.78000545999998</v>
      </c>
    </row>
    <row r="10" spans="1:22" ht="11.25" customHeight="1">
      <c r="A10" s="84"/>
      <c r="B10" s="204"/>
      <c r="C10" s="49"/>
      <c r="D10" s="205"/>
      <c r="E10" s="205"/>
      <c r="F10" s="88"/>
      <c r="G10" s="83"/>
      <c r="H10" s="83"/>
      <c r="I10" s="89"/>
      <c r="J10" s="5"/>
      <c r="K10" s="5"/>
      <c r="L10" s="20"/>
      <c r="N10" s="697">
        <v>5</v>
      </c>
      <c r="O10" s="698">
        <v>133.43</v>
      </c>
      <c r="P10" s="698">
        <v>156.8220062</v>
      </c>
      <c r="Q10" s="699">
        <v>111.01599880000001</v>
      </c>
      <c r="R10" s="694"/>
      <c r="S10" s="697">
        <v>5</v>
      </c>
      <c r="T10" s="700">
        <v>135.79099490000002</v>
      </c>
      <c r="U10" s="701">
        <v>204.80799868699998</v>
      </c>
      <c r="V10" s="702">
        <v>269.07999802</v>
      </c>
    </row>
    <row r="11" spans="1:22" ht="11.25" customHeight="1">
      <c r="A11" s="84"/>
      <c r="B11" s="205"/>
      <c r="C11" s="49"/>
      <c r="D11" s="205"/>
      <c r="E11" s="205"/>
      <c r="F11" s="88"/>
      <c r="G11" s="83"/>
      <c r="H11" s="83"/>
      <c r="I11" s="89"/>
      <c r="J11" s="5"/>
      <c r="K11" s="5"/>
      <c r="L11" s="20"/>
      <c r="N11" s="697">
        <v>6</v>
      </c>
      <c r="O11" s="698">
        <v>159.2149963</v>
      </c>
      <c r="P11" s="698">
        <v>168.8840027</v>
      </c>
      <c r="Q11" s="699">
        <v>126.6029968</v>
      </c>
      <c r="R11" s="694"/>
      <c r="S11" s="697">
        <v>6</v>
      </c>
      <c r="T11" s="700">
        <v>150.04800029899999</v>
      </c>
      <c r="U11" s="701">
        <v>201.82999366799999</v>
      </c>
      <c r="V11" s="702">
        <v>273.52000047000001</v>
      </c>
    </row>
    <row r="12" spans="1:22" ht="11.25" customHeight="1">
      <c r="A12" s="84"/>
      <c r="B12" s="205"/>
      <c r="C12" s="49"/>
      <c r="D12" s="205"/>
      <c r="E12" s="205"/>
      <c r="F12" s="88"/>
      <c r="G12" s="83"/>
      <c r="H12" s="83"/>
      <c r="I12" s="89"/>
      <c r="J12" s="5"/>
      <c r="K12" s="5"/>
      <c r="L12" s="20"/>
      <c r="N12" s="697">
        <v>7</v>
      </c>
      <c r="O12" s="698">
        <v>186.18299870000001</v>
      </c>
      <c r="P12" s="698">
        <v>196.28300479999999</v>
      </c>
      <c r="Q12" s="699">
        <v>135.7250061</v>
      </c>
      <c r="R12" s="694"/>
      <c r="S12" s="697">
        <v>7</v>
      </c>
      <c r="T12" s="700">
        <v>174.31999966699999</v>
      </c>
      <c r="U12" s="701">
        <v>199.59600258</v>
      </c>
      <c r="V12" s="702">
        <v>302.63299941999998</v>
      </c>
    </row>
    <row r="13" spans="1:22" ht="11.25" customHeight="1">
      <c r="A13" s="84"/>
      <c r="B13" s="205"/>
      <c r="C13" s="49"/>
      <c r="D13" s="205"/>
      <c r="E13" s="205"/>
      <c r="F13" s="88"/>
      <c r="G13" s="83"/>
      <c r="H13" s="83"/>
      <c r="I13" s="89"/>
      <c r="J13" s="6"/>
      <c r="K13" s="6"/>
      <c r="L13" s="16"/>
      <c r="N13" s="697">
        <v>8</v>
      </c>
      <c r="O13" s="698">
        <v>206.53900150000001</v>
      </c>
      <c r="P13" s="698">
        <v>230.18899540000001</v>
      </c>
      <c r="Q13" s="699">
        <v>159.2149963</v>
      </c>
      <c r="R13" s="694"/>
      <c r="S13" s="697">
        <v>8</v>
      </c>
      <c r="T13" s="700">
        <v>262.93500039999998</v>
      </c>
      <c r="U13" s="701">
        <v>214.34299659800001</v>
      </c>
      <c r="V13" s="702">
        <v>328.23703</v>
      </c>
    </row>
    <row r="14" spans="1:22" ht="11.25" customHeight="1">
      <c r="A14" s="84"/>
      <c r="B14" s="205"/>
      <c r="C14" s="49"/>
      <c r="D14" s="205"/>
      <c r="E14" s="205"/>
      <c r="F14" s="88"/>
      <c r="G14" s="83"/>
      <c r="H14" s="83"/>
      <c r="I14" s="89"/>
      <c r="J14" s="5"/>
      <c r="K14" s="8"/>
      <c r="L14" s="21"/>
      <c r="N14" s="697">
        <v>9</v>
      </c>
      <c r="O14" s="698">
        <v>240.9539948</v>
      </c>
      <c r="P14" s="698">
        <v>249.13000489999999</v>
      </c>
      <c r="Q14" s="699">
        <v>186.18299870000001</v>
      </c>
      <c r="R14" s="694"/>
      <c r="S14" s="697">
        <v>9</v>
      </c>
      <c r="T14" s="700">
        <v>279.08800121000002</v>
      </c>
      <c r="U14" s="701">
        <v>250.89400288000002</v>
      </c>
      <c r="V14" s="702">
        <v>343.54049999999995</v>
      </c>
    </row>
    <row r="15" spans="1:22" ht="11.25" customHeight="1">
      <c r="A15" s="84"/>
      <c r="B15" s="205"/>
      <c r="C15" s="49"/>
      <c r="D15" s="205"/>
      <c r="E15" s="205"/>
      <c r="F15" s="88"/>
      <c r="G15" s="83"/>
      <c r="H15" s="83"/>
      <c r="I15" s="89"/>
      <c r="J15" s="5"/>
      <c r="K15" s="8"/>
      <c r="L15" s="20"/>
      <c r="N15" s="697">
        <v>10</v>
      </c>
      <c r="O15" s="698">
        <v>279.86401369999999</v>
      </c>
      <c r="P15" s="698">
        <v>311.77999999999997</v>
      </c>
      <c r="Q15" s="699">
        <v>203.96099849999999</v>
      </c>
      <c r="R15" s="694"/>
      <c r="S15" s="697">
        <v>10</v>
      </c>
      <c r="T15" s="700">
        <v>283.79400062561007</v>
      </c>
      <c r="U15" s="701">
        <v>298.99899296000001</v>
      </c>
      <c r="V15" s="702">
        <v>371.29100467000001</v>
      </c>
    </row>
    <row r="16" spans="1:22" ht="11.25" customHeight="1">
      <c r="A16" s="84"/>
      <c r="B16" s="205"/>
      <c r="C16" s="49"/>
      <c r="D16" s="205"/>
      <c r="E16" s="205"/>
      <c r="F16" s="88"/>
      <c r="G16" s="83"/>
      <c r="H16" s="83"/>
      <c r="I16" s="89"/>
      <c r="J16" s="5"/>
      <c r="K16" s="8"/>
      <c r="L16" s="20"/>
      <c r="N16" s="697">
        <v>11</v>
      </c>
      <c r="O16" s="698">
        <v>308.83</v>
      </c>
      <c r="P16" s="698">
        <v>332.70800000000003</v>
      </c>
      <c r="Q16" s="699">
        <v>230.18899540000001</v>
      </c>
      <c r="R16" s="703"/>
      <c r="S16" s="697">
        <v>11</v>
      </c>
      <c r="T16" s="700">
        <v>286.24</v>
      </c>
      <c r="U16" s="701">
        <v>321.03300188000003</v>
      </c>
      <c r="V16" s="702">
        <v>390.38299555999998</v>
      </c>
    </row>
    <row r="17" spans="1:22" ht="11.25" customHeight="1">
      <c r="A17" s="84"/>
      <c r="B17" s="205"/>
      <c r="C17" s="49"/>
      <c r="D17" s="205"/>
      <c r="E17" s="205"/>
      <c r="F17" s="88"/>
      <c r="G17" s="83"/>
      <c r="H17" s="83"/>
      <c r="I17" s="89"/>
      <c r="J17" s="5"/>
      <c r="K17" s="8"/>
      <c r="L17" s="20"/>
      <c r="N17" s="697">
        <v>12</v>
      </c>
      <c r="O17" s="698">
        <v>308.829986572265</v>
      </c>
      <c r="P17" s="698">
        <v>344.881012</v>
      </c>
      <c r="Q17" s="699">
        <v>282.71701050000001</v>
      </c>
      <c r="R17" s="703"/>
      <c r="S17" s="697">
        <v>12</v>
      </c>
      <c r="T17" s="700">
        <v>285.01299476623473</v>
      </c>
      <c r="U17" s="701">
        <v>332.34900279999999</v>
      </c>
      <c r="V17" s="702">
        <v>412.41217171999995</v>
      </c>
    </row>
    <row r="18" spans="1:22" ht="11.25" customHeight="1">
      <c r="A18" s="84"/>
      <c r="B18" s="205"/>
      <c r="C18" s="49"/>
      <c r="D18" s="205"/>
      <c r="E18" s="205"/>
      <c r="F18" s="88"/>
      <c r="G18" s="83"/>
      <c r="H18" s="83"/>
      <c r="I18" s="89"/>
      <c r="J18" s="5"/>
      <c r="K18" s="8"/>
      <c r="L18" s="20"/>
      <c r="N18" s="697">
        <v>13</v>
      </c>
      <c r="O18" s="698">
        <v>308.829986572265</v>
      </c>
      <c r="P18" s="698">
        <v>338.77499390000003</v>
      </c>
      <c r="Q18" s="699">
        <v>329.68899540000001</v>
      </c>
      <c r="R18" s="703"/>
      <c r="S18" s="697">
        <v>13</v>
      </c>
      <c r="T18" s="700">
        <v>279.96900081634436</v>
      </c>
      <c r="U18" s="701">
        <v>366.02899361000004</v>
      </c>
      <c r="V18" s="702">
        <v>410.83199501000001</v>
      </c>
    </row>
    <row r="19" spans="1:22" ht="11.25" customHeight="1">
      <c r="A19" s="84"/>
      <c r="B19" s="205"/>
      <c r="C19" s="49"/>
      <c r="D19" s="205"/>
      <c r="E19" s="205"/>
      <c r="F19" s="88"/>
      <c r="G19" s="83"/>
      <c r="H19" s="83"/>
      <c r="I19" s="89"/>
      <c r="J19" s="5"/>
      <c r="K19" s="8"/>
      <c r="L19" s="20"/>
      <c r="N19" s="697">
        <v>14</v>
      </c>
      <c r="O19" s="698">
        <v>302.95901489257801</v>
      </c>
      <c r="P19" s="698">
        <v>338.77999390000002</v>
      </c>
      <c r="Q19" s="699">
        <v>329.68899540000001</v>
      </c>
      <c r="R19" s="703"/>
      <c r="S19" s="697">
        <v>14</v>
      </c>
      <c r="T19" s="700">
        <v>286.54100227355917</v>
      </c>
      <c r="U19" s="701">
        <v>382.58400344</v>
      </c>
      <c r="V19" s="702">
        <v>403.70400233999999</v>
      </c>
    </row>
    <row r="20" spans="1:22" ht="11.25" customHeight="1">
      <c r="A20" s="84"/>
      <c r="B20" s="205"/>
      <c r="C20" s="49"/>
      <c r="D20" s="205"/>
      <c r="E20" s="205"/>
      <c r="F20" s="88"/>
      <c r="G20" s="83"/>
      <c r="H20" s="83"/>
      <c r="I20" s="89"/>
      <c r="J20" s="5"/>
      <c r="K20" s="8"/>
      <c r="L20" s="20"/>
      <c r="N20" s="697">
        <v>15</v>
      </c>
      <c r="O20" s="698">
        <v>311.781005859375</v>
      </c>
      <c r="P20" s="698">
        <v>347.94900510000002</v>
      </c>
      <c r="Q20" s="699">
        <v>326.67999270000001</v>
      </c>
      <c r="R20" s="703"/>
      <c r="S20" s="697">
        <v>15</v>
      </c>
      <c r="T20" s="700">
        <v>288.78499984741165</v>
      </c>
      <c r="U20" s="701">
        <v>385.29699126999998</v>
      </c>
      <c r="V20" s="702">
        <v>399.27400204999998</v>
      </c>
    </row>
    <row r="21" spans="1:22" ht="11.25" customHeight="1">
      <c r="A21" s="84"/>
      <c r="B21" s="205"/>
      <c r="C21" s="49"/>
      <c r="D21" s="205"/>
      <c r="E21" s="205"/>
      <c r="F21" s="88"/>
      <c r="G21" s="83"/>
      <c r="H21" s="83"/>
      <c r="I21" s="89"/>
      <c r="J21" s="5"/>
      <c r="K21" s="9"/>
      <c r="L21" s="22"/>
      <c r="N21" s="697">
        <v>16</v>
      </c>
      <c r="O21" s="698">
        <v>320.69100952148398</v>
      </c>
      <c r="P21" s="698">
        <v>354.11401369999999</v>
      </c>
      <c r="Q21" s="699">
        <v>314.7409973</v>
      </c>
      <c r="R21" s="703"/>
      <c r="S21" s="697">
        <v>16</v>
      </c>
      <c r="T21" s="700">
        <v>293.26400000000001</v>
      </c>
      <c r="U21" s="701">
        <v>384.95899003</v>
      </c>
      <c r="V21" s="702">
        <v>394.58499913000003</v>
      </c>
    </row>
    <row r="22" spans="1:22" ht="11.25" customHeight="1">
      <c r="A22" s="97"/>
      <c r="B22" s="205"/>
      <c r="C22" s="49"/>
      <c r="D22" s="205"/>
      <c r="E22" s="205"/>
      <c r="F22" s="88"/>
      <c r="G22" s="83"/>
      <c r="H22" s="83"/>
      <c r="I22" s="89"/>
      <c r="J22" s="5"/>
      <c r="K22" s="8"/>
      <c r="L22" s="20"/>
      <c r="N22" s="697">
        <v>17</v>
      </c>
      <c r="O22" s="698">
        <v>326.67999267578102</v>
      </c>
      <c r="P22" s="698">
        <v>351.02700809999999</v>
      </c>
      <c r="Q22" s="699">
        <v>305.89001459999997</v>
      </c>
      <c r="R22" s="703"/>
      <c r="S22" s="697">
        <v>17</v>
      </c>
      <c r="T22" s="700">
        <v>292.87300071716299</v>
      </c>
      <c r="U22" s="701">
        <v>381.86699488000005</v>
      </c>
      <c r="V22" s="702">
        <v>392.29800030000007</v>
      </c>
    </row>
    <row r="23" spans="1:22" ht="11.25" customHeight="1">
      <c r="A23" s="97"/>
      <c r="B23" s="205"/>
      <c r="C23" s="49"/>
      <c r="D23" s="205"/>
      <c r="E23" s="205"/>
      <c r="F23" s="88"/>
      <c r="G23" s="83"/>
      <c r="H23" s="83"/>
      <c r="I23" s="89"/>
      <c r="J23" s="5"/>
      <c r="K23" s="8"/>
      <c r="L23" s="20"/>
      <c r="N23" s="697">
        <v>18</v>
      </c>
      <c r="O23" s="698">
        <v>314.74099731445301</v>
      </c>
      <c r="P23" s="698">
        <v>354.11401369999999</v>
      </c>
      <c r="Q23" s="699">
        <v>314.7409973</v>
      </c>
      <c r="R23" s="703"/>
      <c r="S23" s="697">
        <v>18</v>
      </c>
      <c r="T23" s="700">
        <v>289.06400012969908</v>
      </c>
      <c r="U23" s="701">
        <v>382.77999115</v>
      </c>
      <c r="V23" s="702">
        <v>390.15600400999995</v>
      </c>
    </row>
    <row r="24" spans="1:22" ht="11.25" customHeight="1">
      <c r="A24" s="97"/>
      <c r="B24" s="205"/>
      <c r="C24" s="49"/>
      <c r="D24" s="205"/>
      <c r="E24" s="205"/>
      <c r="F24" s="88"/>
      <c r="G24" s="83"/>
      <c r="H24" s="83"/>
      <c r="I24" s="89"/>
      <c r="J24" s="8"/>
      <c r="K24" s="8"/>
      <c r="L24" s="20"/>
      <c r="N24" s="697">
        <v>19</v>
      </c>
      <c r="O24" s="698">
        <v>308.829986572265</v>
      </c>
      <c r="P24" s="698">
        <v>363.43499759999997</v>
      </c>
      <c r="Q24" s="699"/>
      <c r="R24" s="703"/>
      <c r="S24" s="697">
        <v>19</v>
      </c>
      <c r="T24" s="700">
        <v>283.7310012817382</v>
      </c>
      <c r="U24" s="701">
        <v>381.91700169999996</v>
      </c>
      <c r="V24" s="702"/>
    </row>
    <row r="25" spans="1:22" ht="11.25" customHeight="1">
      <c r="A25" s="421" t="s">
        <v>602</v>
      </c>
      <c r="B25" s="205"/>
      <c r="C25" s="49"/>
      <c r="D25" s="205"/>
      <c r="E25" s="205"/>
      <c r="F25" s="88"/>
      <c r="G25" s="83"/>
      <c r="H25" s="83"/>
      <c r="I25" s="89"/>
      <c r="J25" s="5"/>
      <c r="K25" s="9"/>
      <c r="L25" s="22"/>
      <c r="N25" s="697">
        <v>20</v>
      </c>
      <c r="O25" s="698">
        <v>308.8</v>
      </c>
      <c r="P25" s="698">
        <v>366.56100459999999</v>
      </c>
      <c r="Q25" s="699"/>
      <c r="R25" s="703"/>
      <c r="S25" s="697">
        <v>20</v>
      </c>
      <c r="T25" s="700">
        <v>278.90000000000003</v>
      </c>
      <c r="U25" s="701">
        <v>379.35699083999998</v>
      </c>
      <c r="V25" s="702"/>
    </row>
    <row r="26" spans="1:22" ht="11.25" customHeight="1">
      <c r="A26" s="93"/>
      <c r="B26" s="205"/>
      <c r="C26" s="49"/>
      <c r="D26" s="205"/>
      <c r="E26" s="205"/>
      <c r="F26" s="88"/>
      <c r="G26" s="83"/>
      <c r="H26" s="83"/>
      <c r="I26" s="89"/>
      <c r="J26" s="6"/>
      <c r="K26" s="8"/>
      <c r="L26" s="20"/>
      <c r="N26" s="697">
        <v>21</v>
      </c>
      <c r="O26" s="698">
        <v>311.781005859375</v>
      </c>
      <c r="P26" s="698">
        <v>357.21099850000002</v>
      </c>
      <c r="Q26" s="699"/>
      <c r="R26" s="703"/>
      <c r="S26" s="697">
        <v>21</v>
      </c>
      <c r="T26" s="700">
        <v>274.65599975585928</v>
      </c>
      <c r="U26" s="701">
        <v>375.59600258</v>
      </c>
      <c r="V26" s="702"/>
    </row>
    <row r="27" spans="1:22" ht="11.25" customHeight="1">
      <c r="A27" s="97"/>
      <c r="B27" s="205"/>
      <c r="C27" s="49"/>
      <c r="D27" s="205"/>
      <c r="E27" s="205"/>
      <c r="F27" s="91"/>
      <c r="G27" s="91"/>
      <c r="H27" s="91"/>
      <c r="I27" s="91"/>
      <c r="J27" s="6"/>
      <c r="K27" s="8"/>
      <c r="L27" s="20"/>
      <c r="N27" s="697">
        <v>22</v>
      </c>
      <c r="O27" s="698">
        <v>314.74</v>
      </c>
      <c r="P27" s="698">
        <v>341.82</v>
      </c>
      <c r="Q27" s="699"/>
      <c r="R27" s="703"/>
      <c r="S27" s="697">
        <v>22</v>
      </c>
      <c r="T27" s="700">
        <v>269.74</v>
      </c>
      <c r="U27" s="701">
        <v>373.52000000000004</v>
      </c>
      <c r="V27" s="702"/>
    </row>
    <row r="28" spans="1:22" ht="11.25" customHeight="1">
      <c r="A28" s="97"/>
      <c r="B28" s="205"/>
      <c r="C28" s="49"/>
      <c r="D28" s="205"/>
      <c r="E28" s="205"/>
      <c r="F28" s="91"/>
      <c r="G28" s="91"/>
      <c r="H28" s="91"/>
      <c r="I28" s="91"/>
      <c r="J28" s="6"/>
      <c r="K28" s="8"/>
      <c r="L28" s="20"/>
      <c r="N28" s="697">
        <v>23</v>
      </c>
      <c r="O28" s="698">
        <v>308.83</v>
      </c>
      <c r="P28" s="698">
        <v>326.67999270000001</v>
      </c>
      <c r="Q28" s="699"/>
      <c r="R28" s="703"/>
      <c r="S28" s="697">
        <v>23</v>
      </c>
      <c r="T28" s="700">
        <v>265.4609997</v>
      </c>
      <c r="U28" s="701">
        <v>369.22100255000004</v>
      </c>
      <c r="V28" s="702"/>
    </row>
    <row r="29" spans="1:22" ht="11.25" customHeight="1">
      <c r="A29" s="97"/>
      <c r="B29" s="205"/>
      <c r="C29" s="49"/>
      <c r="D29" s="205"/>
      <c r="E29" s="205"/>
      <c r="F29" s="91"/>
      <c r="G29" s="91"/>
      <c r="H29" s="91"/>
      <c r="I29" s="91"/>
      <c r="J29" s="6"/>
      <c r="K29" s="8"/>
      <c r="L29" s="20"/>
      <c r="N29" s="697">
        <v>24</v>
      </c>
      <c r="O29" s="698">
        <v>300.04000000000002</v>
      </c>
      <c r="P29" s="698">
        <v>308.82998659999998</v>
      </c>
      <c r="Q29" s="699"/>
      <c r="R29" s="703"/>
      <c r="S29" s="697">
        <v>24</v>
      </c>
      <c r="T29" s="700">
        <v>261.10000000000002</v>
      </c>
      <c r="U29" s="701">
        <v>364.44200138999997</v>
      </c>
      <c r="V29" s="702"/>
    </row>
    <row r="30" spans="1:22" ht="11.25" customHeight="1">
      <c r="A30" s="92"/>
      <c r="B30" s="91"/>
      <c r="C30" s="91"/>
      <c r="D30" s="91"/>
      <c r="E30" s="91"/>
      <c r="F30" s="91"/>
      <c r="G30" s="91"/>
      <c r="H30" s="91"/>
      <c r="I30" s="91"/>
      <c r="J30" s="5"/>
      <c r="K30" s="8"/>
      <c r="L30" s="20"/>
      <c r="N30" s="697">
        <v>25</v>
      </c>
      <c r="O30" s="698">
        <v>282.71701050000001</v>
      </c>
      <c r="P30" s="698">
        <v>291.33300780000002</v>
      </c>
      <c r="Q30" s="699"/>
      <c r="R30" s="703"/>
      <c r="S30" s="697">
        <v>25</v>
      </c>
      <c r="T30" s="700">
        <v>256.25999989000002</v>
      </c>
      <c r="U30" s="701">
        <v>359.61999897999999</v>
      </c>
      <c r="V30" s="702"/>
    </row>
    <row r="31" spans="1:22" ht="11.25" customHeight="1">
      <c r="A31" s="92"/>
      <c r="B31" s="91"/>
      <c r="C31" s="91"/>
      <c r="D31" s="91"/>
      <c r="E31" s="91"/>
      <c r="F31" s="91"/>
      <c r="G31" s="91"/>
      <c r="H31" s="91"/>
      <c r="I31" s="91"/>
      <c r="J31" s="5"/>
      <c r="K31" s="8"/>
      <c r="L31" s="20"/>
      <c r="N31" s="697">
        <v>26</v>
      </c>
      <c r="O31" s="698">
        <v>262.95300292968699</v>
      </c>
      <c r="P31" s="698">
        <v>268.55099489999998</v>
      </c>
      <c r="Q31" s="699"/>
      <c r="R31" s="703"/>
      <c r="S31" s="697">
        <v>26</v>
      </c>
      <c r="T31" s="700">
        <v>252.54899978637627</v>
      </c>
      <c r="U31" s="701">
        <v>354.77499773999995</v>
      </c>
      <c r="V31" s="702"/>
    </row>
    <row r="32" spans="1:22" ht="11.25" customHeight="1">
      <c r="A32" s="92"/>
      <c r="B32" s="91"/>
      <c r="C32" s="91"/>
      <c r="D32" s="91"/>
      <c r="E32" s="91"/>
      <c r="F32" s="91"/>
      <c r="G32" s="91"/>
      <c r="H32" s="91"/>
      <c r="I32" s="91"/>
      <c r="J32" s="5"/>
      <c r="K32" s="8"/>
      <c r="L32" s="20"/>
      <c r="N32" s="697">
        <v>27</v>
      </c>
      <c r="O32" s="698">
        <v>254.63000489999999</v>
      </c>
      <c r="P32" s="698">
        <v>265.7470093</v>
      </c>
      <c r="Q32" s="699"/>
      <c r="R32" s="703"/>
      <c r="S32" s="697">
        <v>27</v>
      </c>
      <c r="T32" s="700">
        <v>248.26700022</v>
      </c>
      <c r="U32" s="701">
        <v>349.77999684000002</v>
      </c>
      <c r="V32" s="702"/>
    </row>
    <row r="33" spans="1:22" ht="11.25" customHeight="1">
      <c r="A33" s="92"/>
      <c r="B33" s="91"/>
      <c r="C33" s="91"/>
      <c r="D33" s="91"/>
      <c r="E33" s="91"/>
      <c r="F33" s="91"/>
      <c r="G33" s="91"/>
      <c r="H33" s="91"/>
      <c r="I33" s="91"/>
      <c r="J33" s="5"/>
      <c r="K33" s="8"/>
      <c r="L33" s="20"/>
      <c r="N33" s="697">
        <v>28</v>
      </c>
      <c r="O33" s="698">
        <v>240.9539948</v>
      </c>
      <c r="P33" s="704">
        <v>243.66999820000001</v>
      </c>
      <c r="Q33" s="699"/>
      <c r="R33" s="703"/>
      <c r="S33" s="697">
        <v>28</v>
      </c>
      <c r="T33" s="700">
        <v>243.86400222</v>
      </c>
      <c r="U33" s="701">
        <v>344.32400322999996</v>
      </c>
      <c r="V33" s="702"/>
    </row>
    <row r="34" spans="1:22" ht="11.25" customHeight="1">
      <c r="A34" s="92"/>
      <c r="B34" s="91"/>
      <c r="C34" s="91"/>
      <c r="D34" s="91"/>
      <c r="E34" s="91"/>
      <c r="F34" s="91"/>
      <c r="G34" s="91"/>
      <c r="H34" s="91"/>
      <c r="I34" s="91"/>
      <c r="J34" s="5"/>
      <c r="K34" s="8"/>
      <c r="L34" s="20"/>
      <c r="N34" s="697">
        <v>29</v>
      </c>
      <c r="O34" s="698">
        <v>227.5220032</v>
      </c>
      <c r="P34" s="698">
        <v>227.5220032</v>
      </c>
      <c r="Q34" s="699"/>
      <c r="R34" s="703"/>
      <c r="S34" s="697">
        <v>29</v>
      </c>
      <c r="T34" s="700">
        <v>239.07999988</v>
      </c>
      <c r="U34" s="701">
        <v>338.60699847999996</v>
      </c>
      <c r="V34" s="702"/>
    </row>
    <row r="35" spans="1:22" ht="11.25" customHeight="1">
      <c r="A35" s="92"/>
      <c r="B35" s="91"/>
      <c r="C35" s="91"/>
      <c r="D35" s="91"/>
      <c r="E35" s="91"/>
      <c r="F35" s="91"/>
      <c r="G35" s="91"/>
      <c r="H35" s="91"/>
      <c r="I35" s="91"/>
      <c r="J35" s="8"/>
      <c r="K35" s="8"/>
      <c r="L35" s="20"/>
      <c r="N35" s="697">
        <v>30</v>
      </c>
      <c r="O35" s="698">
        <v>216.95199584960901</v>
      </c>
      <c r="P35" s="698">
        <v>216.95199579999999</v>
      </c>
      <c r="Q35" s="699"/>
      <c r="R35" s="703"/>
      <c r="S35" s="697">
        <v>30</v>
      </c>
      <c r="T35" s="700">
        <v>234.2539968490598</v>
      </c>
      <c r="U35" s="701">
        <v>332.49400331000004</v>
      </c>
      <c r="V35" s="702"/>
    </row>
    <row r="36" spans="1:22" ht="11.25" customHeight="1">
      <c r="A36" s="92"/>
      <c r="B36" s="91"/>
      <c r="C36" s="91"/>
      <c r="D36" s="91"/>
      <c r="E36" s="91"/>
      <c r="F36" s="91"/>
      <c r="G36" s="91"/>
      <c r="H36" s="91"/>
      <c r="I36" s="91"/>
      <c r="J36" s="5"/>
      <c r="K36" s="8"/>
      <c r="L36" s="20"/>
      <c r="N36" s="697">
        <v>31</v>
      </c>
      <c r="O36" s="698">
        <v>216.95199579999999</v>
      </c>
      <c r="P36" s="698">
        <v>209.128006</v>
      </c>
      <c r="Q36" s="699"/>
      <c r="R36" s="703"/>
      <c r="S36" s="697">
        <v>31</v>
      </c>
      <c r="T36" s="700">
        <v>229.68000125999998</v>
      </c>
      <c r="U36" s="701">
        <v>324</v>
      </c>
      <c r="V36" s="702"/>
    </row>
    <row r="37" spans="1:22" ht="11.25" customHeight="1">
      <c r="A37" s="92"/>
      <c r="B37" s="91"/>
      <c r="C37" s="91"/>
      <c r="D37" s="91"/>
      <c r="E37" s="91"/>
      <c r="F37" s="91"/>
      <c r="G37" s="91"/>
      <c r="H37" s="91"/>
      <c r="I37" s="91"/>
      <c r="J37" s="5"/>
      <c r="K37" s="13"/>
      <c r="L37" s="20"/>
      <c r="N37" s="697">
        <v>32</v>
      </c>
      <c r="O37" s="698">
        <v>201.39199830000001</v>
      </c>
      <c r="P37" s="698">
        <v>198.83200070000001</v>
      </c>
      <c r="Q37" s="699"/>
      <c r="R37" s="703"/>
      <c r="S37" s="697">
        <v>32</v>
      </c>
      <c r="T37" s="700">
        <v>224.73799990999998</v>
      </c>
      <c r="U37" s="701">
        <v>320.73399734000003</v>
      </c>
      <c r="V37" s="702"/>
    </row>
    <row r="38" spans="1:22" ht="11.25" customHeight="1">
      <c r="A38" s="92"/>
      <c r="B38" s="91"/>
      <c r="C38" s="91"/>
      <c r="D38" s="91"/>
      <c r="E38" s="91"/>
      <c r="F38" s="91"/>
      <c r="G38" s="91"/>
      <c r="H38" s="91"/>
      <c r="I38" s="91"/>
      <c r="J38" s="5"/>
      <c r="K38" s="13"/>
      <c r="L38" s="48"/>
      <c r="N38" s="697">
        <v>33</v>
      </c>
      <c r="O38" s="698">
        <v>193.74299621582</v>
      </c>
      <c r="P38" s="698">
        <v>188.69299319999999</v>
      </c>
      <c r="Q38" s="699"/>
      <c r="R38" s="703"/>
      <c r="S38" s="697">
        <v>33</v>
      </c>
      <c r="T38" s="700">
        <v>219.00299835205058</v>
      </c>
      <c r="U38" s="701">
        <v>314.19900131999998</v>
      </c>
      <c r="V38" s="702"/>
    </row>
    <row r="39" spans="1:22" ht="11.25" customHeight="1">
      <c r="A39" s="92"/>
      <c r="B39" s="91"/>
      <c r="C39" s="91"/>
      <c r="D39" s="91"/>
      <c r="E39" s="91"/>
      <c r="F39" s="91"/>
      <c r="G39" s="91"/>
      <c r="H39" s="91"/>
      <c r="I39" s="91"/>
      <c r="J39" s="5"/>
      <c r="K39" s="9"/>
      <c r="L39" s="20"/>
      <c r="N39" s="697">
        <v>34</v>
      </c>
      <c r="O39" s="698">
        <v>181.19200129999999</v>
      </c>
      <c r="P39" s="698">
        <v>183.68200680000001</v>
      </c>
      <c r="Q39" s="699"/>
      <c r="R39" s="703"/>
      <c r="S39" s="697">
        <v>34</v>
      </c>
      <c r="T39" s="700">
        <v>214.38699817</v>
      </c>
      <c r="U39" s="701">
        <v>307.85200500000002</v>
      </c>
      <c r="V39" s="702"/>
    </row>
    <row r="40" spans="1:22" ht="11.25" customHeight="1">
      <c r="A40" s="92"/>
      <c r="B40" s="91"/>
      <c r="C40" s="91"/>
      <c r="D40" s="91"/>
      <c r="E40" s="91"/>
      <c r="F40" s="91"/>
      <c r="G40" s="91"/>
      <c r="H40" s="91"/>
      <c r="I40" s="91"/>
      <c r="J40" s="5"/>
      <c r="K40" s="9"/>
      <c r="L40" s="20"/>
      <c r="N40" s="697">
        <v>35</v>
      </c>
      <c r="O40" s="698">
        <v>171.32600400000001</v>
      </c>
      <c r="P40" s="705">
        <v>176.23899840000001</v>
      </c>
      <c r="Q40" s="699"/>
      <c r="R40" s="703"/>
      <c r="S40" s="697">
        <v>35</v>
      </c>
      <c r="T40" s="700">
        <v>208.95000171000001</v>
      </c>
      <c r="U40" s="701">
        <v>300.83900069999999</v>
      </c>
      <c r="V40" s="702"/>
    </row>
    <row r="41" spans="1:22" ht="11.25" customHeight="1">
      <c r="A41" s="92"/>
      <c r="B41" s="91"/>
      <c r="C41" s="91"/>
      <c r="D41" s="91"/>
      <c r="E41" s="91"/>
      <c r="F41" s="91"/>
      <c r="G41" s="91"/>
      <c r="H41" s="91"/>
      <c r="I41" s="91"/>
      <c r="J41" s="5"/>
      <c r="K41" s="9"/>
      <c r="L41" s="20"/>
      <c r="N41" s="697">
        <v>36</v>
      </c>
      <c r="O41" s="698">
        <v>164.02999879999999</v>
      </c>
      <c r="P41" s="705">
        <v>168.8840027</v>
      </c>
      <c r="Q41" s="699"/>
      <c r="R41" s="703"/>
      <c r="S41" s="697">
        <v>36</v>
      </c>
      <c r="T41" s="700">
        <v>202.97300145000003</v>
      </c>
      <c r="U41" s="701">
        <v>293.46100233999999</v>
      </c>
      <c r="V41" s="702"/>
    </row>
    <row r="42" spans="1:22" ht="11.25" customHeight="1">
      <c r="A42" s="92"/>
      <c r="B42" s="91"/>
      <c r="C42" s="91"/>
      <c r="D42" s="91"/>
      <c r="E42" s="91"/>
      <c r="F42" s="91"/>
      <c r="G42" s="91"/>
      <c r="H42" s="91"/>
      <c r="I42" s="91"/>
      <c r="J42" s="8"/>
      <c r="K42" s="13"/>
      <c r="L42" s="20"/>
      <c r="N42" s="697">
        <v>37</v>
      </c>
      <c r="O42" s="698">
        <v>147.34800720000001</v>
      </c>
      <c r="P42" s="705">
        <v>159.2149963</v>
      </c>
      <c r="Q42" s="699"/>
      <c r="R42" s="703"/>
      <c r="S42" s="697">
        <v>37</v>
      </c>
      <c r="T42" s="700">
        <v>196.95000080099999</v>
      </c>
      <c r="U42" s="701">
        <v>287.76599501999999</v>
      </c>
      <c r="V42" s="702"/>
    </row>
    <row r="43" spans="1:22" ht="11.25" customHeight="1">
      <c r="A43" s="92"/>
      <c r="B43" s="91"/>
      <c r="C43" s="91"/>
      <c r="D43" s="91"/>
      <c r="E43" s="91"/>
      <c r="F43" s="91"/>
      <c r="G43" s="91"/>
      <c r="H43" s="91"/>
      <c r="I43" s="91"/>
      <c r="J43" s="5"/>
      <c r="K43" s="13"/>
      <c r="L43" s="20"/>
      <c r="N43" s="697">
        <v>38</v>
      </c>
      <c r="O43" s="698">
        <v>131.14500430000001</v>
      </c>
      <c r="P43" s="705">
        <v>149.70199579999999</v>
      </c>
      <c r="Q43" s="699"/>
      <c r="R43" s="703"/>
      <c r="S43" s="697">
        <v>38</v>
      </c>
      <c r="T43" s="700">
        <v>190.78400421900002</v>
      </c>
      <c r="U43" s="701">
        <v>282.07300377000001</v>
      </c>
      <c r="V43" s="702"/>
    </row>
    <row r="44" spans="1:22" ht="11.25" customHeight="1">
      <c r="A44" s="92"/>
      <c r="B44" s="91"/>
      <c r="C44" s="91"/>
      <c r="D44" s="91"/>
      <c r="E44" s="91"/>
      <c r="F44" s="91"/>
      <c r="G44" s="91"/>
      <c r="H44" s="91"/>
      <c r="I44" s="91"/>
      <c r="J44" s="5"/>
      <c r="K44" s="13"/>
      <c r="L44" s="20"/>
      <c r="N44" s="697">
        <v>39</v>
      </c>
      <c r="O44" s="698">
        <v>119.8639984</v>
      </c>
      <c r="P44" s="705">
        <v>138.02999879999999</v>
      </c>
      <c r="Q44" s="699"/>
      <c r="R44" s="703"/>
      <c r="S44" s="697">
        <v>39</v>
      </c>
      <c r="T44" s="700">
        <v>184.44099947499998</v>
      </c>
      <c r="U44" s="701">
        <v>275.53000069000001</v>
      </c>
      <c r="V44" s="702"/>
    </row>
    <row r="45" spans="1:22" ht="11.25" customHeight="1">
      <c r="A45" s="92"/>
      <c r="B45" s="91"/>
      <c r="C45" s="91"/>
      <c r="D45" s="91"/>
      <c r="E45" s="91"/>
      <c r="F45" s="91"/>
      <c r="G45" s="91"/>
      <c r="H45" s="91"/>
      <c r="I45" s="91"/>
      <c r="J45" s="15"/>
      <c r="K45" s="15"/>
      <c r="L45" s="15"/>
      <c r="N45" s="697">
        <v>40</v>
      </c>
      <c r="O45" s="698">
        <v>119.8639984</v>
      </c>
      <c r="P45" s="698">
        <v>131.14500430000001</v>
      </c>
      <c r="Q45" s="699"/>
      <c r="R45" s="703"/>
      <c r="S45" s="697">
        <v>40</v>
      </c>
      <c r="T45" s="700">
        <v>177.93399906500002</v>
      </c>
      <c r="U45" s="701">
        <v>268.25699615000002</v>
      </c>
      <c r="V45" s="702"/>
    </row>
    <row r="46" spans="1:22" ht="11.25" customHeight="1">
      <c r="A46" s="92"/>
      <c r="B46" s="91"/>
      <c r="C46" s="91"/>
      <c r="D46" s="91"/>
      <c r="E46" s="91"/>
      <c r="F46" s="91"/>
      <c r="G46" s="91"/>
      <c r="H46" s="91"/>
      <c r="I46" s="91"/>
      <c r="J46" s="14"/>
      <c r="K46" s="14"/>
      <c r="L46" s="14"/>
      <c r="N46" s="697">
        <v>41</v>
      </c>
      <c r="O46" s="698">
        <v>113.213996887207</v>
      </c>
      <c r="P46" s="698">
        <v>108.82900239999999</v>
      </c>
      <c r="Q46" s="699"/>
      <c r="R46" s="703"/>
      <c r="S46" s="697">
        <v>41</v>
      </c>
      <c r="T46" s="700">
        <v>171.68900227546672</v>
      </c>
      <c r="U46" s="701">
        <v>261.21399689000003</v>
      </c>
      <c r="V46" s="702"/>
    </row>
    <row r="47" spans="1:22" ht="11.25" customHeight="1">
      <c r="A47" s="92"/>
      <c r="B47" s="91"/>
      <c r="C47" s="91"/>
      <c r="D47" s="91"/>
      <c r="E47" s="91"/>
      <c r="F47" s="91"/>
      <c r="G47" s="91"/>
      <c r="H47" s="91"/>
      <c r="I47" s="91"/>
      <c r="J47" s="14"/>
      <c r="K47" s="14"/>
      <c r="L47" s="14"/>
      <c r="N47" s="697">
        <v>42</v>
      </c>
      <c r="O47" s="698">
        <v>100.1760025</v>
      </c>
      <c r="P47" s="698">
        <v>95.908996579999993</v>
      </c>
      <c r="Q47" s="699"/>
      <c r="R47" s="703"/>
      <c r="S47" s="697">
        <v>42</v>
      </c>
      <c r="T47" s="700">
        <v>165.69499874400003</v>
      </c>
      <c r="U47" s="701">
        <v>255.58900451</v>
      </c>
      <c r="V47" s="702"/>
    </row>
    <row r="48" spans="1:22" ht="11.25" customHeight="1">
      <c r="A48" s="92"/>
      <c r="B48" s="91"/>
      <c r="C48" s="91"/>
      <c r="D48" s="91"/>
      <c r="E48" s="91"/>
      <c r="F48" s="91"/>
      <c r="G48" s="91"/>
      <c r="H48" s="91"/>
      <c r="I48" s="91"/>
      <c r="J48" s="14"/>
      <c r="K48" s="14"/>
      <c r="L48" s="14"/>
      <c r="N48" s="697">
        <v>43</v>
      </c>
      <c r="O48" s="698">
        <v>89.581001279999995</v>
      </c>
      <c r="P48" s="698">
        <v>83.341003420000007</v>
      </c>
      <c r="Q48" s="699"/>
      <c r="R48" s="703"/>
      <c r="S48" s="697">
        <v>43</v>
      </c>
      <c r="T48" s="700">
        <v>160.397996525</v>
      </c>
      <c r="U48" s="701">
        <v>249.85500335</v>
      </c>
      <c r="V48" s="702"/>
    </row>
    <row r="49" spans="1:22" ht="11.25" customHeight="1">
      <c r="A49" s="92"/>
      <c r="B49" s="91"/>
      <c r="C49" s="91"/>
      <c r="D49" s="91"/>
      <c r="E49" s="91"/>
      <c r="F49" s="91"/>
      <c r="G49" s="91"/>
      <c r="H49" s="91"/>
      <c r="I49" s="91"/>
      <c r="J49" s="14"/>
      <c r="K49" s="14"/>
      <c r="L49" s="14"/>
      <c r="N49" s="697">
        <v>44</v>
      </c>
      <c r="O49" s="698">
        <v>75.156997680000003</v>
      </c>
      <c r="P49" s="698">
        <v>75.16</v>
      </c>
      <c r="Q49" s="699"/>
      <c r="R49" s="703"/>
      <c r="S49" s="697">
        <v>44</v>
      </c>
      <c r="T49" s="700">
        <v>154.79199918699999</v>
      </c>
      <c r="U49" s="701">
        <v>242.79000000000002</v>
      </c>
      <c r="V49" s="702"/>
    </row>
    <row r="50" spans="1:22" ht="12.75">
      <c r="A50" s="92"/>
      <c r="B50" s="91"/>
      <c r="C50" s="91"/>
      <c r="D50" s="91"/>
      <c r="E50" s="91"/>
      <c r="F50" s="91"/>
      <c r="G50" s="91"/>
      <c r="H50" s="91"/>
      <c r="I50" s="91"/>
      <c r="J50" s="14"/>
      <c r="K50" s="14"/>
      <c r="L50" s="14"/>
      <c r="N50" s="697">
        <v>45</v>
      </c>
      <c r="O50" s="698">
        <v>61.2140007</v>
      </c>
      <c r="P50" s="698">
        <v>65.149002080000002</v>
      </c>
      <c r="Q50" s="699"/>
      <c r="R50" s="703"/>
      <c r="S50" s="697">
        <v>45</v>
      </c>
      <c r="T50" s="700">
        <v>149.715000041</v>
      </c>
      <c r="U50" s="701">
        <v>235.60499572000001</v>
      </c>
      <c r="V50" s="702"/>
    </row>
    <row r="51" spans="1:22" ht="12.75">
      <c r="A51" s="92"/>
      <c r="B51" s="91"/>
      <c r="C51" s="91"/>
      <c r="D51" s="91"/>
      <c r="E51" s="91"/>
      <c r="F51" s="91"/>
      <c r="G51" s="91"/>
      <c r="H51" s="91"/>
      <c r="I51" s="91"/>
      <c r="J51" s="14"/>
      <c r="K51" s="14"/>
      <c r="L51" s="14"/>
      <c r="N51" s="697">
        <v>46</v>
      </c>
      <c r="O51" s="698">
        <v>43.990001679999999</v>
      </c>
      <c r="P51" s="698">
        <v>47.749000549999998</v>
      </c>
      <c r="Q51" s="699"/>
      <c r="R51" s="703"/>
      <c r="S51" s="697">
        <v>46</v>
      </c>
      <c r="T51" s="700">
        <v>144.11800040400001</v>
      </c>
      <c r="U51" s="701">
        <v>230.54900361099999</v>
      </c>
      <c r="V51" s="702"/>
    </row>
    <row r="52" spans="1:22" ht="12.75">
      <c r="A52" s="92"/>
      <c r="B52" s="91"/>
      <c r="C52" s="91"/>
      <c r="D52" s="91"/>
      <c r="E52" s="91"/>
      <c r="F52" s="91"/>
      <c r="G52" s="91"/>
      <c r="H52" s="91"/>
      <c r="I52" s="91"/>
      <c r="J52" s="14"/>
      <c r="K52" s="14"/>
      <c r="L52" s="14"/>
      <c r="N52" s="697">
        <v>47</v>
      </c>
      <c r="O52" s="698">
        <v>25.781999590000002</v>
      </c>
      <c r="P52" s="698">
        <v>34.763999939999998</v>
      </c>
      <c r="Q52" s="699"/>
      <c r="R52" s="703"/>
      <c r="S52" s="697">
        <v>47</v>
      </c>
      <c r="T52" s="700">
        <v>138.82499813000001</v>
      </c>
      <c r="U52" s="701">
        <v>223.60000467499998</v>
      </c>
      <c r="V52" s="702"/>
    </row>
    <row r="53" spans="1:22" ht="12.75">
      <c r="A53" s="92"/>
      <c r="B53" s="91"/>
      <c r="C53" s="91"/>
      <c r="D53" s="91"/>
      <c r="E53" s="91"/>
      <c r="F53" s="91"/>
      <c r="G53" s="91"/>
      <c r="H53" s="91"/>
      <c r="I53" s="91"/>
      <c r="J53" s="14"/>
      <c r="K53" s="14"/>
      <c r="L53" s="14"/>
      <c r="N53" s="697">
        <v>48</v>
      </c>
      <c r="O53" s="698">
        <v>29.344999309999999</v>
      </c>
      <c r="P53" s="698">
        <v>13.618000029999999</v>
      </c>
      <c r="Q53" s="699"/>
      <c r="R53" s="703"/>
      <c r="S53" s="697">
        <v>48</v>
      </c>
      <c r="T53" s="700">
        <v>133.112998957</v>
      </c>
      <c r="U53" s="701">
        <v>217.17600035300001</v>
      </c>
      <c r="V53" s="702"/>
    </row>
    <row r="54" spans="1:22" ht="13.5">
      <c r="A54" s="92"/>
      <c r="B54" s="91"/>
      <c r="C54" s="91"/>
      <c r="D54" s="91"/>
      <c r="E54" s="91"/>
      <c r="F54" s="91"/>
      <c r="G54" s="91"/>
      <c r="H54" s="91"/>
      <c r="I54" s="91"/>
      <c r="J54" s="14"/>
      <c r="K54" s="14"/>
      <c r="L54" s="14"/>
      <c r="N54" s="697">
        <v>49</v>
      </c>
      <c r="O54" s="706">
        <v>34.763999939999998</v>
      </c>
      <c r="P54" s="698">
        <v>8.5520000459999999</v>
      </c>
      <c r="Q54" s="699"/>
      <c r="R54" s="703"/>
      <c r="S54" s="697">
        <v>49</v>
      </c>
      <c r="T54" s="700">
        <v>128.370002666</v>
      </c>
      <c r="U54" s="701">
        <v>210.45100211699997</v>
      </c>
      <c r="V54" s="702"/>
    </row>
    <row r="55" spans="1:22" ht="12.75">
      <c r="A55" s="92"/>
      <c r="B55" s="91"/>
      <c r="C55" s="91"/>
      <c r="D55" s="91"/>
      <c r="E55" s="91"/>
      <c r="F55" s="91"/>
      <c r="G55" s="91"/>
      <c r="H55" s="91"/>
      <c r="I55" s="91"/>
      <c r="J55" s="14"/>
      <c r="K55" s="14"/>
      <c r="L55" s="14"/>
      <c r="N55" s="697">
        <v>50</v>
      </c>
      <c r="O55" s="698">
        <v>32.948001859999998</v>
      </c>
      <c r="P55" s="698">
        <v>13.618000029999999</v>
      </c>
      <c r="Q55" s="699"/>
      <c r="R55" s="703"/>
      <c r="S55" s="697">
        <v>50</v>
      </c>
      <c r="T55" s="700">
        <v>122.71499820000001</v>
      </c>
      <c r="U55" s="701">
        <v>203.37099885499998</v>
      </c>
      <c r="V55" s="702"/>
    </row>
    <row r="56" spans="1:22" ht="12.75">
      <c r="A56" s="92"/>
      <c r="B56" s="91"/>
      <c r="C56" s="91"/>
      <c r="D56" s="91"/>
      <c r="E56" s="91"/>
      <c r="F56" s="91"/>
      <c r="G56" s="91"/>
      <c r="H56" s="91"/>
      <c r="I56" s="91"/>
      <c r="J56" s="14"/>
      <c r="K56" s="14"/>
      <c r="L56" s="14"/>
      <c r="N56" s="697">
        <v>51</v>
      </c>
      <c r="O56" s="698">
        <v>25.781999590000002</v>
      </c>
      <c r="P56" s="698">
        <v>18.771999359999999</v>
      </c>
      <c r="Q56" s="699"/>
      <c r="R56" s="703"/>
      <c r="S56" s="697">
        <v>51</v>
      </c>
      <c r="T56" s="700">
        <v>120.15600296300001</v>
      </c>
      <c r="U56" s="701">
        <v>202.35899971500001</v>
      </c>
      <c r="V56" s="702"/>
    </row>
    <row r="57" spans="1:22" ht="12.75">
      <c r="A57" s="92"/>
      <c r="B57" s="91"/>
      <c r="C57" s="91"/>
      <c r="D57" s="91"/>
      <c r="E57" s="91"/>
      <c r="F57" s="91"/>
      <c r="G57" s="91"/>
      <c r="H57" s="91"/>
      <c r="I57" s="91"/>
      <c r="N57" s="697">
        <v>52</v>
      </c>
      <c r="O57" s="698">
        <v>22.256999969999999</v>
      </c>
      <c r="P57" s="698">
        <v>25.781999590000002</v>
      </c>
      <c r="Q57" s="699"/>
      <c r="R57" s="703"/>
      <c r="S57" s="697">
        <v>52</v>
      </c>
      <c r="T57" s="700">
        <v>116.12899696700001</v>
      </c>
      <c r="U57" s="701">
        <v>201.25199794899999</v>
      </c>
      <c r="V57" s="702"/>
    </row>
    <row r="58" spans="1:22" ht="12.75">
      <c r="A58" s="92"/>
      <c r="B58" s="91"/>
      <c r="C58" s="91"/>
      <c r="D58" s="91"/>
      <c r="E58" s="91"/>
      <c r="F58" s="91"/>
      <c r="G58" s="91"/>
      <c r="H58" s="91"/>
      <c r="I58" s="91"/>
      <c r="N58" s="697">
        <v>53</v>
      </c>
      <c r="O58" s="703"/>
      <c r="P58" s="703"/>
      <c r="Q58" s="703"/>
      <c r="R58" s="703"/>
      <c r="S58" s="697">
        <v>53</v>
      </c>
      <c r="T58" s="700"/>
      <c r="U58" s="701"/>
      <c r="V58" s="702"/>
    </row>
    <row r="59" spans="1:22" ht="12.75">
      <c r="B59" s="91"/>
      <c r="C59" s="91"/>
      <c r="D59" s="91"/>
      <c r="E59" s="91"/>
      <c r="F59" s="91"/>
      <c r="G59" s="91"/>
      <c r="H59" s="91"/>
      <c r="I59" s="91"/>
      <c r="N59" s="694"/>
      <c r="O59" s="694"/>
      <c r="P59" s="694"/>
      <c r="Q59" s="694"/>
      <c r="R59" s="694"/>
      <c r="S59" s="694"/>
      <c r="T59" s="694"/>
      <c r="U59" s="694"/>
      <c r="V59" s="694"/>
    </row>
    <row r="60" spans="1:22" ht="12.75">
      <c r="A60" s="92"/>
      <c r="B60" s="91"/>
      <c r="C60" s="91"/>
      <c r="D60" s="91"/>
      <c r="E60" s="91"/>
      <c r="F60" s="91"/>
      <c r="G60" s="91"/>
      <c r="H60" s="91"/>
      <c r="I60" s="91"/>
    </row>
    <row r="63" spans="1:22">
      <c r="A63" s="421" t="s">
        <v>603</v>
      </c>
    </row>
  </sheetData>
  <mergeCells count="2">
    <mergeCell ref="A5:I5"/>
    <mergeCell ref="B7:C7"/>
  </mergeCells>
  <pageMargins left="0.7" right="0.7" top="0.86956521739130432" bottom="0.61458333333333337" header="0.3" footer="0.3"/>
  <pageSetup orientation="portrait" r:id="rId1"/>
  <headerFooter>
    <oddHeader>&amp;R&amp;7Informe de la Operación Mensual - Marzo 2018
INFSGI-MES-03-2018
10/04/2018
Versión: 01</oddHeader>
    <oddFooter>&amp;L&amp;7COES SINAC, 2018
&amp;C11&amp;R&amp;7Dirección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5FBB4-F1D1-463D-A28B-736887416DC4}">
  <sheetPr>
    <tabColor theme="4"/>
  </sheetPr>
  <dimension ref="A1:S126"/>
  <sheetViews>
    <sheetView showGridLines="0" view="pageBreakPreview" zoomScale="145" zoomScaleNormal="100" zoomScaleSheetLayoutView="145" zoomScalePageLayoutView="130" workbookViewId="0">
      <selection activeCell="P17" sqref="P17"/>
    </sheetView>
  </sheetViews>
  <sheetFormatPr defaultRowHeight="11.25"/>
  <cols>
    <col min="1" max="2" width="9.33203125" style="3"/>
    <col min="3" max="3" width="28.5" style="3" customWidth="1"/>
    <col min="4" max="5" width="12" style="3" customWidth="1"/>
    <col min="6" max="6" width="12.33203125" style="3" customWidth="1"/>
    <col min="7" max="7" width="9.33203125" style="3"/>
    <col min="8" max="9" width="9.33203125" style="3" customWidth="1"/>
    <col min="10" max="10" width="9.33203125" style="540"/>
    <col min="11" max="11" width="9.33203125" style="579"/>
    <col min="12" max="12" width="3.1640625" style="580" bestFit="1" customWidth="1"/>
    <col min="13" max="19" width="9.33203125" style="579"/>
    <col min="20" max="16384" width="9.33203125" style="3"/>
  </cols>
  <sheetData>
    <row r="1" spans="1:15" ht="11.25" customHeight="1"/>
    <row r="2" spans="1:15" ht="11.25" customHeight="1">
      <c r="A2" s="25"/>
      <c r="B2" s="25"/>
      <c r="C2" s="25"/>
      <c r="D2" s="25"/>
      <c r="E2" s="91"/>
      <c r="F2" s="91"/>
      <c r="G2" s="91"/>
    </row>
    <row r="3" spans="1:15" ht="17.25" customHeight="1">
      <c r="A3" s="931" t="s">
        <v>514</v>
      </c>
      <c r="B3" s="931"/>
      <c r="C3" s="931"/>
      <c r="D3" s="931"/>
      <c r="E3" s="931"/>
      <c r="F3" s="931"/>
      <c r="G3" s="931"/>
      <c r="H3" s="45"/>
      <c r="I3" s="45"/>
      <c r="K3" s="579" t="s">
        <v>309</v>
      </c>
      <c r="M3" s="579" t="s">
        <v>310</v>
      </c>
      <c r="N3" s="579" t="s">
        <v>311</v>
      </c>
      <c r="O3" s="579" t="s">
        <v>312</v>
      </c>
    </row>
    <row r="4" spans="1:15" ht="11.25" customHeight="1">
      <c r="A4" s="92"/>
      <c r="B4" s="91"/>
      <c r="C4" s="91"/>
      <c r="D4" s="91"/>
      <c r="E4" s="91"/>
      <c r="F4" s="91"/>
      <c r="G4" s="91"/>
      <c r="H4" s="45"/>
      <c r="I4" s="45"/>
      <c r="J4" s="540">
        <v>2016</v>
      </c>
      <c r="K4" s="579">
        <v>1</v>
      </c>
      <c r="L4" s="580">
        <v>1</v>
      </c>
      <c r="M4" s="581">
        <v>40.61</v>
      </c>
      <c r="N4" s="581">
        <v>96.75</v>
      </c>
      <c r="O4" s="581">
        <v>16.37</v>
      </c>
    </row>
    <row r="5" spans="1:15" ht="11.25" customHeight="1">
      <c r="A5" s="92"/>
      <c r="B5" s="91"/>
      <c r="C5" s="91"/>
      <c r="D5" s="91"/>
      <c r="E5" s="91"/>
      <c r="F5" s="91"/>
      <c r="G5" s="91"/>
      <c r="H5" s="16"/>
      <c r="I5" s="16"/>
      <c r="L5" s="580">
        <v>2</v>
      </c>
      <c r="M5" s="581">
        <v>29.82</v>
      </c>
      <c r="N5" s="581">
        <v>76.510000000000005</v>
      </c>
      <c r="O5" s="581">
        <v>15.9</v>
      </c>
    </row>
    <row r="6" spans="1:15" ht="29.25" customHeight="1">
      <c r="A6" s="157"/>
      <c r="C6" s="217" t="s">
        <v>160</v>
      </c>
      <c r="D6" s="231" t="str">
        <f>UPPER('1. Resumen'!Q4)&amp;"
 "&amp;'1. Resumen'!Q5</f>
        <v>ABRIL
 2018</v>
      </c>
      <c r="E6" s="232" t="str">
        <f>UPPER('1. Resumen'!Q4)&amp;"
 "&amp;'1. Resumen'!Q5-1</f>
        <v>ABRIL
 2017</v>
      </c>
      <c r="F6" s="233" t="s">
        <v>138</v>
      </c>
      <c r="G6" s="159"/>
      <c r="H6" s="31"/>
      <c r="I6" s="16"/>
      <c r="L6" s="580">
        <v>3</v>
      </c>
      <c r="M6" s="581">
        <v>27.06</v>
      </c>
      <c r="N6" s="581">
        <v>80.096000000000004</v>
      </c>
      <c r="O6" s="581">
        <v>29.21</v>
      </c>
    </row>
    <row r="7" spans="1:15" ht="11.25" customHeight="1">
      <c r="A7" s="234"/>
      <c r="C7" s="240" t="s">
        <v>161</v>
      </c>
      <c r="D7" s="235">
        <v>42.274070000000002</v>
      </c>
      <c r="E7" s="235">
        <v>56.108069999999998</v>
      </c>
      <c r="F7" s="236">
        <f>IF(E7=0,"",(D7-E7)/E7)</f>
        <v>-0.24655989771168385</v>
      </c>
      <c r="G7" s="159"/>
      <c r="H7" s="32"/>
      <c r="I7" s="5"/>
      <c r="K7" s="579">
        <v>4</v>
      </c>
      <c r="L7" s="580">
        <v>4</v>
      </c>
      <c r="M7" s="581">
        <v>27.93</v>
      </c>
      <c r="N7" s="581">
        <v>77.09</v>
      </c>
      <c r="O7" s="581">
        <v>20.7</v>
      </c>
    </row>
    <row r="8" spans="1:15" ht="11.25" customHeight="1">
      <c r="A8" s="234"/>
      <c r="C8" s="239" t="s">
        <v>167</v>
      </c>
      <c r="D8" s="237">
        <v>27.407730000000001</v>
      </c>
      <c r="E8" s="237">
        <v>26.1478</v>
      </c>
      <c r="F8" s="238">
        <f t="shared" ref="F8:F30" si="0">IF(E8=0,"",(D8-E8)/E8)</f>
        <v>4.8184933340472261E-2</v>
      </c>
      <c r="G8" s="159"/>
      <c r="H8" s="30"/>
      <c r="I8" s="6"/>
      <c r="L8" s="580">
        <v>5</v>
      </c>
      <c r="M8" s="581">
        <v>49.585999999999999</v>
      </c>
      <c r="N8" s="581">
        <v>140.12</v>
      </c>
      <c r="O8" s="581">
        <v>74.02</v>
      </c>
    </row>
    <row r="9" spans="1:15" ht="11.25" customHeight="1">
      <c r="A9" s="234"/>
      <c r="C9" s="240" t="s">
        <v>168</v>
      </c>
      <c r="D9" s="235">
        <v>105.80249999999999</v>
      </c>
      <c r="E9" s="235">
        <v>114.8616</v>
      </c>
      <c r="F9" s="236">
        <f t="shared" si="0"/>
        <v>-7.8869700578783522E-2</v>
      </c>
      <c r="G9" s="159"/>
      <c r="H9" s="32"/>
      <c r="I9" s="8"/>
      <c r="L9" s="580">
        <v>6</v>
      </c>
      <c r="M9" s="581">
        <v>57</v>
      </c>
      <c r="N9" s="581">
        <v>144.66999999999999</v>
      </c>
      <c r="O9" s="581">
        <v>78.08</v>
      </c>
    </row>
    <row r="10" spans="1:15" ht="11.25" customHeight="1">
      <c r="A10" s="234"/>
      <c r="C10" s="239" t="s">
        <v>175</v>
      </c>
      <c r="D10" s="237">
        <v>182.4785</v>
      </c>
      <c r="E10" s="237">
        <v>237.26750000000001</v>
      </c>
      <c r="F10" s="238">
        <f t="shared" si="0"/>
        <v>-0.2309165814955694</v>
      </c>
      <c r="G10" s="159"/>
      <c r="H10" s="32"/>
      <c r="I10" s="5"/>
      <c r="L10" s="580">
        <v>7</v>
      </c>
      <c r="M10" s="581">
        <v>52.31</v>
      </c>
      <c r="N10" s="581">
        <v>117.32</v>
      </c>
      <c r="O10" s="581">
        <v>41.34</v>
      </c>
    </row>
    <row r="11" spans="1:15" ht="11.25" customHeight="1">
      <c r="A11" s="234"/>
      <c r="C11" s="240" t="s">
        <v>176</v>
      </c>
      <c r="D11" s="235">
        <v>68.320300000000003</v>
      </c>
      <c r="E11" s="235">
        <v>91.65307</v>
      </c>
      <c r="F11" s="236">
        <f t="shared" si="0"/>
        <v>-0.25457706981337336</v>
      </c>
      <c r="G11" s="159"/>
      <c r="H11" s="32"/>
      <c r="I11" s="5"/>
      <c r="K11" s="579">
        <v>8</v>
      </c>
      <c r="L11" s="580">
        <v>8</v>
      </c>
      <c r="M11" s="581">
        <v>57.96</v>
      </c>
      <c r="N11" s="581">
        <v>140.31</v>
      </c>
      <c r="O11" s="581">
        <v>96.52</v>
      </c>
    </row>
    <row r="12" spans="1:15" ht="11.25" customHeight="1">
      <c r="A12" s="234"/>
      <c r="C12" s="239" t="s">
        <v>178</v>
      </c>
      <c r="D12" s="237">
        <v>65.622</v>
      </c>
      <c r="E12" s="237">
        <v>147.49299999999999</v>
      </c>
      <c r="F12" s="238">
        <f t="shared" si="0"/>
        <v>-0.55508397008671595</v>
      </c>
      <c r="G12" s="159"/>
      <c r="H12" s="32"/>
      <c r="I12" s="5"/>
      <c r="L12" s="580">
        <v>9</v>
      </c>
      <c r="M12" s="581">
        <v>100.51885660000001</v>
      </c>
      <c r="N12" s="581">
        <v>268.94750210000001</v>
      </c>
      <c r="O12" s="581">
        <v>150.104332</v>
      </c>
    </row>
    <row r="13" spans="1:15" ht="11.25" customHeight="1">
      <c r="A13" s="234"/>
      <c r="C13" s="240" t="s">
        <v>166</v>
      </c>
      <c r="D13" s="235">
        <v>63.334976319444522</v>
      </c>
      <c r="E13" s="235">
        <v>92.620999999999995</v>
      </c>
      <c r="F13" s="236">
        <f t="shared" si="0"/>
        <v>-0.31619204802966361</v>
      </c>
      <c r="G13" s="159"/>
      <c r="H13" s="30"/>
      <c r="I13" s="6"/>
      <c r="L13" s="580">
        <v>10</v>
      </c>
      <c r="M13" s="581">
        <v>75.15657152448378</v>
      </c>
      <c r="N13" s="581">
        <v>243.71150207519463</v>
      </c>
      <c r="O13" s="581">
        <v>181.79733530680286</v>
      </c>
    </row>
    <row r="14" spans="1:15" ht="11.25" customHeight="1">
      <c r="A14" s="234"/>
      <c r="C14" s="239" t="s">
        <v>300</v>
      </c>
      <c r="D14" s="237">
        <v>98.789240000000007</v>
      </c>
      <c r="E14" s="237">
        <v>51.615549999999999</v>
      </c>
      <c r="F14" s="238">
        <f t="shared" si="0"/>
        <v>0.91394337559127059</v>
      </c>
      <c r="G14" s="159"/>
      <c r="H14" s="32"/>
      <c r="I14" s="8"/>
      <c r="L14" s="580">
        <v>11</v>
      </c>
      <c r="M14" s="581">
        <v>52.24</v>
      </c>
      <c r="N14" s="581">
        <v>154.21</v>
      </c>
      <c r="O14" s="581">
        <v>79.12</v>
      </c>
    </row>
    <row r="15" spans="1:15" ht="11.25" customHeight="1">
      <c r="A15" s="234"/>
      <c r="C15" s="240" t="s">
        <v>301</v>
      </c>
      <c r="D15" s="235">
        <v>117.3557</v>
      </c>
      <c r="E15" s="235">
        <v>189.3528</v>
      </c>
      <c r="F15" s="236">
        <f t="shared" si="0"/>
        <v>-0.38022727944873275</v>
      </c>
      <c r="G15" s="159"/>
      <c r="H15" s="32"/>
      <c r="I15" s="8"/>
      <c r="K15" s="579">
        <v>12</v>
      </c>
      <c r="L15" s="580">
        <v>12</v>
      </c>
      <c r="M15" s="581">
        <v>44.628571101597331</v>
      </c>
      <c r="N15" s="581">
        <v>116.62271445138057</v>
      </c>
      <c r="O15" s="581">
        <v>41.373285293579045</v>
      </c>
    </row>
    <row r="16" spans="1:15" ht="11.25" customHeight="1">
      <c r="A16" s="234"/>
      <c r="C16" s="239" t="s">
        <v>173</v>
      </c>
      <c r="D16" s="237">
        <v>70.496399999999994</v>
      </c>
      <c r="E16" s="237">
        <v>57.829270000000001</v>
      </c>
      <c r="F16" s="238">
        <f t="shared" si="0"/>
        <v>0.21904357430069571</v>
      </c>
      <c r="G16" s="159"/>
      <c r="H16" s="32"/>
      <c r="I16" s="8"/>
      <c r="L16" s="580">
        <v>13</v>
      </c>
      <c r="M16" s="581">
        <v>42.599998474121001</v>
      </c>
      <c r="N16" s="581">
        <v>120.78800201416</v>
      </c>
      <c r="O16" s="581">
        <v>93.665000915527301</v>
      </c>
    </row>
    <row r="17" spans="1:15" ht="11.25" customHeight="1">
      <c r="A17" s="234"/>
      <c r="C17" s="240" t="s">
        <v>177</v>
      </c>
      <c r="D17" s="235">
        <v>22.343730000000001</v>
      </c>
      <c r="E17" s="235">
        <v>28.683700000000002</v>
      </c>
      <c r="F17" s="236">
        <f t="shared" si="0"/>
        <v>-0.22103041099997561</v>
      </c>
      <c r="G17" s="159"/>
      <c r="H17" s="32"/>
      <c r="I17" s="8"/>
      <c r="L17" s="580">
        <v>14</v>
      </c>
      <c r="M17" s="581">
        <v>49.743000030517535</v>
      </c>
      <c r="N17" s="581">
        <v>125.66285814557708</v>
      </c>
      <c r="O17" s="581">
        <v>131.74585723876913</v>
      </c>
    </row>
    <row r="18" spans="1:15" ht="11.25" customHeight="1">
      <c r="A18" s="234"/>
      <c r="C18" s="239" t="s">
        <v>302</v>
      </c>
      <c r="D18" s="237">
        <v>14.36436</v>
      </c>
      <c r="E18" s="237">
        <v>17.745170000000002</v>
      </c>
      <c r="F18" s="238">
        <f t="shared" si="0"/>
        <v>-0.19052001192437162</v>
      </c>
      <c r="G18" s="159"/>
      <c r="H18" s="32"/>
      <c r="I18" s="8"/>
      <c r="L18" s="580">
        <v>15</v>
      </c>
      <c r="M18" s="581">
        <v>54.414285387311615</v>
      </c>
      <c r="N18" s="581">
        <v>127.68985639299636</v>
      </c>
      <c r="O18" s="581">
        <v>71.706143515450577</v>
      </c>
    </row>
    <row r="19" spans="1:15" ht="11.25" customHeight="1">
      <c r="A19" s="234"/>
      <c r="C19" s="240" t="s">
        <v>303</v>
      </c>
      <c r="D19" s="235">
        <v>38.345859916666654</v>
      </c>
      <c r="E19" s="235">
        <v>36.61</v>
      </c>
      <c r="F19" s="236">
        <f t="shared" si="0"/>
        <v>4.741491168168957E-2</v>
      </c>
      <c r="G19" s="159"/>
      <c r="H19" s="32"/>
      <c r="I19" s="8"/>
      <c r="K19" s="579">
        <v>16</v>
      </c>
      <c r="L19" s="580">
        <v>16</v>
      </c>
      <c r="M19" s="581">
        <v>47.73</v>
      </c>
      <c r="N19" s="581">
        <v>97.4</v>
      </c>
      <c r="O19" s="581">
        <v>53.49</v>
      </c>
    </row>
    <row r="20" spans="1:15" ht="11.25" customHeight="1">
      <c r="A20" s="234"/>
      <c r="C20" s="239" t="s">
        <v>304</v>
      </c>
      <c r="D20" s="237">
        <v>1.5316000000000001</v>
      </c>
      <c r="E20" s="237">
        <v>0.61899999999999999</v>
      </c>
      <c r="F20" s="238">
        <f t="shared" si="0"/>
        <v>1.4743134087237482</v>
      </c>
      <c r="G20" s="159"/>
      <c r="H20" s="32"/>
      <c r="I20" s="8"/>
      <c r="L20" s="580">
        <v>17</v>
      </c>
      <c r="M20" s="581">
        <v>42.142857687813873</v>
      </c>
      <c r="N20" s="581">
        <v>85.487143380301248</v>
      </c>
      <c r="O20" s="581">
        <v>51.424428122384178</v>
      </c>
    </row>
    <row r="21" spans="1:15" ht="11.25" customHeight="1">
      <c r="A21" s="234"/>
      <c r="C21" s="240" t="s">
        <v>164</v>
      </c>
      <c r="D21" s="235">
        <v>238.2199</v>
      </c>
      <c r="E21" s="235">
        <v>337.577</v>
      </c>
      <c r="F21" s="236">
        <f t="shared" si="0"/>
        <v>-0.29432425787301864</v>
      </c>
      <c r="G21" s="159"/>
      <c r="H21" s="32"/>
      <c r="I21" s="9"/>
      <c r="L21" s="580">
        <v>18</v>
      </c>
      <c r="M21" s="581">
        <v>27.452428545270582</v>
      </c>
      <c r="N21" s="581">
        <v>62.369998931884716</v>
      </c>
      <c r="O21" s="581">
        <v>34.353571755545424</v>
      </c>
    </row>
    <row r="22" spans="1:15" ht="11.25" customHeight="1">
      <c r="A22" s="234"/>
      <c r="C22" s="239" t="s">
        <v>162</v>
      </c>
      <c r="D22" s="237">
        <v>0</v>
      </c>
      <c r="E22" s="237">
        <v>0</v>
      </c>
      <c r="F22" s="238" t="str">
        <f t="shared" si="0"/>
        <v/>
      </c>
      <c r="G22" s="159"/>
      <c r="H22" s="32"/>
      <c r="I22" s="8"/>
      <c r="L22" s="580">
        <v>19</v>
      </c>
      <c r="M22" s="581">
        <v>21.857142584664455</v>
      </c>
      <c r="N22" s="581">
        <v>58.684285300118525</v>
      </c>
      <c r="O22" s="581">
        <v>29.207143238612552</v>
      </c>
    </row>
    <row r="23" spans="1:15" ht="11.25" customHeight="1">
      <c r="A23" s="234"/>
      <c r="C23" s="240" t="s">
        <v>163</v>
      </c>
      <c r="D23" s="235">
        <v>46.503030000000003</v>
      </c>
      <c r="E23" s="235">
        <v>48.415430000000001</v>
      </c>
      <c r="F23" s="236">
        <f t="shared" si="0"/>
        <v>-3.9499804091381568E-2</v>
      </c>
      <c r="G23" s="159"/>
      <c r="H23" s="32"/>
      <c r="I23" s="8"/>
      <c r="K23" s="579">
        <v>20</v>
      </c>
      <c r="L23" s="580">
        <v>20</v>
      </c>
      <c r="M23" s="581">
        <v>19.5</v>
      </c>
      <c r="N23" s="581">
        <v>54</v>
      </c>
      <c r="O23" s="581">
        <v>22.1</v>
      </c>
    </row>
    <row r="24" spans="1:15" ht="11.25" customHeight="1">
      <c r="A24" s="234"/>
      <c r="C24" s="239" t="s">
        <v>179</v>
      </c>
      <c r="D24" s="237">
        <v>11.511200000000001</v>
      </c>
      <c r="E24" s="237">
        <v>40.478670000000001</v>
      </c>
      <c r="F24" s="238">
        <f t="shared" si="0"/>
        <v>-0.71562306765513783</v>
      </c>
      <c r="G24" s="159"/>
      <c r="H24" s="33"/>
      <c r="I24" s="8"/>
      <c r="L24" s="580">
        <v>21</v>
      </c>
      <c r="M24" s="581">
        <v>19.485713958740185</v>
      </c>
      <c r="N24" s="581">
        <v>50.756999969482365</v>
      </c>
      <c r="O24" s="581">
        <v>17.473428726196214</v>
      </c>
    </row>
    <row r="25" spans="1:15" ht="11.25" customHeight="1">
      <c r="A25" s="241"/>
      <c r="C25" s="240" t="s">
        <v>169</v>
      </c>
      <c r="D25" s="235">
        <v>7.0832999999999993E-2</v>
      </c>
      <c r="E25" s="235">
        <v>0</v>
      </c>
      <c r="F25" s="236" t="str">
        <f t="shared" si="0"/>
        <v/>
      </c>
      <c r="G25" s="201"/>
      <c r="H25" s="32"/>
      <c r="I25" s="9"/>
      <c r="L25" s="580">
        <v>22</v>
      </c>
      <c r="M25" s="581">
        <v>16.329999999999998</v>
      </c>
      <c r="N25" s="581">
        <v>46.59</v>
      </c>
      <c r="O25" s="581">
        <v>17.04</v>
      </c>
    </row>
    <row r="26" spans="1:15" ht="11.25" customHeight="1">
      <c r="A26" s="242"/>
      <c r="C26" s="239" t="s">
        <v>170</v>
      </c>
      <c r="D26" s="237">
        <v>1.129033</v>
      </c>
      <c r="E26" s="237">
        <v>0.82766700000000004</v>
      </c>
      <c r="F26" s="238">
        <f t="shared" si="0"/>
        <v>0.36411503660288486</v>
      </c>
      <c r="G26" s="159"/>
      <c r="H26" s="30"/>
      <c r="I26" s="8"/>
      <c r="L26" s="580">
        <v>23</v>
      </c>
      <c r="M26" s="581">
        <v>15.18</v>
      </c>
      <c r="N26" s="581">
        <v>40.29</v>
      </c>
      <c r="O26" s="581">
        <v>22.12</v>
      </c>
    </row>
    <row r="27" spans="1:15" ht="11.25" customHeight="1">
      <c r="A27" s="159"/>
      <c r="C27" s="240" t="s">
        <v>171</v>
      </c>
      <c r="D27" s="235">
        <v>1.9573670000000001</v>
      </c>
      <c r="E27" s="235">
        <v>8.6233000000000004E-2</v>
      </c>
      <c r="F27" s="236">
        <f t="shared" si="0"/>
        <v>21.698584068743983</v>
      </c>
      <c r="G27" s="159"/>
      <c r="H27" s="30"/>
      <c r="I27" s="8"/>
      <c r="K27" s="579">
        <v>24</v>
      </c>
      <c r="L27" s="580">
        <v>24</v>
      </c>
      <c r="M27" s="581">
        <v>15.1</v>
      </c>
      <c r="N27" s="581">
        <v>35.630000000000003</v>
      </c>
      <c r="O27" s="581">
        <v>13.87</v>
      </c>
    </row>
    <row r="28" spans="1:15" ht="11.25" customHeight="1">
      <c r="A28" s="159"/>
      <c r="C28" s="239" t="s">
        <v>172</v>
      </c>
      <c r="D28" s="237">
        <v>0</v>
      </c>
      <c r="E28" s="237">
        <v>0</v>
      </c>
      <c r="F28" s="238" t="str">
        <f t="shared" si="0"/>
        <v/>
      </c>
      <c r="G28" s="159"/>
      <c r="H28" s="30"/>
      <c r="I28" s="8"/>
      <c r="L28" s="580">
        <v>25</v>
      </c>
      <c r="M28" s="581">
        <v>18.016999930000001</v>
      </c>
      <c r="N28" s="581">
        <v>34.608428410000002</v>
      </c>
      <c r="O28" s="581">
        <v>10.78285721</v>
      </c>
    </row>
    <row r="29" spans="1:15" ht="11.25" customHeight="1">
      <c r="A29" s="201"/>
      <c r="C29" s="240" t="s">
        <v>174</v>
      </c>
      <c r="D29" s="235">
        <v>3.2733919999999999</v>
      </c>
      <c r="E29" s="235">
        <v>3.6017000000000001</v>
      </c>
      <c r="F29" s="236">
        <f t="shared" si="0"/>
        <v>-9.1153621900769158E-2</v>
      </c>
      <c r="G29" s="243"/>
      <c r="H29" s="30"/>
      <c r="I29" s="8"/>
      <c r="L29" s="580">
        <v>26</v>
      </c>
      <c r="M29" s="581">
        <v>16.489714209999999</v>
      </c>
      <c r="N29" s="581">
        <v>34.074285510000003</v>
      </c>
      <c r="O29" s="581">
        <v>9.5958572120000003</v>
      </c>
    </row>
    <row r="30" spans="1:15" ht="11.25" customHeight="1">
      <c r="A30" s="242"/>
      <c r="C30" s="244" t="s">
        <v>165</v>
      </c>
      <c r="D30" s="245">
        <v>6.697916666666667</v>
      </c>
      <c r="E30" s="245">
        <v>7.4480000000000004</v>
      </c>
      <c r="F30" s="246">
        <f t="shared" si="0"/>
        <v>-0.1007093626924454</v>
      </c>
      <c r="G30" s="159"/>
      <c r="H30" s="32"/>
      <c r="I30" s="8"/>
      <c r="L30" s="580">
        <v>27</v>
      </c>
      <c r="M30" s="581">
        <v>16.199999810000001</v>
      </c>
      <c r="N30" s="581">
        <v>29.599571770000001</v>
      </c>
      <c r="O30" s="581">
        <v>7.8892858370000001</v>
      </c>
    </row>
    <row r="31" spans="1:15" ht="11.25" customHeight="1">
      <c r="A31" s="158"/>
      <c r="C31" s="422" t="str">
        <f>"Cuadro N°10: Promedio de caudales en "&amp;'1. Resumen'!Q4</f>
        <v>Cuadro N°10: Promedio de caudales en abril</v>
      </c>
      <c r="D31" s="158"/>
      <c r="E31" s="158"/>
      <c r="F31" s="158"/>
      <c r="G31" s="158"/>
      <c r="H31" s="32"/>
      <c r="I31" s="8"/>
      <c r="K31" s="579">
        <v>28</v>
      </c>
      <c r="L31" s="580">
        <v>28</v>
      </c>
      <c r="M31" s="581">
        <v>12.016285760000001</v>
      </c>
      <c r="N31" s="581">
        <v>29.3955713</v>
      </c>
      <c r="O31" s="581">
        <v>7.2334286140000001</v>
      </c>
    </row>
    <row r="32" spans="1:15" ht="11.25" customHeight="1">
      <c r="A32" s="158"/>
      <c r="B32" s="158"/>
      <c r="C32" s="158"/>
      <c r="D32" s="158"/>
      <c r="E32" s="158"/>
      <c r="F32" s="158"/>
      <c r="G32" s="158"/>
      <c r="H32" s="32"/>
      <c r="I32" s="8"/>
      <c r="L32" s="580">
        <v>29</v>
      </c>
      <c r="M32" s="581">
        <v>10.423571450000001</v>
      </c>
      <c r="N32" s="581">
        <v>32.468857079999999</v>
      </c>
      <c r="O32" s="581">
        <v>6.729428564</v>
      </c>
    </row>
    <row r="33" spans="1:15" ht="11.25" customHeight="1">
      <c r="A33" s="158"/>
      <c r="B33" s="158"/>
      <c r="C33" s="158"/>
      <c r="D33" s="158"/>
      <c r="E33" s="158"/>
      <c r="F33" s="158"/>
      <c r="G33" s="158"/>
      <c r="H33" s="32"/>
      <c r="I33" s="8"/>
      <c r="L33" s="580">
        <v>30</v>
      </c>
      <c r="M33" s="581">
        <v>10.043285640000001</v>
      </c>
      <c r="N33" s="581">
        <v>32.112285890000003</v>
      </c>
      <c r="O33" s="581">
        <v>5.6338571819999999</v>
      </c>
    </row>
    <row r="34" spans="1:15" ht="11.25" customHeight="1">
      <c r="A34" s="158"/>
      <c r="B34" s="158"/>
      <c r="C34" s="158"/>
      <c r="D34" s="158"/>
      <c r="E34" s="158"/>
      <c r="F34" s="158"/>
      <c r="G34" s="158"/>
      <c r="H34" s="32"/>
      <c r="I34" s="8"/>
      <c r="L34" s="580">
        <v>31</v>
      </c>
      <c r="M34" s="581">
        <v>10.086428642272944</v>
      </c>
      <c r="N34" s="581">
        <v>29.132714407784558</v>
      </c>
      <c r="O34" s="581">
        <v>5.181999887738904</v>
      </c>
    </row>
    <row r="35" spans="1:15" ht="11.25" customHeight="1">
      <c r="A35" s="931" t="s">
        <v>515</v>
      </c>
      <c r="B35" s="931"/>
      <c r="C35" s="931"/>
      <c r="D35" s="931"/>
      <c r="E35" s="931"/>
      <c r="F35" s="931"/>
      <c r="G35" s="931"/>
      <c r="H35" s="32"/>
      <c r="I35" s="8"/>
      <c r="K35" s="579">
        <v>32</v>
      </c>
      <c r="L35" s="580">
        <v>32</v>
      </c>
      <c r="M35" s="581">
        <v>12.08228561</v>
      </c>
      <c r="N35" s="581">
        <v>34.150143489999998</v>
      </c>
      <c r="O35" s="581">
        <v>4.8032856669999999</v>
      </c>
    </row>
    <row r="36" spans="1:15" ht="11.25" customHeight="1">
      <c r="A36" s="158"/>
      <c r="B36" s="158"/>
      <c r="C36" s="158"/>
      <c r="D36" s="158"/>
      <c r="E36" s="158"/>
      <c r="F36" s="158"/>
      <c r="G36" s="158"/>
      <c r="H36" s="32"/>
      <c r="I36" s="8"/>
      <c r="L36" s="580">
        <v>33</v>
      </c>
      <c r="M36" s="581">
        <v>11.874000004359614</v>
      </c>
      <c r="N36" s="581">
        <v>35.225571223667643</v>
      </c>
      <c r="O36" s="581">
        <v>4.3821428843906904</v>
      </c>
    </row>
    <row r="37" spans="1:15" ht="11.25" customHeight="1">
      <c r="A37" s="157"/>
      <c r="B37" s="159"/>
      <c r="C37" s="159"/>
      <c r="D37" s="159"/>
      <c r="E37" s="159"/>
      <c r="F37" s="159"/>
      <c r="G37" s="159"/>
      <c r="H37" s="33"/>
      <c r="I37" s="8"/>
      <c r="L37" s="580">
        <v>34</v>
      </c>
      <c r="M37" s="581">
        <v>10.842857090000001</v>
      </c>
      <c r="N37" s="581">
        <v>35.168570930000001</v>
      </c>
      <c r="O37" s="581">
        <v>13.837000059999999</v>
      </c>
    </row>
    <row r="38" spans="1:15" ht="11.25" customHeight="1">
      <c r="A38" s="92"/>
      <c r="B38" s="91"/>
      <c r="C38" s="91"/>
      <c r="D38" s="91"/>
      <c r="E38" s="91"/>
      <c r="F38" s="91"/>
      <c r="G38" s="91"/>
      <c r="H38" s="5"/>
      <c r="I38" s="8"/>
      <c r="L38" s="580">
        <v>35</v>
      </c>
      <c r="M38" s="581">
        <v>10.48142842</v>
      </c>
      <c r="N38" s="581">
        <v>37.824428560000001</v>
      </c>
      <c r="O38" s="581">
        <v>3.922857182</v>
      </c>
    </row>
    <row r="39" spans="1:15" ht="11.25" customHeight="1">
      <c r="A39" s="92"/>
      <c r="B39" s="91"/>
      <c r="C39" s="91"/>
      <c r="D39" s="91"/>
      <c r="E39" s="91"/>
      <c r="F39" s="91"/>
      <c r="G39" s="91"/>
      <c r="H39" s="5"/>
      <c r="I39" s="13"/>
      <c r="K39" s="579">
        <v>36</v>
      </c>
      <c r="L39" s="580">
        <v>36</v>
      </c>
      <c r="M39" s="581">
        <v>11.85</v>
      </c>
      <c r="N39" s="581">
        <v>39.78</v>
      </c>
      <c r="O39" s="581">
        <v>4.9800000000000004</v>
      </c>
    </row>
    <row r="40" spans="1:15" ht="11.25" customHeight="1">
      <c r="A40" s="92"/>
      <c r="B40" s="91"/>
      <c r="C40" s="91"/>
      <c r="D40" s="91"/>
      <c r="E40" s="91"/>
      <c r="F40" s="91"/>
      <c r="G40" s="91"/>
      <c r="H40" s="5"/>
      <c r="I40" s="13"/>
      <c r="L40" s="580">
        <v>37</v>
      </c>
      <c r="M40" s="581">
        <v>12.08</v>
      </c>
      <c r="N40" s="581">
        <v>44.25</v>
      </c>
      <c r="O40" s="581">
        <v>4.92</v>
      </c>
    </row>
    <row r="41" spans="1:15" ht="11.25" customHeight="1">
      <c r="A41" s="92"/>
      <c r="B41" s="91"/>
      <c r="C41" s="91"/>
      <c r="D41" s="91"/>
      <c r="E41" s="91"/>
      <c r="F41" s="91"/>
      <c r="G41" s="91"/>
      <c r="H41" s="5"/>
      <c r="I41" s="9"/>
      <c r="L41" s="580">
        <v>38</v>
      </c>
      <c r="M41" s="581">
        <v>11.88371427</v>
      </c>
      <c r="N41" s="581">
        <v>41.311858039999997</v>
      </c>
      <c r="O41" s="581">
        <v>4.6447142870000002</v>
      </c>
    </row>
    <row r="42" spans="1:15" ht="11.25" customHeight="1">
      <c r="A42" s="92"/>
      <c r="B42" s="91"/>
      <c r="C42" s="91"/>
      <c r="D42" s="91"/>
      <c r="E42" s="91"/>
      <c r="F42" s="91"/>
      <c r="G42" s="91"/>
      <c r="H42" s="5"/>
      <c r="I42" s="9"/>
      <c r="K42" s="579">
        <v>39</v>
      </c>
      <c r="L42" s="580">
        <v>39</v>
      </c>
      <c r="M42" s="581">
        <v>13.06</v>
      </c>
      <c r="N42" s="581">
        <v>41.13</v>
      </c>
      <c r="O42" s="581">
        <v>4.2699999999999996</v>
      </c>
    </row>
    <row r="43" spans="1:15" ht="11.25" customHeight="1">
      <c r="A43" s="92"/>
      <c r="B43" s="91"/>
      <c r="C43" s="91"/>
      <c r="D43" s="91"/>
      <c r="E43" s="91"/>
      <c r="F43" s="91"/>
      <c r="G43" s="91"/>
      <c r="H43" s="5"/>
      <c r="I43" s="9"/>
      <c r="L43" s="580">
        <v>40</v>
      </c>
      <c r="M43" s="581">
        <v>15.945571764285715</v>
      </c>
      <c r="N43" s="581">
        <v>46.466000694285704</v>
      </c>
      <c r="O43" s="581">
        <v>5.3634285927142864</v>
      </c>
    </row>
    <row r="44" spans="1:15" ht="11.25" customHeight="1">
      <c r="A44" s="92"/>
      <c r="B44" s="91"/>
      <c r="C44" s="91"/>
      <c r="D44" s="91"/>
      <c r="E44" s="91"/>
      <c r="F44" s="91"/>
      <c r="G44" s="91"/>
      <c r="H44" s="8"/>
      <c r="I44" s="13"/>
      <c r="L44" s="580">
        <v>41</v>
      </c>
      <c r="M44" s="581">
        <v>15.848856789725129</v>
      </c>
      <c r="N44" s="581">
        <v>37.273714882986837</v>
      </c>
      <c r="O44" s="581">
        <v>6.9682856968470812</v>
      </c>
    </row>
    <row r="45" spans="1:15" ht="11.25" customHeight="1">
      <c r="A45" s="92"/>
      <c r="B45" s="91"/>
      <c r="C45" s="91"/>
      <c r="D45" s="91"/>
      <c r="E45" s="91"/>
      <c r="F45" s="91"/>
      <c r="G45" s="91"/>
      <c r="H45" s="5"/>
      <c r="I45" s="13"/>
      <c r="L45" s="580">
        <v>42</v>
      </c>
      <c r="M45" s="581">
        <v>15.549142972857144</v>
      </c>
      <c r="N45" s="581">
        <v>48.572000228571433</v>
      </c>
      <c r="O45" s="581">
        <v>11.100428648285714</v>
      </c>
    </row>
    <row r="46" spans="1:15" ht="11.25" customHeight="1">
      <c r="A46" s="92"/>
      <c r="B46" s="91"/>
      <c r="C46" s="91"/>
      <c r="D46" s="91"/>
      <c r="E46" s="91"/>
      <c r="F46" s="91"/>
      <c r="G46" s="91"/>
      <c r="H46" s="5"/>
      <c r="I46" s="13"/>
      <c r="K46" s="579">
        <v>43</v>
      </c>
      <c r="L46" s="580">
        <v>43</v>
      </c>
      <c r="M46" s="581">
        <v>13.17</v>
      </c>
      <c r="N46" s="581">
        <v>35.32</v>
      </c>
      <c r="O46" s="581">
        <v>6.01</v>
      </c>
    </row>
    <row r="47" spans="1:15" ht="11.25" customHeight="1">
      <c r="A47" s="92"/>
      <c r="B47" s="91"/>
      <c r="C47" s="91"/>
      <c r="D47" s="91"/>
      <c r="E47" s="91"/>
      <c r="F47" s="91"/>
      <c r="G47" s="91"/>
      <c r="H47" s="15"/>
      <c r="I47" s="15"/>
      <c r="L47" s="580">
        <v>44</v>
      </c>
      <c r="M47" s="581">
        <v>13.18</v>
      </c>
      <c r="N47" s="581">
        <v>36.83</v>
      </c>
      <c r="O47" s="581">
        <v>4.57</v>
      </c>
    </row>
    <row r="48" spans="1:15" ht="11.25" customHeight="1">
      <c r="A48" s="92"/>
      <c r="B48" s="91"/>
      <c r="C48" s="91"/>
      <c r="D48" s="91"/>
      <c r="E48" s="91"/>
      <c r="F48" s="91"/>
      <c r="G48" s="91"/>
      <c r="H48" s="14"/>
      <c r="I48" s="14"/>
      <c r="L48" s="580">
        <v>45</v>
      </c>
      <c r="M48" s="581">
        <v>13.49</v>
      </c>
      <c r="N48" s="581">
        <v>39.520000000000003</v>
      </c>
      <c r="O48" s="581">
        <v>4.83</v>
      </c>
    </row>
    <row r="49" spans="1:15" ht="11.25" customHeight="1">
      <c r="A49" s="92"/>
      <c r="B49" s="91"/>
      <c r="C49" s="91"/>
      <c r="D49" s="91"/>
      <c r="E49" s="91"/>
      <c r="F49" s="91"/>
      <c r="G49" s="91"/>
      <c r="H49" s="14"/>
      <c r="I49" s="14"/>
      <c r="L49" s="580">
        <v>46</v>
      </c>
      <c r="M49" s="581">
        <v>15.4</v>
      </c>
      <c r="N49" s="581">
        <v>53.38</v>
      </c>
      <c r="O49" s="581">
        <v>3.73</v>
      </c>
    </row>
    <row r="50" spans="1:15" ht="11.25" customHeight="1">
      <c r="A50" s="92"/>
      <c r="B50" s="91"/>
      <c r="C50" s="91"/>
      <c r="D50" s="91"/>
      <c r="E50" s="91"/>
      <c r="F50" s="91"/>
      <c r="G50" s="91"/>
      <c r="H50" s="14"/>
      <c r="I50" s="14"/>
      <c r="L50" s="580">
        <v>47</v>
      </c>
      <c r="M50" s="581">
        <v>16.408999999999999</v>
      </c>
      <c r="N50" s="581">
        <v>61.853000000000002</v>
      </c>
      <c r="O50" s="581">
        <v>2.5211429999999999</v>
      </c>
    </row>
    <row r="51" spans="1:15" ht="11.25" customHeight="1">
      <c r="A51" s="92"/>
      <c r="B51" s="91"/>
      <c r="C51" s="91"/>
      <c r="D51" s="91"/>
      <c r="E51" s="91"/>
      <c r="F51" s="91"/>
      <c r="G51" s="91"/>
      <c r="H51" s="14"/>
      <c r="I51" s="14"/>
      <c r="K51" s="579">
        <v>48</v>
      </c>
      <c r="L51" s="580">
        <v>48</v>
      </c>
      <c r="M51" s="581">
        <v>16.328857422857144</v>
      </c>
      <c r="N51" s="581">
        <v>65.330427987142869</v>
      </c>
      <c r="O51" s="581">
        <v>3.571428503285714</v>
      </c>
    </row>
    <row r="52" spans="1:15" ht="11.25" customHeight="1">
      <c r="A52" s="92"/>
      <c r="B52" s="91"/>
      <c r="C52" s="91"/>
      <c r="D52" s="91"/>
      <c r="E52" s="91"/>
      <c r="F52" s="91"/>
      <c r="G52" s="91"/>
      <c r="H52" s="14"/>
      <c r="I52" s="14"/>
      <c r="L52" s="580">
        <v>49</v>
      </c>
      <c r="M52" s="581">
        <v>20.236285890000001</v>
      </c>
      <c r="N52" s="581">
        <v>66.680000000000007</v>
      </c>
      <c r="O52" s="581">
        <v>6.1</v>
      </c>
    </row>
    <row r="53" spans="1:15" ht="11.25" customHeight="1">
      <c r="A53" s="92"/>
      <c r="B53" s="91"/>
      <c r="C53" s="91"/>
      <c r="D53" s="91"/>
      <c r="E53" s="91"/>
      <c r="F53" s="91"/>
      <c r="G53" s="91"/>
      <c r="H53" s="14"/>
      <c r="I53" s="14"/>
      <c r="L53" s="580">
        <v>50</v>
      </c>
      <c r="M53" s="581">
        <v>19.809999999999999</v>
      </c>
      <c r="N53" s="581">
        <v>61.31</v>
      </c>
      <c r="O53" s="581">
        <v>6.69</v>
      </c>
    </row>
    <row r="54" spans="1:15" ht="11.25" customHeight="1">
      <c r="A54" s="92"/>
      <c r="B54" s="91"/>
      <c r="C54" s="91"/>
      <c r="D54" s="91"/>
      <c r="E54" s="91"/>
      <c r="F54" s="91"/>
      <c r="G54" s="91"/>
      <c r="H54" s="14"/>
      <c r="I54" s="14"/>
      <c r="L54" s="580">
        <v>51</v>
      </c>
      <c r="M54" s="581">
        <v>21.91</v>
      </c>
      <c r="N54" s="581">
        <v>70.790000000000006</v>
      </c>
      <c r="O54" s="581">
        <v>13.15</v>
      </c>
    </row>
    <row r="55" spans="1:15" ht="12.75">
      <c r="A55" s="92"/>
      <c r="B55" s="91"/>
      <c r="C55" s="91"/>
      <c r="D55" s="91"/>
      <c r="E55" s="91"/>
      <c r="F55" s="91"/>
      <c r="G55" s="91"/>
      <c r="H55" s="14"/>
      <c r="I55" s="14"/>
      <c r="K55" s="579">
        <v>52</v>
      </c>
      <c r="L55" s="580">
        <v>52</v>
      </c>
      <c r="M55" s="581">
        <v>22</v>
      </c>
      <c r="N55" s="581">
        <v>77.434859137142865</v>
      </c>
      <c r="O55" s="581">
        <v>17.75700037857143</v>
      </c>
    </row>
    <row r="56" spans="1:15" ht="12.75">
      <c r="A56" s="92"/>
      <c r="B56" s="91"/>
      <c r="C56" s="91"/>
      <c r="D56" s="91"/>
      <c r="E56" s="91"/>
      <c r="F56" s="91"/>
      <c r="G56" s="91"/>
      <c r="H56" s="14"/>
      <c r="I56" s="14"/>
      <c r="J56" s="540">
        <v>2017</v>
      </c>
      <c r="K56" s="579">
        <v>1</v>
      </c>
      <c r="L56" s="580">
        <v>1</v>
      </c>
      <c r="M56" s="581">
        <v>41.55</v>
      </c>
      <c r="N56" s="581">
        <v>103.58</v>
      </c>
      <c r="O56" s="581">
        <v>29.67</v>
      </c>
    </row>
    <row r="57" spans="1:15" ht="12.75">
      <c r="A57" s="92"/>
      <c r="B57" s="91"/>
      <c r="C57" s="91"/>
      <c r="D57" s="91"/>
      <c r="E57" s="91"/>
      <c r="F57" s="91"/>
      <c r="G57" s="91"/>
      <c r="H57" s="14"/>
      <c r="I57" s="14"/>
      <c r="L57" s="580">
        <v>2</v>
      </c>
      <c r="M57" s="581">
        <v>39.6</v>
      </c>
      <c r="N57" s="581">
        <v>105.01</v>
      </c>
      <c r="O57" s="581">
        <v>51.2</v>
      </c>
    </row>
    <row r="58" spans="1:15" ht="12.75">
      <c r="A58" s="92"/>
      <c r="B58" s="91"/>
      <c r="C58" s="91"/>
      <c r="D58" s="91"/>
      <c r="E58" s="91"/>
      <c r="F58" s="91"/>
      <c r="G58" s="91"/>
      <c r="H58" s="14"/>
      <c r="I58" s="14"/>
      <c r="L58" s="580">
        <v>3</v>
      </c>
      <c r="M58" s="581">
        <v>73.650000000000006</v>
      </c>
      <c r="N58" s="581">
        <v>137.41</v>
      </c>
      <c r="O58" s="581">
        <v>43.26</v>
      </c>
    </row>
    <row r="59" spans="1:15" ht="12.75">
      <c r="A59" s="92"/>
      <c r="B59" s="91"/>
      <c r="C59" s="91"/>
      <c r="D59" s="91"/>
      <c r="E59" s="91"/>
      <c r="F59" s="91"/>
      <c r="G59" s="91"/>
      <c r="H59" s="14"/>
      <c r="I59" s="14"/>
      <c r="K59" s="579">
        <v>4</v>
      </c>
      <c r="L59" s="580">
        <v>4</v>
      </c>
      <c r="M59" s="581">
        <v>65.03</v>
      </c>
      <c r="N59" s="581">
        <v>127.83</v>
      </c>
      <c r="O59" s="581">
        <v>32.72</v>
      </c>
    </row>
    <row r="60" spans="1:15" ht="12.75">
      <c r="A60" s="92"/>
      <c r="B60" s="91"/>
      <c r="C60" s="91"/>
      <c r="D60" s="91"/>
      <c r="E60" s="91"/>
      <c r="F60" s="91"/>
      <c r="G60" s="91"/>
      <c r="H60" s="14"/>
      <c r="I60" s="14"/>
      <c r="L60" s="580">
        <v>5</v>
      </c>
      <c r="M60" s="581">
        <v>56.95</v>
      </c>
      <c r="N60" s="581">
        <v>97.31</v>
      </c>
      <c r="O60" s="581">
        <v>48.46</v>
      </c>
    </row>
    <row r="61" spans="1:15" ht="12.75">
      <c r="A61" s="422" t="s">
        <v>604</v>
      </c>
      <c r="B61" s="91"/>
      <c r="C61" s="91"/>
      <c r="D61" s="91"/>
      <c r="E61" s="91"/>
      <c r="F61" s="91"/>
      <c r="G61" s="91"/>
      <c r="H61" s="14"/>
      <c r="I61" s="14"/>
      <c r="L61" s="580">
        <v>6</v>
      </c>
      <c r="M61" s="581">
        <v>61.87</v>
      </c>
      <c r="N61" s="581">
        <v>123.44</v>
      </c>
      <c r="O61" s="581">
        <v>72.52</v>
      </c>
    </row>
    <row r="62" spans="1:15">
      <c r="L62" s="580">
        <v>7</v>
      </c>
      <c r="M62" s="581">
        <v>77.569999999999993</v>
      </c>
      <c r="N62" s="581">
        <v>145.02000000000001</v>
      </c>
      <c r="O62" s="581">
        <v>59.16</v>
      </c>
    </row>
    <row r="63" spans="1:15">
      <c r="K63" s="579">
        <v>8</v>
      </c>
      <c r="L63" s="580">
        <v>8</v>
      </c>
      <c r="M63" s="581">
        <v>86.94</v>
      </c>
      <c r="N63" s="581">
        <v>175.03</v>
      </c>
      <c r="O63" s="581">
        <v>24.36</v>
      </c>
    </row>
    <row r="64" spans="1:15">
      <c r="L64" s="580">
        <v>9</v>
      </c>
      <c r="M64" s="581">
        <v>85.13</v>
      </c>
      <c r="N64" s="581">
        <v>206.14</v>
      </c>
      <c r="O64" s="581">
        <v>39.07</v>
      </c>
    </row>
    <row r="65" spans="11:15">
      <c r="L65" s="580">
        <v>10</v>
      </c>
      <c r="M65" s="581">
        <v>84.78</v>
      </c>
      <c r="N65" s="581">
        <v>270.17</v>
      </c>
      <c r="O65" s="581">
        <v>109.16</v>
      </c>
    </row>
    <row r="66" spans="11:15">
      <c r="L66" s="580">
        <v>11</v>
      </c>
      <c r="M66" s="581">
        <v>84.78</v>
      </c>
      <c r="N66" s="581">
        <v>376.42</v>
      </c>
      <c r="O66" s="581">
        <v>188.18</v>
      </c>
    </row>
    <row r="67" spans="11:15">
      <c r="K67" s="579">
        <v>12</v>
      </c>
      <c r="L67" s="580">
        <v>12</v>
      </c>
      <c r="M67" s="581">
        <v>106.16</v>
      </c>
      <c r="N67" s="581">
        <v>351.57</v>
      </c>
      <c r="O67" s="581">
        <v>159.6</v>
      </c>
    </row>
    <row r="68" spans="11:15">
      <c r="L68" s="580">
        <v>13</v>
      </c>
      <c r="M68" s="581">
        <v>101.71</v>
      </c>
      <c r="N68" s="581">
        <v>384.37</v>
      </c>
      <c r="O68" s="581">
        <v>161.77000000000001</v>
      </c>
    </row>
    <row r="69" spans="11:15">
      <c r="L69" s="580">
        <v>14</v>
      </c>
      <c r="M69" s="581">
        <v>83.1</v>
      </c>
      <c r="N69" s="581">
        <v>337.84</v>
      </c>
      <c r="O69" s="581">
        <v>115.43</v>
      </c>
    </row>
    <row r="70" spans="11:15">
      <c r="L70" s="580">
        <v>15</v>
      </c>
      <c r="M70" s="581">
        <v>61.23</v>
      </c>
      <c r="N70" s="581">
        <v>282.32</v>
      </c>
      <c r="O70" s="581">
        <v>98.92</v>
      </c>
    </row>
    <row r="71" spans="11:15">
      <c r="K71" s="579">
        <v>16</v>
      </c>
      <c r="L71" s="580">
        <v>16</v>
      </c>
      <c r="M71" s="581">
        <v>49.8</v>
      </c>
      <c r="N71" s="581">
        <v>191.65</v>
      </c>
      <c r="O71" s="581">
        <v>82.48</v>
      </c>
    </row>
    <row r="72" spans="11:15">
      <c r="L72" s="580">
        <v>17</v>
      </c>
      <c r="M72" s="581">
        <v>40.21</v>
      </c>
      <c r="N72" s="581">
        <v>160.35</v>
      </c>
      <c r="O72" s="581">
        <v>77.02</v>
      </c>
    </row>
    <row r="73" spans="11:15">
      <c r="L73" s="580">
        <v>18</v>
      </c>
      <c r="M73" s="581">
        <v>43.46</v>
      </c>
      <c r="N73" s="581">
        <v>136.65</v>
      </c>
      <c r="O73" s="581">
        <v>62.63</v>
      </c>
    </row>
    <row r="74" spans="11:15">
      <c r="L74" s="580">
        <v>19</v>
      </c>
      <c r="M74" s="581">
        <v>35.65</v>
      </c>
      <c r="N74" s="581">
        <v>135.97</v>
      </c>
      <c r="O74" s="581">
        <v>93.03</v>
      </c>
    </row>
    <row r="75" spans="11:15">
      <c r="K75" s="579">
        <v>20</v>
      </c>
      <c r="L75" s="580">
        <v>20</v>
      </c>
      <c r="M75" s="581">
        <v>26.22</v>
      </c>
      <c r="N75" s="581">
        <v>135.66</v>
      </c>
      <c r="O75" s="581">
        <v>72.349999999999994</v>
      </c>
    </row>
    <row r="76" spans="11:15">
      <c r="L76" s="580">
        <v>21</v>
      </c>
      <c r="M76" s="581">
        <v>27.95</v>
      </c>
      <c r="N76" s="581">
        <v>113.82</v>
      </c>
      <c r="O76" s="581">
        <v>90.75</v>
      </c>
    </row>
    <row r="77" spans="11:15">
      <c r="L77" s="580">
        <v>22</v>
      </c>
      <c r="M77" s="581">
        <v>32.409999999999997</v>
      </c>
      <c r="N77" s="581">
        <v>64.03</v>
      </c>
      <c r="O77" s="581">
        <v>53.02</v>
      </c>
    </row>
    <row r="78" spans="11:15">
      <c r="L78" s="580">
        <v>23</v>
      </c>
      <c r="M78" s="581">
        <v>28.93</v>
      </c>
      <c r="N78" s="581">
        <v>53.15</v>
      </c>
      <c r="O78" s="581">
        <v>32.43</v>
      </c>
    </row>
    <row r="79" spans="11:15">
      <c r="K79" s="579">
        <v>24</v>
      </c>
      <c r="L79" s="580">
        <v>24</v>
      </c>
      <c r="M79" s="581">
        <v>26.59</v>
      </c>
      <c r="N79" s="581">
        <v>45.98</v>
      </c>
      <c r="O79" s="581">
        <v>27.75</v>
      </c>
    </row>
    <row r="80" spans="11:15">
      <c r="L80" s="580">
        <v>25</v>
      </c>
      <c r="M80" s="581">
        <v>23.61</v>
      </c>
      <c r="N80" s="581">
        <v>38.68</v>
      </c>
      <c r="O80" s="581">
        <v>24.81</v>
      </c>
    </row>
    <row r="81" spans="11:15">
      <c r="L81" s="580">
        <v>26</v>
      </c>
      <c r="M81" s="581">
        <v>24.94</v>
      </c>
      <c r="N81" s="581">
        <v>34.68</v>
      </c>
      <c r="O81" s="581">
        <v>21.81</v>
      </c>
    </row>
    <row r="82" spans="11:15">
      <c r="L82" s="580">
        <v>27</v>
      </c>
      <c r="M82" s="581">
        <v>25.54</v>
      </c>
      <c r="N82" s="581">
        <v>31.72</v>
      </c>
      <c r="O82" s="581">
        <v>18.649999999999999</v>
      </c>
    </row>
    <row r="83" spans="11:15">
      <c r="K83" s="579">
        <v>28</v>
      </c>
      <c r="L83" s="580">
        <v>28</v>
      </c>
      <c r="M83" s="581">
        <v>23.56</v>
      </c>
      <c r="N83" s="581">
        <v>29.25</v>
      </c>
      <c r="O83" s="581">
        <v>14.27</v>
      </c>
    </row>
    <row r="84" spans="11:15">
      <c r="L84" s="580">
        <v>29</v>
      </c>
      <c r="M84" s="581">
        <v>22.4</v>
      </c>
      <c r="N84" s="581">
        <v>29.53</v>
      </c>
      <c r="O84" s="581">
        <v>11.51</v>
      </c>
    </row>
    <row r="85" spans="11:15">
      <c r="L85" s="580">
        <v>30</v>
      </c>
      <c r="M85" s="581">
        <v>21.29</v>
      </c>
      <c r="N85" s="581">
        <v>27.62</v>
      </c>
      <c r="O85" s="581">
        <v>9.7200000000000006</v>
      </c>
    </row>
    <row r="86" spans="11:15">
      <c r="L86" s="580">
        <v>31</v>
      </c>
      <c r="M86" s="581">
        <v>19.34</v>
      </c>
      <c r="N86" s="581">
        <v>27.99</v>
      </c>
      <c r="O86" s="581">
        <v>8.09</v>
      </c>
    </row>
    <row r="87" spans="11:15">
      <c r="K87" s="579">
        <v>32</v>
      </c>
      <c r="L87" s="580">
        <v>32</v>
      </c>
      <c r="M87" s="581">
        <v>19.649999999999999</v>
      </c>
      <c r="N87" s="581">
        <v>31.42</v>
      </c>
      <c r="O87" s="581">
        <v>7.62</v>
      </c>
    </row>
    <row r="88" spans="11:15">
      <c r="L88" s="580">
        <v>33</v>
      </c>
      <c r="M88" s="581">
        <v>18.420000000000002</v>
      </c>
      <c r="N88" s="581">
        <v>29.71</v>
      </c>
      <c r="O88" s="581">
        <v>9.5500000000000007</v>
      </c>
    </row>
    <row r="89" spans="11:15">
      <c r="L89" s="580">
        <v>34</v>
      </c>
      <c r="M89" s="581">
        <v>17.170000000000002</v>
      </c>
      <c r="N89" s="581">
        <v>30.51</v>
      </c>
      <c r="O89" s="581">
        <v>10.75</v>
      </c>
    </row>
    <row r="90" spans="11:15">
      <c r="L90" s="580">
        <v>35</v>
      </c>
      <c r="M90" s="581">
        <v>17.47</v>
      </c>
      <c r="N90" s="581">
        <v>27.5</v>
      </c>
      <c r="O90" s="581">
        <v>8.31</v>
      </c>
    </row>
    <row r="91" spans="11:15">
      <c r="K91" s="579">
        <v>36</v>
      </c>
      <c r="L91" s="580">
        <v>36</v>
      </c>
      <c r="M91" s="581">
        <v>13.42</v>
      </c>
      <c r="N91" s="581">
        <v>26.21</v>
      </c>
      <c r="O91" s="581">
        <v>6.53</v>
      </c>
    </row>
    <row r="92" spans="11:15">
      <c r="L92" s="580">
        <v>37</v>
      </c>
      <c r="M92" s="581">
        <v>11.2</v>
      </c>
      <c r="N92" s="581">
        <v>29.98</v>
      </c>
      <c r="O92" s="581">
        <v>9.7799999999999994</v>
      </c>
    </row>
    <row r="93" spans="11:15">
      <c r="L93" s="580">
        <v>38</v>
      </c>
      <c r="M93" s="581">
        <v>11</v>
      </c>
      <c r="N93" s="581">
        <v>34.369999999999997</v>
      </c>
      <c r="O93" s="581">
        <v>7.47</v>
      </c>
    </row>
    <row r="94" spans="11:15">
      <c r="K94" s="579">
        <v>39</v>
      </c>
      <c r="L94" s="580">
        <v>39</v>
      </c>
      <c r="M94" s="581">
        <v>11.14</v>
      </c>
      <c r="N94" s="581">
        <v>42.17</v>
      </c>
      <c r="O94" s="581">
        <v>7.49</v>
      </c>
    </row>
    <row r="95" spans="11:15">
      <c r="L95" s="580">
        <v>40</v>
      </c>
      <c r="M95" s="581">
        <v>12.8</v>
      </c>
      <c r="N95" s="581">
        <v>37.270000000000003</v>
      </c>
      <c r="O95" s="581">
        <v>15.47</v>
      </c>
    </row>
    <row r="96" spans="11:15">
      <c r="L96" s="580">
        <v>41</v>
      </c>
      <c r="M96" s="581">
        <v>14.41</v>
      </c>
      <c r="N96" s="581">
        <v>40.04</v>
      </c>
      <c r="O96" s="581">
        <v>18</v>
      </c>
    </row>
    <row r="97" spans="10:15">
      <c r="L97" s="580">
        <v>42</v>
      </c>
      <c r="M97" s="581">
        <v>15.87</v>
      </c>
      <c r="N97" s="581">
        <v>35.79</v>
      </c>
      <c r="O97" s="581">
        <v>12.74</v>
      </c>
    </row>
    <row r="98" spans="10:15">
      <c r="K98" s="579">
        <v>43</v>
      </c>
      <c r="L98" s="580">
        <v>43</v>
      </c>
      <c r="M98" s="581">
        <v>19.61</v>
      </c>
      <c r="N98" s="581">
        <v>50.36</v>
      </c>
      <c r="O98" s="581">
        <v>30.75</v>
      </c>
    </row>
    <row r="99" spans="10:15">
      <c r="L99" s="580">
        <v>44</v>
      </c>
      <c r="M99" s="581">
        <v>21.85</v>
      </c>
      <c r="N99" s="581">
        <v>54.94</v>
      </c>
      <c r="O99" s="581">
        <v>23.58</v>
      </c>
    </row>
    <row r="100" spans="10:15">
      <c r="L100" s="580">
        <v>45</v>
      </c>
      <c r="M100" s="581">
        <v>16.79</v>
      </c>
      <c r="N100" s="581">
        <v>41.16</v>
      </c>
      <c r="O100" s="581">
        <v>11.77</v>
      </c>
    </row>
    <row r="101" spans="10:15">
      <c r="L101" s="580">
        <v>46</v>
      </c>
      <c r="M101" s="581">
        <v>16.010000000000002</v>
      </c>
      <c r="N101" s="581">
        <v>42.65</v>
      </c>
      <c r="O101" s="581">
        <v>9.33</v>
      </c>
    </row>
    <row r="102" spans="10:15">
      <c r="L102" s="580">
        <v>47</v>
      </c>
      <c r="M102" s="581">
        <v>14.72</v>
      </c>
      <c r="N102" s="581">
        <v>39.76</v>
      </c>
      <c r="O102" s="581">
        <v>8.19</v>
      </c>
    </row>
    <row r="103" spans="10:15">
      <c r="K103" s="579">
        <v>48</v>
      </c>
      <c r="L103" s="580">
        <v>48</v>
      </c>
      <c r="M103" s="581">
        <v>18.932000297142856</v>
      </c>
      <c r="N103" s="581">
        <v>47.388000487142854</v>
      </c>
      <c r="O103" s="581">
        <v>19.661285946</v>
      </c>
    </row>
    <row r="104" spans="10:15">
      <c r="L104" s="580">
        <v>49</v>
      </c>
      <c r="M104" s="581">
        <v>28.48371397</v>
      </c>
      <c r="N104" s="581">
        <v>78.087428497142852</v>
      </c>
      <c r="O104" s="581">
        <v>19.181428364285715</v>
      </c>
    </row>
    <row r="105" spans="10:15">
      <c r="L105" s="580">
        <v>50</v>
      </c>
      <c r="M105" s="581">
        <v>32.583286012857144</v>
      </c>
      <c r="N105" s="581">
        <v>69.764142717142846</v>
      </c>
      <c r="O105" s="581">
        <v>23.7245715</v>
      </c>
    </row>
    <row r="106" spans="10:15">
      <c r="L106" s="580">
        <v>51</v>
      </c>
      <c r="M106" s="581">
        <v>34.501856668571428</v>
      </c>
      <c r="N106" s="581">
        <v>71.14499991142857</v>
      </c>
      <c r="O106" s="581">
        <v>26.158142907142857</v>
      </c>
    </row>
    <row r="107" spans="10:15">
      <c r="K107" s="579">
        <v>52</v>
      </c>
      <c r="L107" s="580">
        <v>52</v>
      </c>
      <c r="M107" s="581">
        <v>27.781857355714287</v>
      </c>
      <c r="N107" s="581">
        <v>83.196000228571435</v>
      </c>
      <c r="O107" s="581">
        <v>21.776999882857144</v>
      </c>
    </row>
    <row r="108" spans="10:15">
      <c r="J108" s="540">
        <v>2018</v>
      </c>
      <c r="K108" s="579">
        <v>1</v>
      </c>
      <c r="L108" s="580">
        <v>1</v>
      </c>
      <c r="M108" s="581">
        <v>29.44</v>
      </c>
      <c r="N108" s="581">
        <v>69.087142857142865</v>
      </c>
      <c r="O108" s="581">
        <v>15.747142857142856</v>
      </c>
    </row>
    <row r="109" spans="10:15">
      <c r="L109" s="580">
        <v>2</v>
      </c>
      <c r="M109" s="581">
        <v>42.880857194285717</v>
      </c>
      <c r="N109" s="581">
        <v>96.785858138571413</v>
      </c>
      <c r="O109" s="581">
        <v>37.6</v>
      </c>
    </row>
    <row r="110" spans="10:15">
      <c r="L110" s="580">
        <v>3</v>
      </c>
      <c r="M110" s="581">
        <v>74.002572194285705</v>
      </c>
      <c r="N110" s="581">
        <v>158.17728531428571</v>
      </c>
      <c r="O110" s="581">
        <v>101.26128550142856</v>
      </c>
    </row>
    <row r="111" spans="10:15">
      <c r="K111" s="579">
        <v>4</v>
      </c>
      <c r="L111" s="580">
        <v>4</v>
      </c>
      <c r="M111" s="581">
        <v>77.812570845714291</v>
      </c>
      <c r="N111" s="581">
        <v>167.02357267142858</v>
      </c>
      <c r="O111" s="581">
        <v>77.354000085714276</v>
      </c>
    </row>
    <row r="112" spans="10:15">
      <c r="L112" s="580">
        <v>5</v>
      </c>
      <c r="M112" s="581">
        <v>61.531714848571433</v>
      </c>
      <c r="N112" s="581">
        <v>113.19585745142855</v>
      </c>
      <c r="O112" s="581">
        <v>30.667142595714285</v>
      </c>
    </row>
    <row r="113" spans="11:15">
      <c r="L113" s="580">
        <v>6</v>
      </c>
      <c r="M113" s="581">
        <v>54.024142672857138</v>
      </c>
      <c r="N113" s="581">
        <v>88.535714287142852</v>
      </c>
      <c r="O113" s="581">
        <v>32.444142750000005</v>
      </c>
    </row>
    <row r="114" spans="11:15">
      <c r="L114" s="580">
        <v>7</v>
      </c>
      <c r="M114" s="581">
        <v>59.271427155714285</v>
      </c>
      <c r="N114" s="581">
        <v>99.37822619047617</v>
      </c>
      <c r="O114" s="581">
        <v>30.338148809523812</v>
      </c>
    </row>
    <row r="115" spans="11:15">
      <c r="K115" s="579">
        <v>8</v>
      </c>
      <c r="L115" s="580">
        <v>8</v>
      </c>
      <c r="M115" s="581">
        <v>78.025571005714284</v>
      </c>
      <c r="N115" s="581">
        <v>140.28</v>
      </c>
      <c r="O115" s="581">
        <v>62.97</v>
      </c>
    </row>
    <row r="116" spans="11:15">
      <c r="L116" s="580">
        <v>9</v>
      </c>
      <c r="M116" s="581">
        <v>61.11871501571428</v>
      </c>
      <c r="N116" s="581">
        <v>102.99642836285715</v>
      </c>
      <c r="O116" s="581">
        <v>31.244571685714288</v>
      </c>
    </row>
    <row r="117" spans="11:15">
      <c r="L117" s="580">
        <v>10</v>
      </c>
      <c r="M117" s="581">
        <v>84.500714981428573</v>
      </c>
      <c r="N117" s="581">
        <v>175.90485927142853</v>
      </c>
      <c r="O117" s="581">
        <v>36.038285662857142</v>
      </c>
    </row>
    <row r="118" spans="11:15">
      <c r="L118" s="580">
        <v>11</v>
      </c>
      <c r="M118" s="581">
        <v>83.643855504285725</v>
      </c>
      <c r="N118" s="581">
        <v>169.64671761428571</v>
      </c>
      <c r="O118" s="581">
        <v>25.076428275714282</v>
      </c>
    </row>
    <row r="119" spans="11:15">
      <c r="K119" s="579">
        <v>12</v>
      </c>
      <c r="L119" s="580">
        <v>12</v>
      </c>
      <c r="M119" s="581">
        <v>98.99</v>
      </c>
      <c r="N119" s="581">
        <v>198.22</v>
      </c>
      <c r="O119" s="581">
        <v>24.63</v>
      </c>
    </row>
    <row r="120" spans="11:15">
      <c r="L120" s="580">
        <v>13</v>
      </c>
      <c r="M120" s="581">
        <v>106.64928652857144</v>
      </c>
      <c r="N120" s="581">
        <v>312.6314304857143</v>
      </c>
      <c r="O120" s="581">
        <v>38.701428550000003</v>
      </c>
    </row>
    <row r="121" spans="11:15">
      <c r="L121" s="580">
        <v>14</v>
      </c>
      <c r="M121" s="581">
        <v>86.488428389999996</v>
      </c>
      <c r="N121" s="581">
        <v>235.31328691428573</v>
      </c>
      <c r="O121" s="581">
        <v>94.596427907142839</v>
      </c>
    </row>
    <row r="122" spans="11:15">
      <c r="L122" s="580">
        <v>15</v>
      </c>
      <c r="M122" s="581">
        <v>88.217001778571429</v>
      </c>
      <c r="N122" s="581">
        <v>294.1721409428572</v>
      </c>
      <c r="O122" s="581">
        <v>92.07</v>
      </c>
    </row>
    <row r="123" spans="11:15">
      <c r="K123" s="579">
        <v>16</v>
      </c>
      <c r="L123" s="580">
        <v>16</v>
      </c>
      <c r="M123" s="581">
        <v>65.84</v>
      </c>
      <c r="N123" s="581">
        <v>149.18</v>
      </c>
      <c r="O123" s="581">
        <v>45.4</v>
      </c>
    </row>
    <row r="124" spans="11:15">
      <c r="L124" s="580">
        <v>17</v>
      </c>
      <c r="M124" s="581">
        <v>51.88</v>
      </c>
      <c r="N124" s="581">
        <v>104.35</v>
      </c>
      <c r="O124" s="581">
        <v>41.47</v>
      </c>
    </row>
    <row r="125" spans="11:15">
      <c r="L125" s="580">
        <v>18</v>
      </c>
      <c r="M125" s="581">
        <v>49.672285897142899</v>
      </c>
      <c r="N125" s="581">
        <v>78.038143701428567</v>
      </c>
      <c r="O125" s="581">
        <v>65.800999782857133</v>
      </c>
    </row>
    <row r="126" spans="11:15">
      <c r="M126" s="579" t="s">
        <v>310</v>
      </c>
      <c r="N126" s="579" t="s">
        <v>311</v>
      </c>
      <c r="O126" s="579" t="s">
        <v>312</v>
      </c>
    </row>
  </sheetData>
  <mergeCells count="2">
    <mergeCell ref="A3:G3"/>
    <mergeCell ref="A35:G35"/>
  </mergeCells>
  <pageMargins left="0.7" right="0.7" top="0.86956521739130432" bottom="0.61458333333333337" header="0.3" footer="0.3"/>
  <pageSetup orientation="portrait" r:id="rId1"/>
  <headerFooter>
    <oddHeader>&amp;R&amp;7Informe de la Operación Mensual - Abril 2018
INFSGI-MES-04-2018
10/05/2018
Versión: 01</oddHeader>
    <oddFooter>&amp;L&amp;7COES SINAC, 2018
&amp;C12&amp;R&amp;7Dirección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55641-C442-4E50-88E6-5F8E1AE35713}">
  <sheetPr>
    <tabColor theme="4"/>
  </sheetPr>
  <dimension ref="A1:AF126"/>
  <sheetViews>
    <sheetView showGridLines="0" view="pageBreakPreview" zoomScale="130" zoomScaleNormal="100" zoomScaleSheetLayoutView="130" zoomScalePageLayoutView="130" workbookViewId="0">
      <selection activeCell="P17" sqref="P17"/>
    </sheetView>
  </sheetViews>
  <sheetFormatPr defaultRowHeight="11.25"/>
  <cols>
    <col min="1" max="9" width="9.33203125" style="3"/>
    <col min="10" max="11" width="9.33203125" style="3" customWidth="1"/>
    <col min="12" max="13" width="9.33203125" style="3"/>
    <col min="14" max="30" width="9.33203125" style="579"/>
    <col min="31" max="32" width="9.33203125" style="540"/>
    <col min="33" max="16384" width="9.33203125" style="3"/>
  </cols>
  <sheetData>
    <row r="1" spans="1:25" ht="11.25" customHeight="1">
      <c r="A1" s="160"/>
      <c r="B1" s="160"/>
      <c r="C1" s="160"/>
      <c r="D1" s="160"/>
      <c r="E1" s="160"/>
      <c r="F1" s="160"/>
      <c r="G1" s="160"/>
      <c r="H1" s="160"/>
      <c r="I1" s="160"/>
      <c r="J1" s="160"/>
      <c r="K1" s="160"/>
      <c r="L1" s="160"/>
    </row>
    <row r="2" spans="1:25" ht="11.25" customHeight="1">
      <c r="A2" s="582"/>
      <c r="B2" s="583"/>
      <c r="C2" s="583"/>
      <c r="D2" s="583"/>
      <c r="E2" s="583"/>
      <c r="F2" s="583"/>
      <c r="G2" s="234"/>
      <c r="H2" s="234"/>
      <c r="I2" s="200"/>
      <c r="J2" s="160"/>
      <c r="K2" s="160"/>
      <c r="L2" s="160"/>
    </row>
    <row r="3" spans="1:25" ht="11.25" customHeight="1">
      <c r="A3" s="200"/>
      <c r="B3" s="200"/>
      <c r="C3" s="200"/>
      <c r="D3" s="200"/>
      <c r="E3" s="200"/>
      <c r="F3" s="200"/>
      <c r="G3" s="159"/>
      <c r="H3" s="159"/>
      <c r="I3" s="159"/>
      <c r="J3" s="175"/>
      <c r="K3" s="175"/>
      <c r="L3" s="175"/>
      <c r="O3" s="579" t="s">
        <v>309</v>
      </c>
      <c r="P3" s="580"/>
      <c r="Q3" s="579" t="s">
        <v>313</v>
      </c>
      <c r="R3" s="579" t="s">
        <v>314</v>
      </c>
      <c r="S3" s="579" t="s">
        <v>315</v>
      </c>
      <c r="T3" s="579" t="s">
        <v>316</v>
      </c>
      <c r="U3" s="579" t="s">
        <v>317</v>
      </c>
      <c r="V3" s="579" t="s">
        <v>318</v>
      </c>
      <c r="W3" s="579" t="s">
        <v>319</v>
      </c>
      <c r="X3" s="579" t="s">
        <v>320</v>
      </c>
      <c r="Y3" s="579" t="s">
        <v>321</v>
      </c>
    </row>
    <row r="4" spans="1:25" ht="11.25" customHeight="1">
      <c r="A4" s="200"/>
      <c r="B4" s="200"/>
      <c r="C4" s="200"/>
      <c r="D4" s="200"/>
      <c r="E4" s="200"/>
      <c r="F4" s="200"/>
      <c r="G4" s="159"/>
      <c r="H4" s="159"/>
      <c r="I4" s="159"/>
      <c r="J4" s="175"/>
      <c r="K4" s="175"/>
      <c r="L4" s="175"/>
      <c r="N4" s="579">
        <v>2016</v>
      </c>
      <c r="O4" s="579">
        <v>1</v>
      </c>
      <c r="P4" s="580">
        <v>1</v>
      </c>
      <c r="Q4" s="581">
        <v>12.12</v>
      </c>
      <c r="R4" s="581">
        <v>8.33</v>
      </c>
      <c r="S4" s="581">
        <v>165.03200000000001</v>
      </c>
      <c r="T4" s="581">
        <v>95.83</v>
      </c>
      <c r="U4" s="581">
        <v>18.5</v>
      </c>
      <c r="V4" s="581">
        <v>10.01</v>
      </c>
      <c r="W4" s="581">
        <v>1.23</v>
      </c>
      <c r="X4" s="581">
        <v>109.19</v>
      </c>
      <c r="Y4" s="581">
        <v>37.270000000000003</v>
      </c>
    </row>
    <row r="5" spans="1:25" ht="11.25" customHeight="1">
      <c r="A5" s="584"/>
      <c r="B5" s="584"/>
      <c r="C5" s="584"/>
      <c r="D5" s="584"/>
      <c r="E5" s="584"/>
      <c r="F5" s="584"/>
      <c r="G5" s="584"/>
      <c r="H5" s="584"/>
      <c r="I5" s="584"/>
      <c r="J5" s="31"/>
      <c r="K5" s="31"/>
      <c r="L5" s="152"/>
      <c r="P5" s="580">
        <v>2</v>
      </c>
      <c r="Q5" s="581">
        <v>10.45</v>
      </c>
      <c r="R5" s="581">
        <v>5.38</v>
      </c>
      <c r="S5" s="581">
        <v>137.04</v>
      </c>
      <c r="T5" s="581">
        <v>78.260000000000005</v>
      </c>
      <c r="U5" s="581">
        <v>13.1</v>
      </c>
      <c r="V5" s="581">
        <v>10</v>
      </c>
      <c r="W5" s="581">
        <v>1.18</v>
      </c>
      <c r="X5" s="581">
        <v>177.91</v>
      </c>
      <c r="Y5" s="581">
        <v>53.34</v>
      </c>
    </row>
    <row r="6" spans="1:25" ht="11.25" customHeight="1">
      <c r="A6" s="200"/>
      <c r="B6" s="585"/>
      <c r="C6" s="586"/>
      <c r="D6" s="587"/>
      <c r="E6" s="587"/>
      <c r="F6" s="588"/>
      <c r="G6" s="589"/>
      <c r="H6" s="589"/>
      <c r="I6" s="249"/>
      <c r="J6" s="31"/>
      <c r="K6" s="31"/>
      <c r="L6" s="26"/>
      <c r="P6" s="580">
        <v>3</v>
      </c>
      <c r="Q6" s="581">
        <v>10.396000000000001</v>
      </c>
      <c r="R6" s="581">
        <v>5.29</v>
      </c>
      <c r="S6" s="581">
        <v>102.45</v>
      </c>
      <c r="T6" s="581">
        <v>101.264</v>
      </c>
      <c r="U6" s="581">
        <v>15.26</v>
      </c>
      <c r="V6" s="581">
        <v>10.01</v>
      </c>
      <c r="W6" s="581">
        <v>1.2529999999999999</v>
      </c>
      <c r="X6" s="581">
        <v>248.28</v>
      </c>
      <c r="Y6" s="581">
        <v>76.69</v>
      </c>
    </row>
    <row r="7" spans="1:25" ht="11.25" customHeight="1">
      <c r="A7" s="200"/>
      <c r="B7" s="250"/>
      <c r="C7" s="250"/>
      <c r="D7" s="251"/>
      <c r="E7" s="251"/>
      <c r="F7" s="588"/>
      <c r="G7" s="589"/>
      <c r="H7" s="589"/>
      <c r="I7" s="249"/>
      <c r="J7" s="32"/>
      <c r="K7" s="32"/>
      <c r="L7" s="29"/>
      <c r="O7" s="579">
        <v>4</v>
      </c>
      <c r="P7" s="580">
        <v>4</v>
      </c>
      <c r="Q7" s="581">
        <v>10.32</v>
      </c>
      <c r="R7" s="581">
        <v>6.0640000000000001</v>
      </c>
      <c r="S7" s="581">
        <v>93.71</v>
      </c>
      <c r="T7" s="581">
        <v>79.73</v>
      </c>
      <c r="U7" s="581">
        <v>12.66</v>
      </c>
      <c r="V7" s="581">
        <v>10.01</v>
      </c>
      <c r="W7" s="581">
        <v>1.22</v>
      </c>
      <c r="X7" s="581">
        <v>142.55000000000001</v>
      </c>
      <c r="Y7" s="581">
        <v>40.92</v>
      </c>
    </row>
    <row r="8" spans="1:25" ht="11.25" customHeight="1">
      <c r="A8" s="200"/>
      <c r="B8" s="252"/>
      <c r="C8" s="179"/>
      <c r="D8" s="191"/>
      <c r="E8" s="191"/>
      <c r="F8" s="588"/>
      <c r="G8" s="589"/>
      <c r="H8" s="589"/>
      <c r="I8" s="249"/>
      <c r="J8" s="30"/>
      <c r="K8" s="30"/>
      <c r="L8" s="31"/>
      <c r="P8" s="580">
        <v>5</v>
      </c>
      <c r="Q8" s="581">
        <v>14.34</v>
      </c>
      <c r="R8" s="581">
        <v>9.59</v>
      </c>
      <c r="S8" s="581">
        <v>142.55000000000001</v>
      </c>
      <c r="T8" s="581">
        <v>128.66</v>
      </c>
      <c r="U8" s="581">
        <v>24.24</v>
      </c>
      <c r="V8" s="581">
        <v>10.01</v>
      </c>
      <c r="W8" s="581">
        <v>1.17</v>
      </c>
      <c r="X8" s="581">
        <v>251.59399999999999</v>
      </c>
      <c r="Y8" s="581">
        <v>58.97</v>
      </c>
    </row>
    <row r="9" spans="1:25" ht="11.25" customHeight="1">
      <c r="A9" s="200"/>
      <c r="B9" s="252"/>
      <c r="C9" s="179"/>
      <c r="D9" s="191"/>
      <c r="E9" s="191"/>
      <c r="F9" s="588"/>
      <c r="G9" s="589"/>
      <c r="H9" s="589"/>
      <c r="I9" s="249"/>
      <c r="J9" s="32"/>
      <c r="K9" s="33"/>
      <c r="L9" s="34"/>
      <c r="P9" s="580">
        <v>6</v>
      </c>
      <c r="Q9" s="581">
        <v>14.98</v>
      </c>
      <c r="R9" s="581">
        <v>12.82</v>
      </c>
      <c r="S9" s="581">
        <v>223.15</v>
      </c>
      <c r="T9" s="581">
        <v>174.87</v>
      </c>
      <c r="U9" s="581">
        <v>35.18</v>
      </c>
      <c r="V9" s="581">
        <v>9.01</v>
      </c>
      <c r="W9" s="581">
        <v>0.82</v>
      </c>
      <c r="X9" s="581">
        <v>388.05428210000002</v>
      </c>
      <c r="Y9" s="581">
        <v>80.41</v>
      </c>
    </row>
    <row r="10" spans="1:25" ht="11.25" customHeight="1">
      <c r="A10" s="200"/>
      <c r="B10" s="252"/>
      <c r="C10" s="179"/>
      <c r="D10" s="191"/>
      <c r="E10" s="191"/>
      <c r="F10" s="588"/>
      <c r="G10" s="589"/>
      <c r="H10" s="589"/>
      <c r="I10" s="249"/>
      <c r="J10" s="32"/>
      <c r="K10" s="32"/>
      <c r="L10" s="29"/>
      <c r="P10" s="580">
        <v>7</v>
      </c>
      <c r="Q10" s="581">
        <v>15.86</v>
      </c>
      <c r="R10" s="581">
        <v>12.43</v>
      </c>
      <c r="S10" s="581">
        <v>223.86</v>
      </c>
      <c r="T10" s="581">
        <v>126.56</v>
      </c>
      <c r="U10" s="581">
        <v>25.04</v>
      </c>
      <c r="V10" s="581">
        <v>9.01</v>
      </c>
      <c r="W10" s="581">
        <v>1.59</v>
      </c>
      <c r="X10" s="581">
        <v>283.21000240000001</v>
      </c>
      <c r="Y10" s="581">
        <v>53.36</v>
      </c>
    </row>
    <row r="11" spans="1:25" ht="11.25" customHeight="1">
      <c r="A11" s="200"/>
      <c r="B11" s="191"/>
      <c r="C11" s="179"/>
      <c r="D11" s="191"/>
      <c r="E11" s="191"/>
      <c r="F11" s="588"/>
      <c r="G11" s="589"/>
      <c r="H11" s="589"/>
      <c r="I11" s="249"/>
      <c r="J11" s="32"/>
      <c r="K11" s="32"/>
      <c r="L11" s="29"/>
      <c r="O11" s="579">
        <v>8</v>
      </c>
      <c r="P11" s="580">
        <v>8</v>
      </c>
      <c r="Q11" s="581">
        <v>22.12</v>
      </c>
      <c r="R11" s="581">
        <v>19.3</v>
      </c>
      <c r="S11" s="581">
        <v>297.45999999999998</v>
      </c>
      <c r="T11" s="581">
        <v>188.83</v>
      </c>
      <c r="U11" s="581">
        <v>26.72</v>
      </c>
      <c r="V11" s="581">
        <v>18.309999999999999</v>
      </c>
      <c r="W11" s="581">
        <v>14.62</v>
      </c>
      <c r="X11" s="581">
        <v>414.29357470000002</v>
      </c>
      <c r="Y11" s="581">
        <v>65.55</v>
      </c>
    </row>
    <row r="12" spans="1:25" ht="11.25" customHeight="1">
      <c r="A12" s="200"/>
      <c r="B12" s="191"/>
      <c r="C12" s="179"/>
      <c r="D12" s="191"/>
      <c r="E12" s="191"/>
      <c r="F12" s="588"/>
      <c r="G12" s="589"/>
      <c r="H12" s="589"/>
      <c r="I12" s="249"/>
      <c r="J12" s="32"/>
      <c r="K12" s="32"/>
      <c r="L12" s="29"/>
      <c r="P12" s="580">
        <v>9</v>
      </c>
      <c r="Q12" s="581">
        <v>31.986428669999999</v>
      </c>
      <c r="R12" s="581">
        <v>19.514333090000001</v>
      </c>
      <c r="S12" s="581">
        <v>326.48699649999998</v>
      </c>
      <c r="T12" s="581">
        <v>170.33500290000001</v>
      </c>
      <c r="U12" s="581">
        <v>30.940000529999999</v>
      </c>
      <c r="V12" s="581">
        <v>16.54985727582655</v>
      </c>
      <c r="W12" s="581">
        <v>7.4597144130000004</v>
      </c>
      <c r="X12" s="581">
        <v>382.60643219999997</v>
      </c>
      <c r="Y12" s="581">
        <v>72.96314185</v>
      </c>
    </row>
    <row r="13" spans="1:25" ht="11.25" customHeight="1">
      <c r="A13" s="200"/>
      <c r="B13" s="191"/>
      <c r="C13" s="179"/>
      <c r="D13" s="191"/>
      <c r="E13" s="191"/>
      <c r="F13" s="588"/>
      <c r="G13" s="589"/>
      <c r="H13" s="589"/>
      <c r="I13" s="249"/>
      <c r="J13" s="30"/>
      <c r="K13" s="30"/>
      <c r="L13" s="31"/>
      <c r="P13" s="580">
        <v>10</v>
      </c>
      <c r="Q13" s="581">
        <v>21.817856924874398</v>
      </c>
      <c r="R13" s="581">
        <v>20.1870002746582</v>
      </c>
      <c r="S13" s="581">
        <v>281.91442869999997</v>
      </c>
      <c r="T13" s="581">
        <v>164.05856977190246</v>
      </c>
      <c r="U13" s="581">
        <v>30.751428604125927</v>
      </c>
      <c r="V13" s="581">
        <v>9.5257144655499921</v>
      </c>
      <c r="W13" s="581">
        <v>2.1815714495522598</v>
      </c>
      <c r="X13" s="581">
        <v>245.78571646554084</v>
      </c>
      <c r="Y13" s="581">
        <v>47.002858298165428</v>
      </c>
    </row>
    <row r="14" spans="1:25" ht="11.25" customHeight="1">
      <c r="A14" s="200"/>
      <c r="B14" s="191"/>
      <c r="C14" s="179"/>
      <c r="D14" s="191"/>
      <c r="E14" s="191"/>
      <c r="F14" s="588"/>
      <c r="G14" s="589"/>
      <c r="H14" s="589"/>
      <c r="I14" s="249"/>
      <c r="J14" s="32"/>
      <c r="K14" s="33"/>
      <c r="L14" s="34"/>
      <c r="P14" s="580">
        <v>11</v>
      </c>
      <c r="Q14" s="581">
        <v>21.645000185285259</v>
      </c>
      <c r="R14" s="581">
        <v>18.452999932425314</v>
      </c>
      <c r="S14" s="581">
        <v>302.97000000000003</v>
      </c>
      <c r="T14" s="581">
        <v>146.11571393694155</v>
      </c>
      <c r="U14" s="581">
        <v>26.230000359671411</v>
      </c>
      <c r="V14" s="581">
        <v>10.001428604125973</v>
      </c>
      <c r="W14" s="581">
        <v>1.7041428429739771</v>
      </c>
      <c r="X14" s="581">
        <v>239.62</v>
      </c>
      <c r="Y14" s="581">
        <v>42.29</v>
      </c>
    </row>
    <row r="15" spans="1:25" ht="11.25" customHeight="1">
      <c r="A15" s="200"/>
      <c r="B15" s="191"/>
      <c r="C15" s="179"/>
      <c r="D15" s="191"/>
      <c r="E15" s="191"/>
      <c r="F15" s="588"/>
      <c r="G15" s="589"/>
      <c r="H15" s="589"/>
      <c r="I15" s="249"/>
      <c r="J15" s="32"/>
      <c r="K15" s="33"/>
      <c r="L15" s="29"/>
      <c r="O15" s="579">
        <v>12</v>
      </c>
      <c r="P15" s="580">
        <v>12</v>
      </c>
      <c r="Q15" s="581">
        <v>15.247000013078916</v>
      </c>
      <c r="R15" s="581">
        <v>12.7100000381469</v>
      </c>
      <c r="S15" s="581">
        <v>179.33771623883899</v>
      </c>
      <c r="T15" s="581">
        <v>114.18428584507485</v>
      </c>
      <c r="U15" s="581">
        <v>18.61999988555905</v>
      </c>
      <c r="V15" s="581">
        <v>9.9999999999999964</v>
      </c>
      <c r="W15" s="581">
        <v>1.2444285835538544</v>
      </c>
      <c r="X15" s="581">
        <v>150.27357046944684</v>
      </c>
      <c r="Y15" s="581">
        <v>24.915714263915959</v>
      </c>
    </row>
    <row r="16" spans="1:25" ht="11.25" customHeight="1">
      <c r="A16" s="200"/>
      <c r="B16" s="191"/>
      <c r="C16" s="179"/>
      <c r="D16" s="191"/>
      <c r="E16" s="191"/>
      <c r="F16" s="588"/>
      <c r="G16" s="589"/>
      <c r="H16" s="589"/>
      <c r="I16" s="249"/>
      <c r="J16" s="32"/>
      <c r="K16" s="33"/>
      <c r="L16" s="29"/>
      <c r="P16" s="580">
        <v>13</v>
      </c>
      <c r="Q16" s="581">
        <v>17.322999954223601</v>
      </c>
      <c r="R16" s="581">
        <v>15.171999931335399</v>
      </c>
      <c r="S16" s="581">
        <v>130.67500305175699</v>
      </c>
      <c r="T16" s="581">
        <v>89.040000915527301</v>
      </c>
      <c r="U16" s="581">
        <v>15.310000419616699</v>
      </c>
      <c r="V16" s="581">
        <v>10</v>
      </c>
      <c r="W16" s="581">
        <v>1.0199999809265099</v>
      </c>
      <c r="X16" s="581">
        <v>116.33999633789</v>
      </c>
      <c r="Y16" s="581">
        <v>24.159999847412099</v>
      </c>
    </row>
    <row r="17" spans="1:25" ht="11.25" customHeight="1">
      <c r="A17" s="200"/>
      <c r="B17" s="191"/>
      <c r="C17" s="179"/>
      <c r="D17" s="191"/>
      <c r="E17" s="191"/>
      <c r="F17" s="588"/>
      <c r="G17" s="589"/>
      <c r="H17" s="589"/>
      <c r="I17" s="249"/>
      <c r="J17" s="32"/>
      <c r="K17" s="33"/>
      <c r="L17" s="29"/>
      <c r="P17" s="580">
        <v>14</v>
      </c>
      <c r="Q17" s="581">
        <v>14.828142711094401</v>
      </c>
      <c r="R17" s="581">
        <v>13.217000007629398</v>
      </c>
      <c r="S17" s="581">
        <v>121.81457192557171</v>
      </c>
      <c r="T17" s="581">
        <v>78.037142072405103</v>
      </c>
      <c r="U17" s="581">
        <v>14.082857131957956</v>
      </c>
      <c r="V17" s="581">
        <v>10.001428604125973</v>
      </c>
      <c r="W17" s="581">
        <v>1.3691428899764975</v>
      </c>
      <c r="X17" s="581">
        <v>126.18428475516127</v>
      </c>
      <c r="Y17" s="581">
        <v>22.646999904087572</v>
      </c>
    </row>
    <row r="18" spans="1:25" ht="11.25" customHeight="1">
      <c r="A18" s="933" t="s">
        <v>605</v>
      </c>
      <c r="B18" s="933"/>
      <c r="C18" s="933"/>
      <c r="D18" s="933"/>
      <c r="E18" s="933"/>
      <c r="F18" s="933"/>
      <c r="G18" s="933"/>
      <c r="H18" s="933"/>
      <c r="I18" s="933"/>
      <c r="J18" s="933"/>
      <c r="K18" s="933"/>
      <c r="L18" s="933"/>
      <c r="P18" s="580">
        <v>15</v>
      </c>
      <c r="Q18" s="581">
        <v>15.017142977033298</v>
      </c>
      <c r="R18" s="581">
        <v>11.291000366210898</v>
      </c>
      <c r="S18" s="581">
        <v>184.69442967006074</v>
      </c>
      <c r="T18" s="581">
        <v>74.048570905412902</v>
      </c>
      <c r="U18" s="581">
        <v>17.312857082911869</v>
      </c>
      <c r="V18" s="581">
        <v>10.005714416503881</v>
      </c>
      <c r="W18" s="581">
        <v>1.6558571543012313</v>
      </c>
      <c r="X18" s="581">
        <v>140.54571315220355</v>
      </c>
      <c r="Y18" s="581">
        <v>22.742571422031897</v>
      </c>
    </row>
    <row r="19" spans="1:25" ht="11.25" customHeight="1">
      <c r="A19" s="253"/>
      <c r="B19" s="191"/>
      <c r="C19" s="179"/>
      <c r="D19" s="191"/>
      <c r="E19" s="191"/>
      <c r="F19" s="247"/>
      <c r="G19" s="248"/>
      <c r="H19" s="248"/>
      <c r="I19" s="249"/>
      <c r="J19" s="32"/>
      <c r="K19" s="33"/>
      <c r="L19" s="29"/>
      <c r="O19" s="579">
        <v>16</v>
      </c>
      <c r="P19" s="580">
        <v>16</v>
      </c>
      <c r="Q19" s="581">
        <v>13.98</v>
      </c>
      <c r="R19" s="581">
        <v>11.63</v>
      </c>
      <c r="S19" s="581">
        <v>164.52</v>
      </c>
      <c r="T19" s="581">
        <v>81.069999999999993</v>
      </c>
      <c r="U19" s="581">
        <v>21.07</v>
      </c>
      <c r="V19" s="581">
        <v>10.01</v>
      </c>
      <c r="W19" s="581">
        <v>1.27</v>
      </c>
      <c r="X19" s="581">
        <v>141.29</v>
      </c>
      <c r="Y19" s="581">
        <v>23.21</v>
      </c>
    </row>
    <row r="20" spans="1:25" ht="11.25" customHeight="1">
      <c r="A20" s="153"/>
      <c r="B20" s="191"/>
      <c r="C20" s="179"/>
      <c r="D20" s="191"/>
      <c r="E20" s="191"/>
      <c r="F20" s="247"/>
      <c r="G20" s="248"/>
      <c r="H20" s="248"/>
      <c r="I20" s="249"/>
      <c r="J20" s="32"/>
      <c r="K20" s="33"/>
      <c r="L20" s="29"/>
      <c r="P20" s="580">
        <v>17</v>
      </c>
      <c r="Q20" s="581">
        <v>12.944285669999999</v>
      </c>
      <c r="R20" s="581">
        <v>10.010000228881799</v>
      </c>
      <c r="S20" s="581">
        <v>152.88357325962556</v>
      </c>
      <c r="T20" s="581">
        <v>64.311428070000005</v>
      </c>
      <c r="U20" s="581">
        <v>16.638571469999999</v>
      </c>
      <c r="V20" s="581">
        <v>10.004285812377887</v>
      </c>
      <c r="W20" s="581">
        <v>1.7342857122421229</v>
      </c>
      <c r="X20" s="581">
        <v>105.73500061035119</v>
      </c>
      <c r="Y20" s="581">
        <v>19.724285806928286</v>
      </c>
    </row>
    <row r="21" spans="1:25" ht="11.25" customHeight="1">
      <c r="A21" s="153"/>
      <c r="B21" s="191"/>
      <c r="C21" s="179"/>
      <c r="D21" s="191"/>
      <c r="E21" s="191"/>
      <c r="F21" s="247"/>
      <c r="G21" s="248"/>
      <c r="H21" s="248"/>
      <c r="I21" s="249"/>
      <c r="J21" s="32"/>
      <c r="K21" s="38"/>
      <c r="L21" s="39"/>
      <c r="P21" s="580">
        <v>18</v>
      </c>
      <c r="Q21" s="581">
        <v>10.727142742701899</v>
      </c>
      <c r="R21" s="581">
        <v>6.3112858363560251</v>
      </c>
      <c r="S21" s="581">
        <v>98.225285121372636</v>
      </c>
      <c r="T21" s="581">
        <v>46.242857796805197</v>
      </c>
      <c r="U21" s="581">
        <v>10.637142998831566</v>
      </c>
      <c r="V21" s="581">
        <v>10.007143020629858</v>
      </c>
      <c r="W21" s="581">
        <v>1.4345714194433998</v>
      </c>
      <c r="X21" s="581">
        <v>72.620000566754968</v>
      </c>
      <c r="Y21" s="581">
        <v>14.075714383806471</v>
      </c>
    </row>
    <row r="22" spans="1:25" ht="11.25" customHeight="1">
      <c r="A22" s="158"/>
      <c r="B22" s="191"/>
      <c r="C22" s="179"/>
      <c r="D22" s="191"/>
      <c r="E22" s="191"/>
      <c r="F22" s="247"/>
      <c r="G22" s="248"/>
      <c r="H22" s="248"/>
      <c r="I22" s="249"/>
      <c r="J22" s="32"/>
      <c r="K22" s="33"/>
      <c r="L22" s="29"/>
      <c r="P22" s="580">
        <v>19</v>
      </c>
      <c r="Q22" s="581">
        <v>9.4342857088361427</v>
      </c>
      <c r="R22" s="581">
        <v>7.4910001754760689</v>
      </c>
      <c r="S22" s="581">
        <v>86.615142822265582</v>
      </c>
      <c r="T22" s="581">
        <v>41.954286302838973</v>
      </c>
      <c r="U22" s="581">
        <v>9.4342857088361427</v>
      </c>
      <c r="V22" s="581">
        <v>10.004285812377914</v>
      </c>
      <c r="W22" s="581">
        <v>1.3051428794860784</v>
      </c>
      <c r="X22" s="581">
        <v>60.497857775006928</v>
      </c>
      <c r="Y22" s="581">
        <v>12.797142846243686</v>
      </c>
    </row>
    <row r="23" spans="1:25" ht="11.25" customHeight="1">
      <c r="A23" s="158"/>
      <c r="B23" s="191"/>
      <c r="C23" s="179"/>
      <c r="D23" s="191"/>
      <c r="E23" s="191"/>
      <c r="F23" s="247"/>
      <c r="G23" s="248"/>
      <c r="H23" s="248"/>
      <c r="I23" s="249"/>
      <c r="J23" s="32"/>
      <c r="K23" s="33"/>
      <c r="L23" s="29"/>
      <c r="O23" s="579">
        <v>20</v>
      </c>
      <c r="P23" s="580">
        <v>20</v>
      </c>
      <c r="Q23" s="581">
        <v>9.1999999999999993</v>
      </c>
      <c r="R23" s="581">
        <v>6.8</v>
      </c>
      <c r="S23" s="581">
        <v>78.2</v>
      </c>
      <c r="T23" s="581">
        <v>39.6</v>
      </c>
      <c r="U23" s="581">
        <v>8.6</v>
      </c>
      <c r="V23" s="581">
        <v>10</v>
      </c>
      <c r="W23" s="581">
        <v>1.6</v>
      </c>
      <c r="X23" s="581">
        <v>56.6</v>
      </c>
      <c r="Y23" s="581">
        <v>12.9</v>
      </c>
    </row>
    <row r="24" spans="1:25" ht="11.25" customHeight="1">
      <c r="A24" s="158"/>
      <c r="B24" s="191"/>
      <c r="C24" s="179"/>
      <c r="D24" s="191"/>
      <c r="E24" s="191"/>
      <c r="F24" s="247"/>
      <c r="G24" s="248"/>
      <c r="H24" s="248"/>
      <c r="I24" s="249"/>
      <c r="J24" s="33"/>
      <c r="K24" s="33"/>
      <c r="L24" s="29"/>
      <c r="P24" s="580">
        <v>21</v>
      </c>
      <c r="Q24" s="581">
        <v>9.0128573008945967</v>
      </c>
      <c r="R24" s="581">
        <v>5.4099998474121005</v>
      </c>
      <c r="S24" s="581">
        <v>73.744141714913454</v>
      </c>
      <c r="T24" s="581">
        <v>44.79285812377924</v>
      </c>
      <c r="U24" s="581">
        <v>10.11999988555907</v>
      </c>
      <c r="V24" s="581">
        <v>10.011428560529414</v>
      </c>
      <c r="W24" s="581">
        <v>1.2349999972752113</v>
      </c>
      <c r="X24" s="581">
        <v>52.17071369716097</v>
      </c>
      <c r="Y24" s="581">
        <v>11.968571390424414</v>
      </c>
    </row>
    <row r="25" spans="1:25" ht="11.25" customHeight="1">
      <c r="A25" s="158"/>
      <c r="B25" s="191"/>
      <c r="C25" s="179"/>
      <c r="D25" s="191"/>
      <c r="E25" s="191"/>
      <c r="F25" s="247"/>
      <c r="G25" s="248"/>
      <c r="H25" s="248"/>
      <c r="I25" s="249"/>
      <c r="J25" s="32"/>
      <c r="K25" s="38"/>
      <c r="L25" s="39"/>
      <c r="P25" s="580">
        <v>22</v>
      </c>
      <c r="Q25" s="581">
        <v>7.95</v>
      </c>
      <c r="R25" s="581">
        <v>3.82</v>
      </c>
      <c r="S25" s="581">
        <v>66.739999999999995</v>
      </c>
      <c r="T25" s="581">
        <v>34.01</v>
      </c>
      <c r="U25" s="581">
        <v>8.15</v>
      </c>
      <c r="V25" s="581">
        <v>10.02</v>
      </c>
      <c r="W25" s="581">
        <v>1.52</v>
      </c>
      <c r="X25" s="581">
        <v>46.88</v>
      </c>
      <c r="Y25" s="581">
        <v>9.89</v>
      </c>
    </row>
    <row r="26" spans="1:25" ht="11.25" customHeight="1">
      <c r="A26" s="158"/>
      <c r="B26" s="191"/>
      <c r="C26" s="179"/>
      <c r="D26" s="191"/>
      <c r="E26" s="191"/>
      <c r="F26" s="159"/>
      <c r="G26" s="159"/>
      <c r="H26" s="159"/>
      <c r="I26" s="159"/>
      <c r="J26" s="30"/>
      <c r="K26" s="33"/>
      <c r="L26" s="29"/>
      <c r="P26" s="580">
        <v>23</v>
      </c>
      <c r="Q26" s="581">
        <v>7.6</v>
      </c>
      <c r="R26" s="581">
        <v>3.22</v>
      </c>
      <c r="S26" s="581">
        <v>59.4</v>
      </c>
      <c r="T26" s="581">
        <v>28.71</v>
      </c>
      <c r="U26" s="581">
        <v>7.74</v>
      </c>
      <c r="V26" s="581">
        <v>10</v>
      </c>
      <c r="W26" s="581">
        <v>1.55</v>
      </c>
      <c r="X26" s="581">
        <v>43.39</v>
      </c>
      <c r="Y26" s="581">
        <v>8.57</v>
      </c>
    </row>
    <row r="27" spans="1:25" ht="11.25" customHeight="1">
      <c r="A27" s="158"/>
      <c r="B27" s="191"/>
      <c r="C27" s="179"/>
      <c r="D27" s="191"/>
      <c r="E27" s="191"/>
      <c r="F27" s="159"/>
      <c r="G27" s="159"/>
      <c r="H27" s="159"/>
      <c r="I27" s="159"/>
      <c r="J27" s="30"/>
      <c r="K27" s="33"/>
      <c r="L27" s="29"/>
      <c r="O27" s="579">
        <v>24</v>
      </c>
      <c r="P27" s="580">
        <v>24</v>
      </c>
      <c r="Q27" s="581">
        <v>9.57</v>
      </c>
      <c r="R27" s="581">
        <v>3.42</v>
      </c>
      <c r="S27" s="581">
        <v>54.3</v>
      </c>
      <c r="T27" s="581">
        <v>30.83</v>
      </c>
      <c r="U27" s="581">
        <v>7.53</v>
      </c>
      <c r="V27" s="581">
        <v>10</v>
      </c>
      <c r="W27" s="581">
        <v>1.6</v>
      </c>
      <c r="X27" s="581">
        <v>40.28</v>
      </c>
      <c r="Y27" s="581">
        <v>9.6</v>
      </c>
    </row>
    <row r="28" spans="1:25" ht="11.25" customHeight="1">
      <c r="A28" s="157"/>
      <c r="B28" s="159"/>
      <c r="C28" s="159"/>
      <c r="D28" s="159"/>
      <c r="E28" s="159"/>
      <c r="F28" s="159"/>
      <c r="G28" s="159"/>
      <c r="H28" s="159"/>
      <c r="I28" s="159"/>
      <c r="J28" s="32"/>
      <c r="K28" s="33"/>
      <c r="L28" s="29"/>
      <c r="P28" s="580">
        <v>25</v>
      </c>
      <c r="Q28" s="581">
        <v>9.0548571179999993</v>
      </c>
      <c r="R28" s="581">
        <v>3.2130000590000001</v>
      </c>
      <c r="S28" s="581">
        <v>56.674428669999998</v>
      </c>
      <c r="T28" s="581">
        <v>25.690000260000001</v>
      </c>
      <c r="U28" s="581">
        <v>6.9342856409999998</v>
      </c>
      <c r="V28" s="581">
        <v>10.00571442</v>
      </c>
      <c r="W28" s="581">
        <v>1.254714302</v>
      </c>
      <c r="X28" s="581">
        <v>37.560714179999998</v>
      </c>
      <c r="Y28" s="581">
        <v>7.91285726</v>
      </c>
    </row>
    <row r="29" spans="1:25" ht="11.25" customHeight="1">
      <c r="A29" s="157"/>
      <c r="B29" s="159"/>
      <c r="C29" s="159"/>
      <c r="D29" s="159"/>
      <c r="E29" s="159"/>
      <c r="F29" s="159"/>
      <c r="G29" s="159"/>
      <c r="H29" s="159"/>
      <c r="I29" s="159"/>
      <c r="J29" s="32"/>
      <c r="K29" s="33"/>
      <c r="L29" s="29"/>
      <c r="P29" s="580">
        <v>26</v>
      </c>
      <c r="Q29" s="581">
        <v>8.8612857550000008</v>
      </c>
      <c r="R29" s="581">
        <v>3.5</v>
      </c>
      <c r="S29" s="581">
        <v>68.087428501674069</v>
      </c>
      <c r="T29" s="581">
        <v>30.317143300000001</v>
      </c>
      <c r="U29" s="581">
        <v>8.8971428190000008</v>
      </c>
      <c r="V29" s="581">
        <v>10</v>
      </c>
      <c r="W29" s="581">
        <v>1.4324285809999999</v>
      </c>
      <c r="X29" s="581">
        <v>37.759999409999999</v>
      </c>
      <c r="Y29" s="581">
        <v>8.911428656</v>
      </c>
    </row>
    <row r="30" spans="1:25" ht="11.25" customHeight="1">
      <c r="A30" s="157"/>
      <c r="B30" s="159"/>
      <c r="C30" s="159"/>
      <c r="D30" s="159"/>
      <c r="E30" s="159"/>
      <c r="F30" s="159"/>
      <c r="G30" s="159"/>
      <c r="H30" s="159"/>
      <c r="I30" s="159"/>
      <c r="J30" s="32"/>
      <c r="K30" s="33"/>
      <c r="L30" s="29"/>
      <c r="P30" s="580">
        <v>27</v>
      </c>
      <c r="Q30" s="581">
        <v>8.3185714990000008</v>
      </c>
      <c r="R30" s="581">
        <v>4.0900001530000001</v>
      </c>
      <c r="S30" s="581">
        <v>60.110428400000004</v>
      </c>
      <c r="T30" s="581">
        <v>28.581429350000001</v>
      </c>
      <c r="U30" s="581">
        <v>7.9442856649999998</v>
      </c>
      <c r="V30" s="581">
        <v>10.001428600000001</v>
      </c>
      <c r="W30" s="581">
        <v>1.455999987</v>
      </c>
      <c r="X30" s="581">
        <v>35.967143470000003</v>
      </c>
      <c r="Y30" s="581">
        <v>7.2057142259999996</v>
      </c>
    </row>
    <row r="31" spans="1:25" ht="11.25" customHeight="1">
      <c r="A31" s="157"/>
      <c r="B31" s="159"/>
      <c r="C31" s="159"/>
      <c r="D31" s="159"/>
      <c r="E31" s="159"/>
      <c r="F31" s="159"/>
      <c r="G31" s="159"/>
      <c r="H31" s="159"/>
      <c r="I31" s="159"/>
      <c r="J31" s="32"/>
      <c r="K31" s="33"/>
      <c r="L31" s="29"/>
      <c r="O31" s="579">
        <v>28</v>
      </c>
      <c r="P31" s="580">
        <v>28</v>
      </c>
      <c r="Q31" s="581">
        <v>7.789714268</v>
      </c>
      <c r="R31" s="581">
        <v>3.119999886</v>
      </c>
      <c r="S31" s="581">
        <v>60.986856189999997</v>
      </c>
      <c r="T31" s="581">
        <v>27.099999836512943</v>
      </c>
      <c r="U31" s="581">
        <v>7.4514284819999999</v>
      </c>
      <c r="V31" s="581">
        <v>10.0128573</v>
      </c>
      <c r="W31" s="581">
        <v>1.5508571609999999</v>
      </c>
      <c r="X31" s="581">
        <v>47.66357095</v>
      </c>
      <c r="Y31" s="581">
        <v>9.9999998639999994</v>
      </c>
    </row>
    <row r="32" spans="1:25" ht="11.25" customHeight="1">
      <c r="A32" s="157"/>
      <c r="B32" s="159"/>
      <c r="C32" s="159"/>
      <c r="D32" s="159"/>
      <c r="E32" s="159"/>
      <c r="F32" s="159"/>
      <c r="G32" s="159"/>
      <c r="H32" s="159"/>
      <c r="I32" s="159"/>
      <c r="J32" s="33"/>
      <c r="K32" s="33"/>
      <c r="L32" s="29"/>
      <c r="P32" s="580">
        <v>29</v>
      </c>
      <c r="Q32" s="581">
        <v>7.1615714349999999</v>
      </c>
      <c r="R32" s="581">
        <v>3.4249999519999998</v>
      </c>
      <c r="S32" s="581">
        <v>56.540714260000001</v>
      </c>
      <c r="T32" s="581">
        <v>23.477142610000001</v>
      </c>
      <c r="U32" s="581">
        <v>6.2828570089999998</v>
      </c>
      <c r="V32" s="581">
        <v>10.001428600000001</v>
      </c>
      <c r="W32" s="581">
        <v>2.1035714489999999</v>
      </c>
      <c r="X32" s="581">
        <v>44.25</v>
      </c>
      <c r="Y32" s="581">
        <v>6.7128572460000004</v>
      </c>
    </row>
    <row r="33" spans="1:25" ht="11.25" customHeight="1">
      <c r="A33" s="157"/>
      <c r="B33" s="159"/>
      <c r="C33" s="159"/>
      <c r="D33" s="159"/>
      <c r="E33" s="159"/>
      <c r="F33" s="159"/>
      <c r="G33" s="159"/>
      <c r="H33" s="159"/>
      <c r="I33" s="159"/>
      <c r="J33" s="32"/>
      <c r="K33" s="33"/>
      <c r="L33" s="29"/>
      <c r="P33" s="580">
        <v>30</v>
      </c>
      <c r="Q33" s="581">
        <v>6.6714285440000003</v>
      </c>
      <c r="R33" s="581">
        <v>2.8789999489999998</v>
      </c>
      <c r="S33" s="581">
        <v>65.491856709999993</v>
      </c>
      <c r="T33" s="581">
        <v>21.095714300000001</v>
      </c>
      <c r="U33" s="581">
        <v>5.8057142669999999</v>
      </c>
      <c r="V33" s="581">
        <v>10.01142883</v>
      </c>
      <c r="W33" s="581">
        <v>1.8491428750000001</v>
      </c>
      <c r="X33" s="581">
        <v>42.498571668352326</v>
      </c>
      <c r="Y33" s="581">
        <v>6.0797142300000004</v>
      </c>
    </row>
    <row r="34" spans="1:25" ht="11.25" customHeight="1">
      <c r="A34" s="157"/>
      <c r="B34" s="159"/>
      <c r="C34" s="159"/>
      <c r="D34" s="159"/>
      <c r="E34" s="159"/>
      <c r="F34" s="159"/>
      <c r="G34" s="159"/>
      <c r="H34" s="159"/>
      <c r="I34" s="159"/>
      <c r="J34" s="32"/>
      <c r="K34" s="43"/>
      <c r="L34" s="29"/>
      <c r="P34" s="580">
        <v>31</v>
      </c>
      <c r="Q34" s="581">
        <v>6.2387143543788328</v>
      </c>
      <c r="R34" s="581">
        <v>2.9382856232779297</v>
      </c>
      <c r="S34" s="581">
        <v>65.491856711251344</v>
      </c>
      <c r="T34" s="581">
        <v>20.037142889840243</v>
      </c>
      <c r="U34" s="581">
        <v>5.4814286231994549</v>
      </c>
      <c r="V34" s="581">
        <v>10.011428833007772</v>
      </c>
      <c r="W34" s="581">
        <v>1.8019999946866672</v>
      </c>
      <c r="X34" s="581">
        <v>39.98428617204933</v>
      </c>
      <c r="Y34" s="581">
        <v>4.9059999329703157</v>
      </c>
    </row>
    <row r="35" spans="1:25" ht="11.25" customHeight="1">
      <c r="A35" s="157"/>
      <c r="B35" s="159"/>
      <c r="C35" s="159"/>
      <c r="D35" s="159"/>
      <c r="E35" s="159"/>
      <c r="F35" s="159"/>
      <c r="G35" s="159"/>
      <c r="H35" s="159"/>
      <c r="I35" s="159"/>
      <c r="J35" s="32"/>
      <c r="K35" s="43"/>
      <c r="L35" s="48"/>
      <c r="O35" s="579">
        <v>32</v>
      </c>
      <c r="P35" s="580">
        <v>32</v>
      </c>
      <c r="Q35" s="581">
        <v>6.1697142459999998</v>
      </c>
      <c r="R35" s="581">
        <v>3.2030000689999998</v>
      </c>
      <c r="S35" s="581">
        <v>49.942714418571427</v>
      </c>
      <c r="T35" s="581">
        <v>23.275714059999999</v>
      </c>
      <c r="U35" s="581">
        <v>5.8257142479999997</v>
      </c>
      <c r="V35" s="581">
        <v>10.004285810000001</v>
      </c>
      <c r="W35" s="581">
        <v>1.2214285650000001</v>
      </c>
      <c r="X35" s="581">
        <v>36.654999320000002</v>
      </c>
      <c r="Y35" s="581">
        <v>4.0242800000000001</v>
      </c>
    </row>
    <row r="36" spans="1:25" ht="11.25" customHeight="1">
      <c r="A36" s="157"/>
      <c r="B36" s="159"/>
      <c r="C36" s="159"/>
      <c r="D36" s="159"/>
      <c r="E36" s="159"/>
      <c r="F36" s="159"/>
      <c r="G36" s="159"/>
      <c r="H36" s="159"/>
      <c r="I36" s="159"/>
      <c r="J36" s="32"/>
      <c r="K36" s="38"/>
      <c r="L36" s="29"/>
      <c r="P36" s="580">
        <v>33</v>
      </c>
      <c r="Q36" s="581">
        <v>6.3728570940000004</v>
      </c>
      <c r="R36" s="581">
        <v>2.841857144</v>
      </c>
      <c r="S36" s="581">
        <v>57.183571406773112</v>
      </c>
      <c r="T36" s="581">
        <v>22.619999750000002</v>
      </c>
      <c r="U36" s="581">
        <v>5.5228571210000004</v>
      </c>
      <c r="V36" s="581">
        <v>10</v>
      </c>
      <c r="W36" s="581">
        <v>1.3032857349940685</v>
      </c>
      <c r="X36" s="581">
        <v>35.152857099999999</v>
      </c>
      <c r="Y36" s="581">
        <v>4.354285752</v>
      </c>
    </row>
    <row r="37" spans="1:25" ht="11.25" customHeight="1">
      <c r="A37" s="157"/>
      <c r="B37" s="159"/>
      <c r="C37" s="159"/>
      <c r="D37" s="159"/>
      <c r="E37" s="159"/>
      <c r="F37" s="159"/>
      <c r="G37" s="159"/>
      <c r="H37" s="159"/>
      <c r="I37" s="159"/>
      <c r="J37" s="32"/>
      <c r="K37" s="38"/>
      <c r="L37" s="29"/>
      <c r="P37" s="580">
        <v>34</v>
      </c>
      <c r="Q37" s="581">
        <v>6.1195714130000001</v>
      </c>
      <c r="R37" s="581">
        <v>3.058000088</v>
      </c>
      <c r="S37" s="581">
        <v>49.366142269999997</v>
      </c>
      <c r="T37" s="581">
        <v>25.04757145</v>
      </c>
      <c r="U37" s="581">
        <v>5.8727143149999996</v>
      </c>
      <c r="V37" s="581">
        <v>10.00857162</v>
      </c>
      <c r="W37" s="581">
        <v>1.2842857160000001</v>
      </c>
      <c r="X37" s="581">
        <v>34.115715029999997</v>
      </c>
      <c r="Y37" s="581">
        <v>4.3511429509999999</v>
      </c>
    </row>
    <row r="38" spans="1:25" ht="11.25" customHeight="1">
      <c r="A38" s="157"/>
      <c r="B38" s="159"/>
      <c r="C38" s="159"/>
      <c r="D38" s="159"/>
      <c r="E38" s="159"/>
      <c r="F38" s="159"/>
      <c r="G38" s="159"/>
      <c r="H38" s="159"/>
      <c r="I38" s="159"/>
      <c r="J38" s="32"/>
      <c r="K38" s="38"/>
      <c r="L38" s="29"/>
      <c r="P38" s="580">
        <v>35</v>
      </c>
      <c r="Q38" s="581">
        <v>5.9814286230000002</v>
      </c>
      <c r="R38" s="581">
        <v>1.506999969</v>
      </c>
      <c r="S38" s="581">
        <v>56.934856959999998</v>
      </c>
      <c r="T38" s="581">
        <v>21.374285830000002</v>
      </c>
      <c r="U38" s="581">
        <v>4.9342857090000001</v>
      </c>
      <c r="V38" s="581">
        <v>10.28714289</v>
      </c>
      <c r="W38" s="581">
        <v>1.5979999810000001</v>
      </c>
      <c r="X38" s="581">
        <v>30.92</v>
      </c>
      <c r="Y38" s="581">
        <v>5.3042856629999999</v>
      </c>
    </row>
    <row r="39" spans="1:25" ht="11.25" customHeight="1">
      <c r="O39" s="579">
        <v>36</v>
      </c>
      <c r="P39" s="580">
        <v>36</v>
      </c>
      <c r="Q39" s="581">
        <v>6.03</v>
      </c>
      <c r="R39" s="581">
        <v>2.8</v>
      </c>
      <c r="S39" s="581">
        <v>48.51</v>
      </c>
      <c r="T39" s="581">
        <v>22.661428449999999</v>
      </c>
      <c r="U39" s="581">
        <v>4.9800000000000004</v>
      </c>
      <c r="V39" s="581">
        <v>11.01</v>
      </c>
      <c r="W39" s="581">
        <v>1.63</v>
      </c>
      <c r="X39" s="581">
        <v>30.922143120000001</v>
      </c>
      <c r="Y39" s="581">
        <v>7.46</v>
      </c>
    </row>
    <row r="40" spans="1:25" ht="11.25" customHeight="1">
      <c r="A40" s="933" t="s">
        <v>606</v>
      </c>
      <c r="B40" s="933"/>
      <c r="C40" s="933"/>
      <c r="D40" s="933"/>
      <c r="E40" s="933"/>
      <c r="F40" s="933"/>
      <c r="G40" s="933"/>
      <c r="H40" s="933"/>
      <c r="I40" s="933"/>
      <c r="J40" s="933"/>
      <c r="K40" s="933"/>
      <c r="L40" s="933"/>
      <c r="P40" s="580">
        <v>37</v>
      </c>
      <c r="Q40" s="581">
        <v>6.03</v>
      </c>
      <c r="R40" s="581">
        <v>2.37</v>
      </c>
      <c r="S40" s="581">
        <v>43.99</v>
      </c>
      <c r="T40" s="581">
        <v>19.149999999999999</v>
      </c>
      <c r="U40" s="581">
        <v>5.31</v>
      </c>
      <c r="V40" s="581">
        <v>11</v>
      </c>
      <c r="W40" s="581">
        <v>1.59</v>
      </c>
      <c r="X40" s="581">
        <v>29.33</v>
      </c>
      <c r="Y40" s="581">
        <v>7.79</v>
      </c>
    </row>
    <row r="41" spans="1:25" ht="11.25" customHeight="1">
      <c r="P41" s="580">
        <v>38</v>
      </c>
      <c r="Q41" s="581">
        <v>6.5951428410000004</v>
      </c>
      <c r="R41" s="581">
        <v>3.0060000420000001</v>
      </c>
      <c r="S41" s="581">
        <v>47.220570700000003</v>
      </c>
      <c r="T41" s="581">
        <v>22.304285589999999</v>
      </c>
      <c r="U41" s="581">
        <v>5.581428528</v>
      </c>
      <c r="V41" s="581">
        <v>10.85142858</v>
      </c>
      <c r="W41" s="581">
        <v>1.5402856890000001</v>
      </c>
      <c r="X41" s="581">
        <v>34.179286410000003</v>
      </c>
      <c r="Y41" s="581">
        <v>8.5442856379999998</v>
      </c>
    </row>
    <row r="42" spans="1:25" ht="11.25" customHeight="1">
      <c r="A42" s="157"/>
      <c r="B42" s="159"/>
      <c r="C42" s="159"/>
      <c r="D42" s="159"/>
      <c r="E42" s="159"/>
      <c r="F42" s="159"/>
      <c r="G42" s="159"/>
      <c r="H42" s="159"/>
      <c r="I42" s="159"/>
      <c r="J42" s="160"/>
      <c r="K42" s="160"/>
      <c r="L42" s="160"/>
      <c r="O42" s="579">
        <v>39</v>
      </c>
      <c r="P42" s="580">
        <v>39</v>
      </c>
      <c r="Q42" s="581">
        <v>6.84</v>
      </c>
      <c r="R42" s="581">
        <v>3.32</v>
      </c>
      <c r="S42" s="581">
        <v>63.05</v>
      </c>
      <c r="T42" s="581">
        <v>48.7</v>
      </c>
      <c r="U42" s="581">
        <v>7.81</v>
      </c>
      <c r="V42" s="581">
        <v>11.15</v>
      </c>
      <c r="W42" s="581">
        <v>1.32</v>
      </c>
      <c r="X42" s="581">
        <v>38.82</v>
      </c>
      <c r="Y42" s="581">
        <v>6.81</v>
      </c>
    </row>
    <row r="43" spans="1:25" ht="11.25" customHeight="1">
      <c r="A43" s="157"/>
      <c r="B43" s="159"/>
      <c r="C43" s="159"/>
      <c r="D43" s="159"/>
      <c r="E43" s="159"/>
      <c r="F43" s="159"/>
      <c r="G43" s="159"/>
      <c r="H43" s="159"/>
      <c r="I43" s="159"/>
      <c r="J43" s="160"/>
      <c r="K43" s="160"/>
      <c r="L43" s="160"/>
      <c r="P43" s="580">
        <v>40</v>
      </c>
      <c r="Q43" s="581">
        <v>7.6862857681428576</v>
      </c>
      <c r="R43" s="581">
        <v>3.1560000009999998</v>
      </c>
      <c r="S43" s="581">
        <v>61.54114314571428</v>
      </c>
      <c r="T43" s="581">
        <v>37.928571428999994</v>
      </c>
      <c r="U43" s="581">
        <v>7.9165713450000004</v>
      </c>
      <c r="V43" s="581">
        <v>11.005714417142856</v>
      </c>
      <c r="W43" s="581">
        <v>1.3828571522857145</v>
      </c>
      <c r="X43" s="581">
        <v>43.879284992857151</v>
      </c>
      <c r="Y43" s="581">
        <v>6.2752857208571422</v>
      </c>
    </row>
    <row r="44" spans="1:25" ht="11.25" customHeight="1">
      <c r="A44" s="157"/>
      <c r="B44" s="159"/>
      <c r="C44" s="159"/>
      <c r="D44" s="159"/>
      <c r="E44" s="159"/>
      <c r="F44" s="159"/>
      <c r="G44" s="159"/>
      <c r="H44" s="159"/>
      <c r="I44" s="159"/>
      <c r="P44" s="580">
        <v>41</v>
      </c>
      <c r="Q44" s="581">
        <v>7.1000001089913463</v>
      </c>
      <c r="R44" s="581">
        <v>2.9028571673801928</v>
      </c>
      <c r="S44" s="581">
        <v>58.117285592215353</v>
      </c>
      <c r="T44" s="581">
        <v>48.921429225376635</v>
      </c>
      <c r="U44" s="581">
        <v>8.5942858287266173</v>
      </c>
      <c r="V44" s="581">
        <v>11.002857208251914</v>
      </c>
      <c r="W44" s="581">
        <v>1.3182857036590543</v>
      </c>
      <c r="X44" s="581">
        <v>45.627857753208637</v>
      </c>
      <c r="Y44" s="581">
        <v>9.9285714966910028</v>
      </c>
    </row>
    <row r="45" spans="1:25" ht="11.25" customHeight="1">
      <c r="A45" s="157"/>
      <c r="B45" s="159"/>
      <c r="C45" s="159"/>
      <c r="D45" s="159"/>
      <c r="E45" s="159"/>
      <c r="F45" s="159"/>
      <c r="G45" s="159"/>
      <c r="H45" s="159"/>
      <c r="I45" s="159"/>
      <c r="P45" s="580">
        <v>42</v>
      </c>
      <c r="Q45" s="581">
        <v>6.7610000201428573</v>
      </c>
      <c r="R45" s="581">
        <v>2.8671428815714286</v>
      </c>
      <c r="S45" s="581">
        <v>58.888142721428572</v>
      </c>
      <c r="T45" s="581">
        <v>55.619142805714283</v>
      </c>
      <c r="U45" s="581">
        <v>9.5089999614285716</v>
      </c>
      <c r="V45" s="581">
        <v>11.007142884285715</v>
      </c>
      <c r="W45" s="581">
        <v>1.2221428497142859</v>
      </c>
      <c r="X45" s="581">
        <v>52.615000045714282</v>
      </c>
      <c r="Y45" s="581">
        <v>9.6800000322857152</v>
      </c>
    </row>
    <row r="46" spans="1:25" ht="11.25" customHeight="1">
      <c r="A46" s="157"/>
      <c r="B46" s="159"/>
      <c r="C46" s="159"/>
      <c r="D46" s="159"/>
      <c r="E46" s="159"/>
      <c r="F46" s="159"/>
      <c r="G46" s="159"/>
      <c r="H46" s="159"/>
      <c r="I46" s="159"/>
      <c r="O46" s="579">
        <v>43</v>
      </c>
      <c r="P46" s="580">
        <v>43</v>
      </c>
      <c r="Q46" s="581">
        <v>6.53</v>
      </c>
      <c r="R46" s="581">
        <v>2.37</v>
      </c>
      <c r="S46" s="581">
        <v>69.2</v>
      </c>
      <c r="T46" s="581">
        <v>54.58</v>
      </c>
      <c r="U46" s="581">
        <v>8.23</v>
      </c>
      <c r="V46" s="581">
        <v>11.01</v>
      </c>
      <c r="W46" s="581">
        <v>1.35</v>
      </c>
      <c r="X46" s="581">
        <v>50.71</v>
      </c>
      <c r="Y46" s="581">
        <v>10.33</v>
      </c>
    </row>
    <row r="47" spans="1:25" ht="11.25" customHeight="1">
      <c r="A47" s="157"/>
      <c r="B47" s="159"/>
      <c r="C47" s="159"/>
      <c r="D47" s="159"/>
      <c r="E47" s="159"/>
      <c r="F47" s="159"/>
      <c r="G47" s="159"/>
      <c r="H47" s="159"/>
      <c r="I47" s="159"/>
      <c r="P47" s="580">
        <v>44</v>
      </c>
      <c r="Q47" s="581">
        <v>7.58</v>
      </c>
      <c r="R47" s="581">
        <v>4.8899999999999997</v>
      </c>
      <c r="S47" s="581">
        <v>51.59</v>
      </c>
      <c r="T47" s="581">
        <v>57.65</v>
      </c>
      <c r="U47" s="581">
        <v>7.72</v>
      </c>
      <c r="V47" s="581">
        <v>11.01</v>
      </c>
      <c r="W47" s="581">
        <v>1.47</v>
      </c>
      <c r="X47" s="581">
        <v>48.41</v>
      </c>
      <c r="Y47" s="581">
        <v>11.29</v>
      </c>
    </row>
    <row r="48" spans="1:25">
      <c r="A48" s="157"/>
      <c r="B48" s="159"/>
      <c r="C48" s="159"/>
      <c r="D48" s="159"/>
      <c r="E48" s="159"/>
      <c r="F48" s="159"/>
      <c r="G48" s="159"/>
      <c r="H48" s="159"/>
      <c r="I48" s="159"/>
      <c r="P48" s="580">
        <v>45</v>
      </c>
      <c r="Q48" s="581">
        <v>6.95</v>
      </c>
      <c r="R48" s="581">
        <v>1.61</v>
      </c>
      <c r="S48" s="581">
        <v>72.92</v>
      </c>
      <c r="T48" s="581">
        <v>67.069999999999993</v>
      </c>
      <c r="U48" s="581">
        <v>6.9</v>
      </c>
      <c r="V48" s="581">
        <v>11</v>
      </c>
      <c r="W48" s="581">
        <v>1.42</v>
      </c>
      <c r="X48" s="581">
        <v>47.24</v>
      </c>
      <c r="Y48" s="581">
        <v>9</v>
      </c>
    </row>
    <row r="49" spans="1:25">
      <c r="A49" s="157"/>
      <c r="B49" s="159"/>
      <c r="C49" s="159"/>
      <c r="D49" s="159"/>
      <c r="E49" s="159"/>
      <c r="F49" s="159"/>
      <c r="G49" s="159"/>
      <c r="H49" s="159"/>
      <c r="I49" s="159"/>
      <c r="P49" s="580">
        <v>46</v>
      </c>
      <c r="Q49" s="581">
        <v>6.8571429249999998</v>
      </c>
      <c r="R49" s="581">
        <v>1.6428571599999999</v>
      </c>
      <c r="S49" s="581">
        <v>58.4</v>
      </c>
      <c r="T49" s="581">
        <v>34.982142860000003</v>
      </c>
      <c r="U49" s="581">
        <v>5.0667143550000002</v>
      </c>
      <c r="V49" s="581">
        <v>11.01</v>
      </c>
      <c r="W49" s="581">
        <v>1.38</v>
      </c>
      <c r="X49" s="581">
        <v>40.61</v>
      </c>
      <c r="Y49" s="581">
        <v>8.81</v>
      </c>
    </row>
    <row r="50" spans="1:25">
      <c r="A50" s="157"/>
      <c r="B50" s="159"/>
      <c r="C50" s="159"/>
      <c r="D50" s="159"/>
      <c r="E50" s="159"/>
      <c r="F50" s="159"/>
      <c r="G50" s="159"/>
      <c r="H50" s="159"/>
      <c r="I50" s="159"/>
      <c r="P50" s="580">
        <v>47</v>
      </c>
      <c r="Q50" s="581">
        <v>6.9940000260000001</v>
      </c>
      <c r="R50" s="581">
        <v>1.5142857009999999</v>
      </c>
      <c r="S50" s="581">
        <v>52.554856440000002</v>
      </c>
      <c r="T50" s="581">
        <v>29.07742855</v>
      </c>
      <c r="U50" s="581">
        <v>4.2727143420000004</v>
      </c>
      <c r="V50" s="581">
        <v>11.00286</v>
      </c>
      <c r="W50" s="581">
        <v>1.63</v>
      </c>
      <c r="X50" s="581">
        <v>41.625</v>
      </c>
      <c r="Y50" s="581">
        <v>9.3542860000000001</v>
      </c>
    </row>
    <row r="51" spans="1:25">
      <c r="A51" s="157"/>
      <c r="B51" s="159"/>
      <c r="C51" s="159"/>
      <c r="D51" s="159"/>
      <c r="E51" s="159"/>
      <c r="F51" s="159"/>
      <c r="G51" s="159"/>
      <c r="H51" s="159"/>
      <c r="I51" s="159"/>
      <c r="O51" s="579">
        <v>48</v>
      </c>
      <c r="P51" s="580">
        <v>48</v>
      </c>
      <c r="Q51" s="581">
        <v>7.1124285970000001</v>
      </c>
      <c r="R51" s="581">
        <v>1.4714285645714287</v>
      </c>
      <c r="S51" s="581">
        <v>53.429429191428575</v>
      </c>
      <c r="T51" s="581">
        <v>88.059571399999996</v>
      </c>
      <c r="U51" s="581">
        <v>7.879285812428571</v>
      </c>
      <c r="V51" s="581">
        <v>10.862857274285714</v>
      </c>
      <c r="W51" s="581">
        <v>1.6007142748571428</v>
      </c>
      <c r="X51" s="581">
        <v>41.014285495714283</v>
      </c>
      <c r="Y51" s="581">
        <v>14.194285802</v>
      </c>
    </row>
    <row r="52" spans="1:25">
      <c r="A52" s="157"/>
      <c r="B52" s="159"/>
      <c r="C52" s="159"/>
      <c r="D52" s="159"/>
      <c r="E52" s="159"/>
      <c r="F52" s="159"/>
      <c r="G52" s="159"/>
      <c r="H52" s="159"/>
      <c r="I52" s="159"/>
      <c r="P52" s="580">
        <v>49</v>
      </c>
      <c r="Q52" s="581">
        <v>8.43</v>
      </c>
      <c r="R52" s="581">
        <v>2.2400000000000002</v>
      </c>
      <c r="S52" s="581">
        <v>61.07</v>
      </c>
      <c r="T52" s="581">
        <v>106.59</v>
      </c>
      <c r="U52" s="581">
        <v>16.09</v>
      </c>
      <c r="V52" s="581">
        <v>10.5</v>
      </c>
      <c r="W52" s="581">
        <v>1.1200000000000001</v>
      </c>
      <c r="X52" s="581">
        <v>83.6</v>
      </c>
      <c r="Y52" s="581">
        <v>22.62</v>
      </c>
    </row>
    <row r="53" spans="1:25">
      <c r="A53" s="157"/>
      <c r="B53" s="159"/>
      <c r="C53" s="159"/>
      <c r="D53" s="159"/>
      <c r="E53" s="159"/>
      <c r="F53" s="159"/>
      <c r="G53" s="159"/>
      <c r="H53" s="159"/>
      <c r="I53" s="159"/>
      <c r="P53" s="580">
        <v>50</v>
      </c>
      <c r="Q53" s="581">
        <v>8.32</v>
      </c>
      <c r="R53" s="581">
        <v>2.19</v>
      </c>
      <c r="S53" s="581">
        <v>78.02</v>
      </c>
      <c r="T53" s="581">
        <v>104.79</v>
      </c>
      <c r="U53" s="581">
        <v>18.649999999999999</v>
      </c>
      <c r="V53" s="581">
        <v>10.51</v>
      </c>
      <c r="W53" s="581">
        <v>1.1399999999999999</v>
      </c>
      <c r="X53" s="581">
        <v>66.8</v>
      </c>
      <c r="Y53" s="581">
        <v>22.62</v>
      </c>
    </row>
    <row r="54" spans="1:25">
      <c r="A54" s="157"/>
      <c r="B54" s="159"/>
      <c r="C54" s="159"/>
      <c r="D54" s="159"/>
      <c r="E54" s="159"/>
      <c r="F54" s="159"/>
      <c r="G54" s="159"/>
      <c r="H54" s="159"/>
      <c r="I54" s="159"/>
      <c r="P54" s="580">
        <v>51</v>
      </c>
      <c r="Q54" s="581">
        <v>9.08</v>
      </c>
      <c r="R54" s="581">
        <v>3.71</v>
      </c>
      <c r="S54" s="581">
        <v>67.64</v>
      </c>
      <c r="T54" s="581">
        <v>69.61</v>
      </c>
      <c r="U54" s="581">
        <v>11.22</v>
      </c>
      <c r="V54" s="581">
        <v>10.5</v>
      </c>
      <c r="W54" s="581">
        <v>1.37</v>
      </c>
      <c r="X54" s="581">
        <v>55.42</v>
      </c>
      <c r="Y54" s="581">
        <v>17.489999999999998</v>
      </c>
    </row>
    <row r="55" spans="1:25">
      <c r="A55" s="157"/>
      <c r="B55" s="159"/>
      <c r="C55" s="159"/>
      <c r="D55" s="159"/>
      <c r="E55" s="159"/>
      <c r="F55" s="159"/>
      <c r="G55" s="159"/>
      <c r="H55" s="159"/>
      <c r="I55" s="159"/>
      <c r="O55" s="579">
        <v>52</v>
      </c>
      <c r="P55" s="580">
        <v>52</v>
      </c>
      <c r="Q55" s="581">
        <v>8.42</v>
      </c>
      <c r="R55" s="581">
        <v>3.57</v>
      </c>
      <c r="S55" s="581">
        <v>56.187571937142856</v>
      </c>
      <c r="T55" s="581">
        <v>58.452428545714284</v>
      </c>
      <c r="U55" s="581">
        <v>8.01</v>
      </c>
      <c r="V55" s="581">
        <v>10.507142884285715</v>
      </c>
      <c r="W55" s="581">
        <v>1.53</v>
      </c>
      <c r="X55" s="581">
        <v>59.550713675714292</v>
      </c>
      <c r="Y55" s="581">
        <v>18.608285904285712</v>
      </c>
    </row>
    <row r="56" spans="1:25">
      <c r="A56" s="157"/>
      <c r="B56" s="159"/>
      <c r="C56" s="159"/>
      <c r="D56" s="159"/>
      <c r="E56" s="159"/>
      <c r="F56" s="159"/>
      <c r="G56" s="159"/>
      <c r="H56" s="159"/>
      <c r="I56" s="159"/>
      <c r="N56" s="579">
        <v>2017</v>
      </c>
      <c r="O56" s="579">
        <v>1</v>
      </c>
      <c r="P56" s="580">
        <v>1</v>
      </c>
      <c r="Q56" s="581">
        <v>13.85</v>
      </c>
      <c r="R56" s="581">
        <v>11.3</v>
      </c>
      <c r="S56" s="581">
        <v>104.02</v>
      </c>
      <c r="T56" s="581">
        <v>148.43</v>
      </c>
      <c r="U56" s="581">
        <v>24.1</v>
      </c>
      <c r="V56" s="581">
        <v>10.220000000000001</v>
      </c>
      <c r="W56" s="581">
        <v>3.28</v>
      </c>
      <c r="X56" s="581">
        <v>89.46</v>
      </c>
      <c r="Y56" s="581">
        <v>25.43</v>
      </c>
    </row>
    <row r="57" spans="1:25">
      <c r="A57" s="157"/>
      <c r="B57" s="159"/>
      <c r="C57" s="159"/>
      <c r="D57" s="159"/>
      <c r="E57" s="159"/>
      <c r="F57" s="159"/>
      <c r="G57" s="159"/>
      <c r="H57" s="159"/>
      <c r="I57" s="159"/>
      <c r="P57" s="580">
        <v>2</v>
      </c>
      <c r="Q57" s="581">
        <v>14.96</v>
      </c>
      <c r="R57" s="581">
        <v>15.4</v>
      </c>
      <c r="S57" s="581">
        <v>143.97</v>
      </c>
      <c r="T57" s="581">
        <v>175.88</v>
      </c>
      <c r="U57" s="581">
        <v>33.74</v>
      </c>
      <c r="V57" s="581">
        <v>10.17</v>
      </c>
      <c r="W57" s="581">
        <v>6.45</v>
      </c>
      <c r="X57" s="581">
        <v>178.14</v>
      </c>
      <c r="Y57" s="581">
        <v>55.67</v>
      </c>
    </row>
    <row r="58" spans="1:25">
      <c r="A58" s="157"/>
      <c r="B58" s="159"/>
      <c r="C58" s="159"/>
      <c r="D58" s="159"/>
      <c r="E58" s="159"/>
      <c r="F58" s="159"/>
      <c r="G58" s="159"/>
      <c r="H58" s="159"/>
      <c r="I58" s="159"/>
      <c r="P58" s="580">
        <v>3</v>
      </c>
      <c r="Q58" s="581">
        <v>28.98</v>
      </c>
      <c r="R58" s="581">
        <v>21.94</v>
      </c>
      <c r="S58" s="581">
        <v>355.12</v>
      </c>
      <c r="T58" s="581">
        <v>177.57</v>
      </c>
      <c r="U58" s="581">
        <v>35.49</v>
      </c>
      <c r="V58" s="581">
        <v>10</v>
      </c>
      <c r="W58" s="581">
        <v>9.0500000000000007</v>
      </c>
      <c r="X58" s="581">
        <v>174.94</v>
      </c>
      <c r="Y58" s="581">
        <v>58.31</v>
      </c>
    </row>
    <row r="59" spans="1:25">
      <c r="A59" s="157"/>
      <c r="B59" s="159"/>
      <c r="C59" s="159"/>
      <c r="D59" s="159"/>
      <c r="E59" s="159"/>
      <c r="F59" s="159"/>
      <c r="G59" s="159"/>
      <c r="H59" s="159"/>
      <c r="I59" s="159"/>
      <c r="O59" s="579">
        <v>4</v>
      </c>
      <c r="P59" s="580">
        <v>4</v>
      </c>
      <c r="Q59" s="581">
        <v>30.46</v>
      </c>
      <c r="R59" s="581">
        <v>23.91</v>
      </c>
      <c r="S59" s="581">
        <v>519.4</v>
      </c>
      <c r="T59" s="581">
        <v>205.76</v>
      </c>
      <c r="U59" s="581">
        <v>48.48</v>
      </c>
      <c r="V59" s="581">
        <v>10</v>
      </c>
      <c r="W59" s="581">
        <v>2.4300000000000002</v>
      </c>
      <c r="X59" s="581">
        <v>141.31</v>
      </c>
      <c r="Y59" s="581">
        <v>47.49</v>
      </c>
    </row>
    <row r="60" spans="1:25">
      <c r="A60" s="157"/>
      <c r="B60" s="159"/>
      <c r="C60" s="159"/>
      <c r="D60" s="159"/>
      <c r="E60" s="159"/>
      <c r="F60" s="159"/>
      <c r="G60" s="159"/>
      <c r="H60" s="159"/>
      <c r="I60" s="159"/>
      <c r="P60" s="580">
        <v>5</v>
      </c>
      <c r="Q60" s="581">
        <v>21.36</v>
      </c>
      <c r="R60" s="581">
        <v>18.07</v>
      </c>
      <c r="S60" s="581">
        <v>330.78</v>
      </c>
      <c r="T60" s="581">
        <v>123.41</v>
      </c>
      <c r="U60" s="581">
        <v>25.33</v>
      </c>
      <c r="V60" s="581">
        <v>11.41</v>
      </c>
      <c r="W60" s="581">
        <v>2.87</v>
      </c>
      <c r="X60" s="581">
        <v>123.59</v>
      </c>
      <c r="Y60" s="581">
        <v>45.46</v>
      </c>
    </row>
    <row r="61" spans="1:25">
      <c r="A61" s="157"/>
      <c r="B61" s="159"/>
      <c r="C61" s="159"/>
      <c r="D61" s="159"/>
      <c r="E61" s="159"/>
      <c r="F61" s="159"/>
      <c r="G61" s="159"/>
      <c r="H61" s="159"/>
      <c r="I61" s="159"/>
      <c r="P61" s="580">
        <v>6</v>
      </c>
      <c r="Q61" s="581">
        <v>25.42</v>
      </c>
      <c r="R61" s="581">
        <v>21.42</v>
      </c>
      <c r="S61" s="581">
        <v>200.58</v>
      </c>
      <c r="T61" s="581">
        <v>108.48</v>
      </c>
      <c r="U61" s="581">
        <v>22.99</v>
      </c>
      <c r="V61" s="581">
        <v>10.57</v>
      </c>
      <c r="W61" s="581">
        <v>3.01</v>
      </c>
      <c r="X61" s="581">
        <v>85.48</v>
      </c>
      <c r="Y61" s="581">
        <v>28.56</v>
      </c>
    </row>
    <row r="62" spans="1:25">
      <c r="A62" s="157"/>
      <c r="B62" s="159"/>
      <c r="C62" s="159"/>
      <c r="D62" s="159"/>
      <c r="E62" s="159"/>
      <c r="F62" s="159"/>
      <c r="G62" s="159"/>
      <c r="H62" s="159"/>
      <c r="I62" s="159"/>
      <c r="P62" s="580">
        <v>7</v>
      </c>
      <c r="Q62" s="581">
        <v>35.43</v>
      </c>
      <c r="R62" s="581">
        <v>25.12</v>
      </c>
      <c r="S62" s="581">
        <v>393.69</v>
      </c>
      <c r="T62" s="581">
        <v>144.62</v>
      </c>
      <c r="U62" s="581">
        <v>39.44</v>
      </c>
      <c r="V62" s="581">
        <v>10</v>
      </c>
      <c r="W62" s="581">
        <v>2.88</v>
      </c>
      <c r="X62" s="581">
        <v>100.57</v>
      </c>
      <c r="Y62" s="581">
        <v>25.04</v>
      </c>
    </row>
    <row r="63" spans="1:25">
      <c r="A63" s="157"/>
      <c r="B63" s="159"/>
      <c r="C63" s="159"/>
      <c r="D63" s="159"/>
      <c r="E63" s="159"/>
      <c r="F63" s="159"/>
      <c r="G63" s="159"/>
      <c r="H63" s="159"/>
      <c r="I63" s="159"/>
      <c r="O63" s="579">
        <v>8</v>
      </c>
      <c r="P63" s="580">
        <v>8</v>
      </c>
      <c r="Q63" s="581">
        <v>30.45</v>
      </c>
      <c r="R63" s="581">
        <v>23.33</v>
      </c>
      <c r="S63" s="581">
        <v>345.37</v>
      </c>
      <c r="T63" s="581">
        <v>140.63</v>
      </c>
      <c r="U63" s="581">
        <v>30.47</v>
      </c>
      <c r="V63" s="581">
        <v>9.58</v>
      </c>
      <c r="W63" s="581">
        <v>2.0699999999999998</v>
      </c>
      <c r="X63" s="581">
        <v>163.72999999999999</v>
      </c>
      <c r="Y63" s="581">
        <v>58.84</v>
      </c>
    </row>
    <row r="64" spans="1:25" ht="6" customHeight="1">
      <c r="A64" s="157"/>
      <c r="B64" s="159"/>
      <c r="C64" s="159"/>
      <c r="D64" s="159"/>
      <c r="E64" s="159"/>
      <c r="F64" s="159"/>
      <c r="G64" s="159"/>
      <c r="H64" s="159"/>
      <c r="I64" s="159"/>
      <c r="P64" s="580">
        <v>9</v>
      </c>
      <c r="Q64" s="581">
        <v>37.72</v>
      </c>
      <c r="R64" s="581">
        <v>24.83</v>
      </c>
      <c r="S64" s="581">
        <v>567.22</v>
      </c>
      <c r="T64" s="581">
        <v>245.85</v>
      </c>
      <c r="U64" s="581">
        <v>67.56</v>
      </c>
      <c r="V64" s="581">
        <v>9.01</v>
      </c>
      <c r="W64" s="581">
        <v>7.33</v>
      </c>
      <c r="X64" s="581">
        <v>285.31</v>
      </c>
      <c r="Y64" s="581">
        <v>102.26</v>
      </c>
    </row>
    <row r="65" spans="1:25" ht="24.75" customHeight="1">
      <c r="A65" s="932" t="s">
        <v>607</v>
      </c>
      <c r="B65" s="932"/>
      <c r="C65" s="932"/>
      <c r="D65" s="932"/>
      <c r="E65" s="932"/>
      <c r="F65" s="932"/>
      <c r="G65" s="932"/>
      <c r="H65" s="932"/>
      <c r="I65" s="932"/>
      <c r="J65" s="932"/>
      <c r="K65" s="932"/>
      <c r="L65" s="932"/>
      <c r="P65" s="580">
        <v>10</v>
      </c>
      <c r="Q65" s="581">
        <v>36.46</v>
      </c>
      <c r="R65" s="581">
        <v>24.95</v>
      </c>
      <c r="S65" s="581">
        <v>467.04</v>
      </c>
      <c r="T65" s="581">
        <v>188.01</v>
      </c>
      <c r="U65" s="581">
        <v>50.5</v>
      </c>
      <c r="V65" s="581">
        <v>10.06</v>
      </c>
      <c r="W65" s="581">
        <v>3.71</v>
      </c>
      <c r="X65" s="581">
        <v>374.33</v>
      </c>
      <c r="Y65" s="581">
        <v>83.74</v>
      </c>
    </row>
    <row r="66" spans="1:25" ht="20.25" customHeight="1">
      <c r="P66" s="580">
        <v>11</v>
      </c>
      <c r="Q66" s="581">
        <v>35.590000000000003</v>
      </c>
      <c r="R66" s="581">
        <v>26.89</v>
      </c>
      <c r="S66" s="581">
        <v>448.3</v>
      </c>
      <c r="T66" s="581">
        <v>169.95</v>
      </c>
      <c r="U66" s="581">
        <v>51.21</v>
      </c>
      <c r="V66" s="581">
        <v>26.15</v>
      </c>
      <c r="W66" s="581">
        <v>8.66</v>
      </c>
      <c r="X66" s="581">
        <v>219.86</v>
      </c>
      <c r="Y66" s="581">
        <v>62.42</v>
      </c>
    </row>
    <row r="67" spans="1:25">
      <c r="O67" s="579">
        <v>12</v>
      </c>
      <c r="P67" s="580">
        <v>12</v>
      </c>
      <c r="Q67" s="581">
        <v>37.82</v>
      </c>
      <c r="R67" s="581">
        <v>20.6</v>
      </c>
      <c r="S67" s="581">
        <v>350.87</v>
      </c>
      <c r="T67" s="581">
        <v>146.01</v>
      </c>
      <c r="U67" s="581">
        <v>38.08</v>
      </c>
      <c r="V67" s="581">
        <v>12.43</v>
      </c>
      <c r="W67" s="581">
        <v>5.63</v>
      </c>
      <c r="X67" s="581">
        <v>190.11</v>
      </c>
      <c r="Y67" s="581">
        <v>52.01</v>
      </c>
    </row>
    <row r="68" spans="1:25">
      <c r="P68" s="580">
        <v>13</v>
      </c>
      <c r="Q68" s="581">
        <v>35.93</v>
      </c>
      <c r="R68" s="581">
        <v>24.02</v>
      </c>
      <c r="S68" s="581">
        <v>380.48</v>
      </c>
      <c r="T68" s="581">
        <v>173.02</v>
      </c>
      <c r="U68" s="581">
        <v>38.869999999999997</v>
      </c>
      <c r="V68" s="581">
        <v>11.98</v>
      </c>
      <c r="W68" s="581">
        <v>5.83</v>
      </c>
      <c r="X68" s="581">
        <v>272.08999999999997</v>
      </c>
      <c r="Y68" s="581">
        <v>65.430000000000007</v>
      </c>
    </row>
    <row r="69" spans="1:25">
      <c r="P69" s="580">
        <v>14</v>
      </c>
      <c r="Q69" s="581">
        <v>42.9</v>
      </c>
      <c r="R69" s="581">
        <v>17.87</v>
      </c>
      <c r="S69" s="581">
        <v>427.28</v>
      </c>
      <c r="T69" s="581">
        <v>137.65</v>
      </c>
      <c r="U69" s="581">
        <v>35.950000000000003</v>
      </c>
      <c r="V69" s="581">
        <v>28.72</v>
      </c>
      <c r="W69" s="581">
        <v>4.95</v>
      </c>
      <c r="X69" s="581">
        <v>301.82</v>
      </c>
      <c r="Y69" s="581">
        <v>71.06</v>
      </c>
    </row>
    <row r="70" spans="1:25">
      <c r="P70" s="580">
        <v>15</v>
      </c>
      <c r="Q70" s="581">
        <v>31.19</v>
      </c>
      <c r="R70" s="581">
        <v>17.87</v>
      </c>
      <c r="S70" s="581">
        <v>334.14</v>
      </c>
      <c r="T70" s="581">
        <v>129.9</v>
      </c>
      <c r="U70" s="581">
        <v>29.93</v>
      </c>
      <c r="V70" s="581">
        <v>16.28</v>
      </c>
      <c r="W70" s="581">
        <v>1.82</v>
      </c>
      <c r="X70" s="581">
        <v>203.49</v>
      </c>
      <c r="Y70" s="581">
        <v>77.099999999999994</v>
      </c>
    </row>
    <row r="71" spans="1:25">
      <c r="O71" s="579">
        <v>16</v>
      </c>
      <c r="P71" s="580">
        <v>16</v>
      </c>
      <c r="Q71" s="581">
        <v>22.8</v>
      </c>
      <c r="R71" s="581">
        <v>11.46</v>
      </c>
      <c r="S71" s="581">
        <v>218.96</v>
      </c>
      <c r="T71" s="581">
        <v>100.66</v>
      </c>
      <c r="U71" s="581">
        <v>21.85</v>
      </c>
      <c r="V71" s="581">
        <v>15.43</v>
      </c>
      <c r="W71" s="581">
        <v>2.33</v>
      </c>
      <c r="X71" s="581">
        <v>155.33000000000001</v>
      </c>
      <c r="Y71" s="581">
        <v>48.77</v>
      </c>
    </row>
    <row r="72" spans="1:25">
      <c r="P72" s="580">
        <v>17</v>
      </c>
      <c r="Q72" s="581">
        <v>20.18</v>
      </c>
      <c r="R72" s="581">
        <v>11.46</v>
      </c>
      <c r="S72" s="581">
        <v>180.47</v>
      </c>
      <c r="T72" s="581">
        <v>91.24</v>
      </c>
      <c r="U72" s="581">
        <v>18.89</v>
      </c>
      <c r="V72" s="581">
        <v>12.29</v>
      </c>
      <c r="W72" s="581">
        <v>1.9</v>
      </c>
      <c r="X72" s="581">
        <v>111.37</v>
      </c>
      <c r="Y72" s="581">
        <v>34.409999999999997</v>
      </c>
    </row>
    <row r="73" spans="1:25">
      <c r="P73" s="580">
        <v>18</v>
      </c>
      <c r="Q73" s="581">
        <v>19.84</v>
      </c>
      <c r="R73" s="581">
        <v>10.36</v>
      </c>
      <c r="S73" s="581">
        <v>212.89</v>
      </c>
      <c r="T73" s="581">
        <v>98.95</v>
      </c>
      <c r="U73" s="581">
        <v>19.899999999999999</v>
      </c>
      <c r="V73" s="581">
        <v>11.64</v>
      </c>
      <c r="W73" s="581">
        <v>1.46</v>
      </c>
      <c r="X73" s="581">
        <v>117.05</v>
      </c>
      <c r="Y73" s="581">
        <v>28.8</v>
      </c>
    </row>
    <row r="74" spans="1:25">
      <c r="P74" s="580">
        <v>19</v>
      </c>
      <c r="Q74" s="581">
        <v>21.4</v>
      </c>
      <c r="R74" s="581">
        <v>9.25</v>
      </c>
      <c r="S74" s="581">
        <v>199.54</v>
      </c>
      <c r="T74" s="581">
        <v>89.02</v>
      </c>
      <c r="U74" s="581">
        <v>15.9</v>
      </c>
      <c r="V74" s="581">
        <v>11</v>
      </c>
      <c r="W74" s="581">
        <v>1.36</v>
      </c>
      <c r="X74" s="581">
        <v>79.2</v>
      </c>
      <c r="Y74" s="581">
        <v>22.78</v>
      </c>
    </row>
    <row r="75" spans="1:25">
      <c r="O75" s="579">
        <v>20</v>
      </c>
      <c r="P75" s="580">
        <v>20</v>
      </c>
      <c r="Q75" s="581">
        <v>17.23</v>
      </c>
      <c r="R75" s="581">
        <v>6.32</v>
      </c>
      <c r="S75" s="581">
        <v>136.84</v>
      </c>
      <c r="T75" s="581">
        <v>72.95</v>
      </c>
      <c r="U75" s="581">
        <v>15.03</v>
      </c>
      <c r="V75" s="581">
        <v>11</v>
      </c>
      <c r="W75" s="581">
        <v>1.98</v>
      </c>
      <c r="X75" s="581">
        <v>69.37</v>
      </c>
      <c r="Y75" s="581">
        <v>17.8</v>
      </c>
    </row>
    <row r="76" spans="1:25">
      <c r="P76" s="580">
        <v>21</v>
      </c>
      <c r="Q76" s="581">
        <v>16.09</v>
      </c>
      <c r="R76" s="581">
        <v>6.32</v>
      </c>
      <c r="S76" s="581">
        <v>116.86</v>
      </c>
      <c r="T76" s="581">
        <v>99.42</v>
      </c>
      <c r="U76" s="581">
        <v>20.059999999999999</v>
      </c>
      <c r="V76" s="581">
        <v>11.01</v>
      </c>
      <c r="W76" s="581">
        <v>1.6</v>
      </c>
      <c r="X76" s="581">
        <v>68.8</v>
      </c>
      <c r="Y76" s="581">
        <v>17.84</v>
      </c>
    </row>
    <row r="77" spans="1:25">
      <c r="P77" s="580">
        <v>22</v>
      </c>
      <c r="Q77" s="581">
        <v>15.1</v>
      </c>
      <c r="R77" s="581">
        <v>5.59</v>
      </c>
      <c r="S77" s="581">
        <v>118.58</v>
      </c>
      <c r="T77" s="581">
        <v>79.099999999999994</v>
      </c>
      <c r="U77" s="581">
        <v>16</v>
      </c>
      <c r="V77" s="581">
        <v>11</v>
      </c>
      <c r="W77" s="581">
        <v>1.01</v>
      </c>
      <c r="X77" s="581">
        <v>69.05</v>
      </c>
      <c r="Y77" s="581">
        <v>16.37</v>
      </c>
    </row>
    <row r="78" spans="1:25">
      <c r="P78" s="580">
        <v>23</v>
      </c>
      <c r="Q78" s="581">
        <v>14.28</v>
      </c>
      <c r="R78" s="581">
        <v>4.8499999999999996</v>
      </c>
      <c r="S78" s="581">
        <v>112.05</v>
      </c>
      <c r="T78" s="581">
        <v>63.27</v>
      </c>
      <c r="U78" s="581">
        <v>13.78</v>
      </c>
      <c r="V78" s="581">
        <v>11</v>
      </c>
      <c r="W78" s="581">
        <v>1.82</v>
      </c>
      <c r="X78" s="581">
        <v>54.09</v>
      </c>
      <c r="Y78" s="581">
        <v>13.15</v>
      </c>
    </row>
    <row r="79" spans="1:25">
      <c r="O79" s="579">
        <v>24</v>
      </c>
      <c r="P79" s="580">
        <v>24</v>
      </c>
      <c r="Q79" s="581">
        <v>13.3</v>
      </c>
      <c r="R79" s="581">
        <v>4.8499999999999996</v>
      </c>
      <c r="S79" s="581">
        <v>91.62</v>
      </c>
      <c r="T79" s="581">
        <v>49.79</v>
      </c>
      <c r="U79" s="581">
        <v>11.29</v>
      </c>
      <c r="V79" s="581">
        <v>11</v>
      </c>
      <c r="W79" s="581">
        <v>1.89</v>
      </c>
      <c r="X79" s="581">
        <v>45.31</v>
      </c>
      <c r="Y79" s="581">
        <v>10.85</v>
      </c>
    </row>
    <row r="80" spans="1:25">
      <c r="P80" s="580">
        <v>25</v>
      </c>
      <c r="Q80" s="581">
        <v>12.63</v>
      </c>
      <c r="R80" s="581">
        <v>3.77</v>
      </c>
      <c r="S80" s="581">
        <v>81.33</v>
      </c>
      <c r="T80" s="581">
        <v>46.74</v>
      </c>
      <c r="U80" s="581">
        <v>10.02</v>
      </c>
      <c r="V80" s="581">
        <v>11</v>
      </c>
      <c r="W80" s="581">
        <v>1.77</v>
      </c>
      <c r="X80" s="581">
        <v>40.42</v>
      </c>
      <c r="Y80" s="581">
        <v>8.98</v>
      </c>
    </row>
    <row r="81" spans="15:25">
      <c r="P81" s="580">
        <v>26</v>
      </c>
      <c r="Q81" s="581">
        <v>11.92</v>
      </c>
      <c r="R81" s="581">
        <v>3.77</v>
      </c>
      <c r="S81" s="581">
        <v>80.900000000000006</v>
      </c>
      <c r="T81" s="581">
        <v>41.45</v>
      </c>
      <c r="U81" s="581">
        <v>9.24</v>
      </c>
      <c r="V81" s="581">
        <v>12</v>
      </c>
      <c r="W81" s="581">
        <v>1.86</v>
      </c>
      <c r="X81" s="581">
        <v>37.89</v>
      </c>
      <c r="Y81" s="581">
        <v>9.41</v>
      </c>
    </row>
    <row r="82" spans="15:25">
      <c r="P82" s="580">
        <v>27</v>
      </c>
      <c r="Q82" s="581">
        <v>11.92</v>
      </c>
      <c r="R82" s="581">
        <v>3.91</v>
      </c>
      <c r="S82" s="581">
        <v>82.99</v>
      </c>
      <c r="T82" s="581">
        <v>60.31</v>
      </c>
      <c r="U82" s="581">
        <v>9.73</v>
      </c>
      <c r="V82" s="581">
        <v>12</v>
      </c>
      <c r="W82" s="581">
        <v>1.9</v>
      </c>
      <c r="X82" s="581">
        <v>38.229999999999997</v>
      </c>
      <c r="Y82" s="581">
        <v>8.58</v>
      </c>
    </row>
    <row r="83" spans="15:25">
      <c r="O83" s="579">
        <v>28</v>
      </c>
      <c r="P83" s="580">
        <v>28</v>
      </c>
      <c r="Q83" s="581">
        <v>11.04</v>
      </c>
      <c r="R83" s="581">
        <v>3.91</v>
      </c>
      <c r="S83" s="581">
        <v>71.739999999999995</v>
      </c>
      <c r="T83" s="581">
        <v>39.090000000000003</v>
      </c>
      <c r="U83" s="581">
        <v>8.42</v>
      </c>
      <c r="V83" s="581">
        <v>12</v>
      </c>
      <c r="W83" s="581">
        <v>1.65</v>
      </c>
      <c r="X83" s="581">
        <v>33.9</v>
      </c>
      <c r="Y83" s="581">
        <v>6.64</v>
      </c>
    </row>
    <row r="84" spans="15:25">
      <c r="P84" s="580">
        <v>29</v>
      </c>
      <c r="Q84" s="581">
        <v>10.27</v>
      </c>
      <c r="R84" s="581">
        <v>3.42</v>
      </c>
      <c r="S84" s="581">
        <v>67.8</v>
      </c>
      <c r="T84" s="581">
        <v>32.590000000000003</v>
      </c>
      <c r="U84" s="581">
        <v>7.7</v>
      </c>
      <c r="V84" s="581">
        <v>10.51</v>
      </c>
      <c r="W84" s="581">
        <v>1.79</v>
      </c>
      <c r="X84" s="581">
        <v>31.97</v>
      </c>
      <c r="Y84" s="581">
        <v>6.49</v>
      </c>
    </row>
    <row r="85" spans="15:25">
      <c r="P85" s="580">
        <v>30</v>
      </c>
      <c r="Q85" s="581">
        <v>9.4700000000000006</v>
      </c>
      <c r="R85" s="581">
        <v>3.42</v>
      </c>
      <c r="S85" s="581">
        <v>69.62</v>
      </c>
      <c r="T85" s="581">
        <v>28.39</v>
      </c>
      <c r="U85" s="581">
        <v>7.39</v>
      </c>
      <c r="V85" s="581">
        <v>12</v>
      </c>
      <c r="W85" s="581">
        <v>1.64</v>
      </c>
      <c r="X85" s="581">
        <v>31.76</v>
      </c>
      <c r="Y85" s="581">
        <v>6.15</v>
      </c>
    </row>
    <row r="86" spans="15:25">
      <c r="P86" s="580">
        <v>31</v>
      </c>
      <c r="Q86" s="581">
        <v>9.0500000000000007</v>
      </c>
      <c r="R86" s="581">
        <v>3.3</v>
      </c>
      <c r="S86" s="581">
        <v>61.71</v>
      </c>
      <c r="T86" s="581">
        <v>26.51</v>
      </c>
      <c r="U86" s="581">
        <v>7.02</v>
      </c>
      <c r="V86" s="581">
        <v>12</v>
      </c>
      <c r="W86" s="581">
        <v>1.87</v>
      </c>
      <c r="X86" s="581">
        <v>31.68</v>
      </c>
      <c r="Y86" s="581">
        <v>5.51</v>
      </c>
    </row>
    <row r="87" spans="15:25">
      <c r="O87" s="579">
        <v>32</v>
      </c>
      <c r="P87" s="580">
        <v>32</v>
      </c>
      <c r="Q87" s="581">
        <v>9.9</v>
      </c>
      <c r="R87" s="581">
        <v>2.68</v>
      </c>
      <c r="S87" s="581">
        <v>65.38</v>
      </c>
      <c r="T87" s="581">
        <v>24.1</v>
      </c>
      <c r="U87" s="581">
        <v>6.7</v>
      </c>
      <c r="V87" s="581">
        <v>12</v>
      </c>
      <c r="W87" s="581">
        <v>1.95</v>
      </c>
      <c r="X87" s="581">
        <v>31.01</v>
      </c>
      <c r="Y87" s="581">
        <v>5.16</v>
      </c>
    </row>
    <row r="88" spans="15:25">
      <c r="P88" s="580">
        <v>33</v>
      </c>
      <c r="Q88" s="581">
        <v>9.17</v>
      </c>
      <c r="R88" s="581">
        <v>2.4300000000000002</v>
      </c>
      <c r="S88" s="581">
        <v>59.63</v>
      </c>
      <c r="T88" s="581">
        <v>24.29</v>
      </c>
      <c r="U88" s="581">
        <v>6.44</v>
      </c>
      <c r="V88" s="581">
        <v>12</v>
      </c>
      <c r="W88" s="581">
        <v>1.82</v>
      </c>
      <c r="X88" s="581">
        <v>30.23</v>
      </c>
      <c r="Y88" s="581">
        <v>5.27</v>
      </c>
    </row>
    <row r="89" spans="15:25">
      <c r="P89" s="580">
        <v>34</v>
      </c>
      <c r="Q89" s="581">
        <v>7.78</v>
      </c>
      <c r="R89" s="581">
        <v>2.61</v>
      </c>
      <c r="S89" s="581">
        <v>60.62</v>
      </c>
      <c r="T89" s="581">
        <v>25.9</v>
      </c>
      <c r="U89" s="581">
        <v>6.62</v>
      </c>
      <c r="V89" s="581">
        <v>12</v>
      </c>
      <c r="W89" s="581">
        <v>1.89</v>
      </c>
      <c r="X89" s="581">
        <v>32.17</v>
      </c>
      <c r="Y89" s="581">
        <v>5.0599999999999996</v>
      </c>
    </row>
    <row r="90" spans="15:25">
      <c r="P90" s="580">
        <v>35</v>
      </c>
      <c r="Q90" s="581">
        <v>7.73</v>
      </c>
      <c r="R90" s="581">
        <v>3.07</v>
      </c>
      <c r="S90" s="581">
        <v>58.47</v>
      </c>
      <c r="T90" s="581">
        <v>26.33</v>
      </c>
      <c r="U90" s="581">
        <v>6.66</v>
      </c>
      <c r="V90" s="581">
        <v>12.14</v>
      </c>
      <c r="W90" s="581">
        <v>1.97</v>
      </c>
      <c r="X90" s="581">
        <v>31.63</v>
      </c>
      <c r="Y90" s="581">
        <v>4.84</v>
      </c>
    </row>
    <row r="91" spans="15:25">
      <c r="O91" s="579">
        <v>36</v>
      </c>
      <c r="P91" s="580">
        <v>36</v>
      </c>
      <c r="Q91" s="581">
        <v>7.1</v>
      </c>
      <c r="R91" s="581">
        <v>3.57</v>
      </c>
      <c r="S91" s="581">
        <v>61.13</v>
      </c>
      <c r="T91" s="581">
        <v>27.35</v>
      </c>
      <c r="U91" s="581">
        <v>6.84</v>
      </c>
      <c r="V91" s="581">
        <v>13</v>
      </c>
      <c r="W91" s="581">
        <v>1.76</v>
      </c>
      <c r="X91" s="581">
        <v>34.090000000000003</v>
      </c>
      <c r="Y91" s="581">
        <v>4.8899999999999997</v>
      </c>
    </row>
    <row r="92" spans="15:25">
      <c r="P92" s="580">
        <v>37</v>
      </c>
      <c r="Q92" s="581">
        <v>7.53</v>
      </c>
      <c r="R92" s="581">
        <v>5.04</v>
      </c>
      <c r="S92" s="581">
        <v>59.93</v>
      </c>
      <c r="T92" s="581">
        <v>34.56</v>
      </c>
      <c r="U92" s="581">
        <v>7.96</v>
      </c>
      <c r="V92" s="581">
        <v>13</v>
      </c>
      <c r="W92" s="581">
        <v>1.7</v>
      </c>
      <c r="X92" s="581">
        <v>38.06</v>
      </c>
      <c r="Y92" s="581">
        <v>8.4</v>
      </c>
    </row>
    <row r="93" spans="15:25">
      <c r="P93" s="580">
        <v>38</v>
      </c>
      <c r="Q93" s="581">
        <v>9.73</v>
      </c>
      <c r="R93" s="581">
        <v>3.75</v>
      </c>
      <c r="S93" s="581">
        <v>64.319999999999993</v>
      </c>
      <c r="T93" s="581">
        <v>41.74</v>
      </c>
      <c r="U93" s="581">
        <v>9.43</v>
      </c>
      <c r="V93" s="581">
        <v>13</v>
      </c>
      <c r="W93" s="581">
        <v>1.77</v>
      </c>
      <c r="X93" s="581">
        <v>41.12</v>
      </c>
      <c r="Y93" s="581">
        <v>6.42</v>
      </c>
    </row>
    <row r="94" spans="15:25">
      <c r="O94" s="579">
        <v>39</v>
      </c>
      <c r="P94" s="580">
        <v>39</v>
      </c>
      <c r="Q94" s="581">
        <v>7.21</v>
      </c>
      <c r="R94" s="581">
        <v>3.83</v>
      </c>
      <c r="S94" s="581">
        <v>66.83</v>
      </c>
      <c r="T94" s="581">
        <v>46.48</v>
      </c>
      <c r="U94" s="581">
        <v>7.93</v>
      </c>
      <c r="V94" s="581">
        <v>13</v>
      </c>
      <c r="W94" s="581">
        <v>1.99</v>
      </c>
      <c r="X94" s="581">
        <v>33.06</v>
      </c>
      <c r="Y94" s="581">
        <v>7.98</v>
      </c>
    </row>
    <row r="95" spans="15:25">
      <c r="P95" s="580">
        <v>40</v>
      </c>
      <c r="Q95" s="581">
        <v>6.89</v>
      </c>
      <c r="R95" s="581">
        <v>3.2</v>
      </c>
      <c r="S95" s="581">
        <v>56.32</v>
      </c>
      <c r="T95" s="581">
        <v>28.11</v>
      </c>
      <c r="U95" s="581">
        <v>6.02</v>
      </c>
      <c r="V95" s="581">
        <v>13</v>
      </c>
      <c r="W95" s="581">
        <v>1.48</v>
      </c>
      <c r="X95" s="581">
        <v>35.54</v>
      </c>
      <c r="Y95" s="581">
        <v>5.32</v>
      </c>
    </row>
    <row r="96" spans="15:25">
      <c r="P96" s="580">
        <v>41</v>
      </c>
      <c r="Q96" s="581">
        <v>7.51</v>
      </c>
      <c r="R96" s="581">
        <v>3.26</v>
      </c>
      <c r="S96" s="581">
        <v>57.18</v>
      </c>
      <c r="T96" s="581">
        <v>32.11</v>
      </c>
      <c r="U96" s="581">
        <v>6.5</v>
      </c>
      <c r="V96" s="581">
        <v>13</v>
      </c>
      <c r="W96" s="581">
        <v>1.53</v>
      </c>
      <c r="X96" s="581">
        <v>37.47</v>
      </c>
      <c r="Y96" s="581">
        <v>4.95</v>
      </c>
    </row>
    <row r="97" spans="14:25">
      <c r="P97" s="580">
        <v>42</v>
      </c>
      <c r="Q97" s="581">
        <v>7.92</v>
      </c>
      <c r="R97" s="581">
        <v>3.59</v>
      </c>
      <c r="S97" s="581">
        <v>71.87</v>
      </c>
      <c r="T97" s="581">
        <v>64.69</v>
      </c>
      <c r="U97" s="581">
        <v>9.44</v>
      </c>
      <c r="V97" s="581">
        <v>13</v>
      </c>
      <c r="W97" s="581">
        <v>1.93</v>
      </c>
      <c r="X97" s="581">
        <v>52.42</v>
      </c>
      <c r="Y97" s="581">
        <v>7.39</v>
      </c>
    </row>
    <row r="98" spans="14:25">
      <c r="O98" s="579">
        <v>43</v>
      </c>
      <c r="P98" s="580">
        <v>43</v>
      </c>
      <c r="Q98" s="581">
        <v>9.16</v>
      </c>
      <c r="R98" s="581">
        <v>3.99</v>
      </c>
      <c r="S98" s="581">
        <v>73.22</v>
      </c>
      <c r="T98" s="581">
        <v>71.16</v>
      </c>
      <c r="U98" s="581">
        <v>8.8800000000000008</v>
      </c>
      <c r="V98" s="581">
        <v>13</v>
      </c>
      <c r="W98" s="581">
        <v>1.69</v>
      </c>
      <c r="X98" s="581">
        <v>43.93</v>
      </c>
      <c r="Y98" s="581">
        <v>6.18</v>
      </c>
    </row>
    <row r="99" spans="14:25">
      <c r="P99" s="580">
        <v>44</v>
      </c>
      <c r="Q99" s="581">
        <v>8.81</v>
      </c>
      <c r="R99" s="581">
        <v>5.0199999999999996</v>
      </c>
      <c r="S99" s="581">
        <v>75.150000000000006</v>
      </c>
      <c r="T99" s="581">
        <v>62.33</v>
      </c>
      <c r="U99" s="581">
        <v>10.59</v>
      </c>
      <c r="V99" s="581">
        <v>13</v>
      </c>
      <c r="W99" s="581">
        <v>1.65</v>
      </c>
      <c r="X99" s="581">
        <v>40.229999999999997</v>
      </c>
      <c r="Y99" s="581">
        <v>8.7899999999999991</v>
      </c>
    </row>
    <row r="100" spans="14:25">
      <c r="P100" s="580">
        <v>45</v>
      </c>
      <c r="Q100" s="581">
        <v>8.3800000000000008</v>
      </c>
      <c r="R100" s="581">
        <v>4.2</v>
      </c>
      <c r="S100" s="581">
        <v>67.39</v>
      </c>
      <c r="T100" s="581">
        <v>61.76</v>
      </c>
      <c r="U100" s="581">
        <v>10.039999999999999</v>
      </c>
      <c r="V100" s="581">
        <v>13</v>
      </c>
      <c r="W100" s="581">
        <v>1.51</v>
      </c>
      <c r="X100" s="581">
        <v>41.85</v>
      </c>
      <c r="Y100" s="581">
        <v>11.45</v>
      </c>
    </row>
    <row r="101" spans="14:25">
      <c r="P101" s="580">
        <v>46</v>
      </c>
      <c r="Q101" s="581">
        <v>7.55</v>
      </c>
      <c r="R101" s="581">
        <v>3.7</v>
      </c>
      <c r="S101" s="581">
        <v>66.959999999999994</v>
      </c>
      <c r="T101" s="581">
        <v>66.040000000000006</v>
      </c>
      <c r="U101" s="581">
        <v>8.7799999999999994</v>
      </c>
      <c r="V101" s="581">
        <v>13</v>
      </c>
      <c r="W101" s="581">
        <v>1.65</v>
      </c>
      <c r="X101" s="581">
        <v>70.849999999999994</v>
      </c>
      <c r="Y101" s="581">
        <v>14.58</v>
      </c>
    </row>
    <row r="102" spans="14:25">
      <c r="P102" s="580">
        <v>47</v>
      </c>
      <c r="Q102" s="581">
        <v>7.39</v>
      </c>
      <c r="R102" s="581">
        <v>3.85</v>
      </c>
      <c r="S102" s="581">
        <v>67.72</v>
      </c>
      <c r="T102" s="581">
        <v>52.82</v>
      </c>
      <c r="U102" s="581">
        <v>7.81</v>
      </c>
      <c r="V102" s="581">
        <v>13</v>
      </c>
      <c r="W102" s="581">
        <v>1.6</v>
      </c>
      <c r="X102" s="581">
        <v>64.819999999999993</v>
      </c>
      <c r="Y102" s="581">
        <v>12.14</v>
      </c>
    </row>
    <row r="103" spans="14:25">
      <c r="O103" s="579">
        <v>48</v>
      </c>
      <c r="P103" s="580">
        <v>48</v>
      </c>
      <c r="Q103" s="581">
        <v>7.9678571564285718</v>
      </c>
      <c r="R103" s="581">
        <v>3.558142900428571</v>
      </c>
      <c r="S103" s="581">
        <v>77.366571698571434</v>
      </c>
      <c r="T103" s="581">
        <v>66.577285762857144</v>
      </c>
      <c r="U103" s="581">
        <v>9.1851428580000007</v>
      </c>
      <c r="V103" s="581">
        <v>13.005714417142858</v>
      </c>
      <c r="W103" s="581">
        <v>1.6</v>
      </c>
      <c r="X103" s="581">
        <v>47.846427917142854</v>
      </c>
      <c r="Y103" s="581">
        <v>12.516714369142859</v>
      </c>
    </row>
    <row r="104" spans="14:25">
      <c r="P104" s="580">
        <v>49</v>
      </c>
      <c r="Q104" s="581">
        <v>8.4875713758571436</v>
      </c>
      <c r="R104" s="581">
        <v>3.2600000074285718</v>
      </c>
      <c r="S104" s="581">
        <v>84.55585806714285</v>
      </c>
      <c r="T104" s="581">
        <v>72.732000077142857</v>
      </c>
      <c r="U104" s="581">
        <v>14.04828548342857</v>
      </c>
      <c r="V104" s="581">
        <v>13.002857208571429</v>
      </c>
      <c r="W104" s="581">
        <v>1.6</v>
      </c>
      <c r="X104" s="581">
        <v>57.322143555714298</v>
      </c>
      <c r="Y104" s="581">
        <v>18.826999800000003</v>
      </c>
    </row>
    <row r="105" spans="14:25">
      <c r="P105" s="580">
        <v>50</v>
      </c>
      <c r="Q105" s="581">
        <v>8.7257142747142868</v>
      </c>
      <c r="R105" s="581">
        <v>3.4628571441428577</v>
      </c>
      <c r="S105" s="581">
        <v>77.460142951428566</v>
      </c>
      <c r="T105" s="581">
        <v>64.097142899999994</v>
      </c>
      <c r="U105" s="581">
        <v>11.032857077571427</v>
      </c>
      <c r="V105" s="581">
        <v>13</v>
      </c>
      <c r="W105" s="581">
        <v>1.6000000240000001</v>
      </c>
      <c r="X105" s="581">
        <v>51.470714571428573</v>
      </c>
      <c r="Y105" s="581">
        <v>20.280285972857143</v>
      </c>
    </row>
    <row r="106" spans="14:25">
      <c r="P106" s="580">
        <v>51</v>
      </c>
      <c r="Q106" s="581">
        <v>9.7215715127142861</v>
      </c>
      <c r="R106" s="581">
        <v>4.2539999484285715</v>
      </c>
      <c r="S106" s="581">
        <v>78.166143688571424</v>
      </c>
      <c r="T106" s="581">
        <v>94.237856191428577</v>
      </c>
      <c r="U106" s="581">
        <v>14.381428445285712</v>
      </c>
      <c r="V106" s="581">
        <v>13.01285743857143</v>
      </c>
      <c r="W106" s="581">
        <v>1.6257142851428572</v>
      </c>
      <c r="X106" s="581">
        <v>65.58357184285714</v>
      </c>
      <c r="Y106" s="581">
        <v>34.849000112857141</v>
      </c>
    </row>
    <row r="107" spans="14:25">
      <c r="O107" s="579">
        <v>52</v>
      </c>
      <c r="P107" s="580">
        <v>52</v>
      </c>
      <c r="Q107" s="581">
        <v>10.323285784571427</v>
      </c>
      <c r="R107" s="581">
        <v>4.6457142829999993</v>
      </c>
      <c r="S107" s="581">
        <v>86.972714017142849</v>
      </c>
      <c r="T107" s="581">
        <v>94.357285634285716</v>
      </c>
      <c r="U107" s="581">
        <v>13.293999945714287</v>
      </c>
      <c r="V107" s="581">
        <v>13.09681579142857</v>
      </c>
      <c r="W107" s="581">
        <v>1.644999981</v>
      </c>
      <c r="X107" s="581">
        <v>104.27285767571428</v>
      </c>
      <c r="Y107" s="581">
        <v>35.335714887142856</v>
      </c>
    </row>
    <row r="108" spans="14:25">
      <c r="N108" s="579">
        <v>2018</v>
      </c>
      <c r="O108" s="579">
        <v>1</v>
      </c>
      <c r="P108" s="580">
        <v>1</v>
      </c>
      <c r="Q108" s="581">
        <v>10.34</v>
      </c>
      <c r="R108" s="581">
        <v>4.4628571428571426</v>
      </c>
      <c r="S108" s="581">
        <v>140.04142857142858</v>
      </c>
      <c r="T108" s="581">
        <v>143.09</v>
      </c>
      <c r="U108" s="581">
        <v>20.63</v>
      </c>
      <c r="V108" s="581">
        <v>13</v>
      </c>
      <c r="W108" s="581">
        <v>1.64</v>
      </c>
      <c r="X108" s="581">
        <v>201.2428571428571</v>
      </c>
      <c r="Y108" s="581">
        <v>63.23</v>
      </c>
    </row>
    <row r="109" spans="14:25">
      <c r="P109" s="580">
        <v>2</v>
      </c>
      <c r="Q109" s="581">
        <v>13.730999947142859</v>
      </c>
      <c r="R109" s="581">
        <v>3.5944285392857145</v>
      </c>
      <c r="S109" s="581">
        <v>209.91800362857143</v>
      </c>
      <c r="T109" s="581">
        <v>160.98214394285716</v>
      </c>
      <c r="U109" s="581">
        <v>36.213856559999996</v>
      </c>
      <c r="V109" s="581">
        <v>11.774285724285715</v>
      </c>
      <c r="W109" s="581">
        <v>1.5914286031428568</v>
      </c>
      <c r="X109" s="581">
        <v>229.4250030571429</v>
      </c>
      <c r="Y109" s="581">
        <v>56.654285431428562</v>
      </c>
    </row>
    <row r="110" spans="14:25">
      <c r="P110" s="580">
        <v>3</v>
      </c>
      <c r="Q110" s="581">
        <v>15.983285902857142</v>
      </c>
      <c r="R110" s="581">
        <v>8.3045714242857152</v>
      </c>
      <c r="S110" s="581">
        <v>223.6645725857143</v>
      </c>
      <c r="T110" s="581">
        <v>190.44042751428574</v>
      </c>
      <c r="U110" s="581">
        <v>30.819142750000001</v>
      </c>
      <c r="V110" s="581">
        <v>11.857142857142858</v>
      </c>
      <c r="W110" s="581">
        <v>1.5814286125714285</v>
      </c>
      <c r="X110" s="581">
        <v>261.56357028571426</v>
      </c>
      <c r="Y110" s="581">
        <v>68.516428267142857</v>
      </c>
    </row>
    <row r="111" spans="14:25">
      <c r="O111" s="579">
        <v>4</v>
      </c>
      <c r="P111" s="580">
        <v>4</v>
      </c>
      <c r="Q111" s="581">
        <v>21.988571574285714</v>
      </c>
      <c r="R111" s="581">
        <v>15.598142828000002</v>
      </c>
      <c r="S111" s="581">
        <v>346.88342720000003</v>
      </c>
      <c r="T111" s="581">
        <v>205.5832868285714</v>
      </c>
      <c r="U111" s="581">
        <v>40.893000467142862</v>
      </c>
      <c r="V111" s="581">
        <v>18.734285627142857</v>
      </c>
      <c r="W111" s="581">
        <v>1.5700000519999997</v>
      </c>
      <c r="X111" s="581">
        <v>261.98000009999998</v>
      </c>
      <c r="Y111" s="581">
        <v>58.935427530000005</v>
      </c>
    </row>
    <row r="112" spans="14:25">
      <c r="P112" s="580">
        <v>5</v>
      </c>
      <c r="Q112" s="581">
        <v>17.729000225714284</v>
      </c>
      <c r="R112" s="581">
        <v>13.724571365714285</v>
      </c>
      <c r="S112" s="581">
        <v>214.95928737142859</v>
      </c>
      <c r="T112" s="581">
        <v>93.607142857142861</v>
      </c>
      <c r="U112" s="581">
        <v>17.748285841428572</v>
      </c>
      <c r="V112" s="581">
        <v>23.390000208571426</v>
      </c>
      <c r="W112" s="581">
        <v>1.5700000519999997</v>
      </c>
      <c r="X112" s="581">
        <v>141.83571514285714</v>
      </c>
      <c r="Y112" s="581">
        <v>45.332857951428579</v>
      </c>
    </row>
    <row r="113" spans="15:25">
      <c r="P113" s="580">
        <v>6</v>
      </c>
      <c r="Q113" s="581">
        <v>13.582571572857143</v>
      </c>
      <c r="R113" s="581">
        <v>8.6634286477142854</v>
      </c>
      <c r="S113" s="581">
        <v>166.34242902857142</v>
      </c>
      <c r="T113" s="581">
        <v>108.25571334000001</v>
      </c>
      <c r="U113" s="581">
        <v>18.79157175142857</v>
      </c>
      <c r="V113" s="581">
        <v>20.201017107142857</v>
      </c>
      <c r="W113" s="581">
        <v>2.3694285491428571</v>
      </c>
      <c r="X113" s="581">
        <v>164.55714089999998</v>
      </c>
      <c r="Y113" s="581">
        <v>65.987571171428584</v>
      </c>
    </row>
    <row r="114" spans="15:25">
      <c r="P114" s="580">
        <v>7</v>
      </c>
      <c r="Q114" s="581">
        <v>14.722571237142859</v>
      </c>
      <c r="R114" s="581">
        <v>11.071428435428571</v>
      </c>
      <c r="S114" s="581">
        <v>239.50057330000001</v>
      </c>
      <c r="T114" s="581">
        <v>202.98199900000003</v>
      </c>
      <c r="U114" s="581">
        <v>42.088571821428573</v>
      </c>
      <c r="V114" s="581">
        <v>15.283185821428571</v>
      </c>
      <c r="W114" s="581">
        <v>3.1689999100000001</v>
      </c>
      <c r="X114" s="581">
        <v>355.31285748571423</v>
      </c>
      <c r="Y114" s="581">
        <v>97.722999031428586</v>
      </c>
    </row>
    <row r="115" spans="15:25">
      <c r="O115" s="579">
        <v>8</v>
      </c>
      <c r="P115" s="580">
        <v>8</v>
      </c>
      <c r="Q115" s="581">
        <v>18.48</v>
      </c>
      <c r="R115" s="581">
        <v>14.97</v>
      </c>
      <c r="S115" s="581">
        <v>357.61814662857148</v>
      </c>
      <c r="T115" s="581">
        <v>251.1</v>
      </c>
      <c r="U115" s="581">
        <v>43.74</v>
      </c>
      <c r="V115" s="581">
        <v>16.564</v>
      </c>
      <c r="W115" s="581">
        <v>3.16</v>
      </c>
      <c r="X115" s="581">
        <v>437.78</v>
      </c>
      <c r="Y115" s="581">
        <v>142.13</v>
      </c>
    </row>
    <row r="116" spans="15:25">
      <c r="P116" s="580">
        <v>9</v>
      </c>
      <c r="Q116" s="581">
        <v>21.652428627142854</v>
      </c>
      <c r="R116" s="581">
        <v>14.185285431142857</v>
      </c>
      <c r="S116" s="581">
        <v>333.90885488571433</v>
      </c>
      <c r="T116" s="581">
        <v>204.95843285714287</v>
      </c>
      <c r="U116" s="581">
        <v>31.755000522857138</v>
      </c>
      <c r="V116" s="581">
        <v>15.852976190476195</v>
      </c>
      <c r="W116" s="581">
        <v>3.1689999100000001</v>
      </c>
      <c r="X116" s="581">
        <v>424.14571271428576</v>
      </c>
      <c r="Y116" s="581">
        <v>142.13857270714286</v>
      </c>
    </row>
    <row r="117" spans="15:25">
      <c r="P117" s="580">
        <v>10</v>
      </c>
      <c r="Q117" s="581">
        <v>30.272714344285713</v>
      </c>
      <c r="R117" s="581">
        <v>17.434571538571429</v>
      </c>
      <c r="S117" s="581">
        <v>431.64157101428572</v>
      </c>
      <c r="T117" s="581">
        <v>177.15485925714287</v>
      </c>
      <c r="U117" s="581">
        <v>31.196571622857142</v>
      </c>
      <c r="V117" s="581">
        <v>14.442</v>
      </c>
      <c r="W117" s="581">
        <v>4.7437142644285712</v>
      </c>
      <c r="X117" s="581">
        <v>293.69142804285718</v>
      </c>
      <c r="Y117" s="581">
        <v>72.30971418</v>
      </c>
    </row>
    <row r="118" spans="15:25">
      <c r="P118" s="580">
        <v>11</v>
      </c>
      <c r="Q118" s="581">
        <v>28.071857179999999</v>
      </c>
      <c r="R118" s="581">
        <v>17.048571724285715</v>
      </c>
      <c r="S118" s="581">
        <v>485.98543439999997</v>
      </c>
      <c r="T118" s="581">
        <v>169.375</v>
      </c>
      <c r="U118" s="581">
        <v>52.626284462857136</v>
      </c>
      <c r="V118" s="581">
        <v>18.273</v>
      </c>
      <c r="W118" s="581">
        <v>3.0879999738571429</v>
      </c>
      <c r="X118" s="581">
        <v>511.54500034285724</v>
      </c>
      <c r="Y118" s="581">
        <v>119.7894287057143</v>
      </c>
    </row>
    <row r="119" spans="15:25">
      <c r="O119" s="579">
        <v>12</v>
      </c>
      <c r="P119" s="580">
        <v>12</v>
      </c>
      <c r="Q119" s="581">
        <v>29.90999984714286</v>
      </c>
      <c r="R119" s="581">
        <v>21.62</v>
      </c>
      <c r="S119" s="581">
        <v>465.24414497142863</v>
      </c>
      <c r="T119" s="581">
        <v>201.58328465714288</v>
      </c>
      <c r="U119" s="581">
        <v>57.669144221428567</v>
      </c>
      <c r="V119" s="581">
        <v>23.244</v>
      </c>
      <c r="W119" s="581">
        <v>4.5095714328571432</v>
      </c>
      <c r="X119" s="581">
        <v>433.89143152857145</v>
      </c>
      <c r="Y119" s="581">
        <v>152.80443028571429</v>
      </c>
    </row>
    <row r="120" spans="15:25">
      <c r="P120" s="580">
        <v>13</v>
      </c>
      <c r="Q120" s="581">
        <v>28.360142844285718</v>
      </c>
      <c r="R120" s="581">
        <v>17.439428465714283</v>
      </c>
      <c r="S120" s="581">
        <v>396.37686155714289</v>
      </c>
      <c r="T120" s="581">
        <v>163.75585502857143</v>
      </c>
      <c r="U120" s="581">
        <v>35.725570951428573</v>
      </c>
      <c r="V120" s="581">
        <v>23.143392837142859</v>
      </c>
      <c r="W120" s="581">
        <v>3.3929999999999998</v>
      </c>
      <c r="X120" s="581">
        <v>281.79928587142859</v>
      </c>
      <c r="Y120" s="581">
        <v>107.32928468714286</v>
      </c>
    </row>
    <row r="121" spans="15:25">
      <c r="P121" s="580">
        <v>14</v>
      </c>
      <c r="Q121" s="581">
        <v>23.830285752857144</v>
      </c>
      <c r="R121" s="581">
        <v>12.833285604571429</v>
      </c>
      <c r="S121" s="581">
        <v>226.32643345714288</v>
      </c>
      <c r="T121" s="581">
        <v>133.53585814285714</v>
      </c>
      <c r="U121" s="581">
        <v>28.622000282857147</v>
      </c>
      <c r="V121" s="581">
        <v>19.16</v>
      </c>
      <c r="W121" s="581">
        <v>1.736</v>
      </c>
      <c r="X121" s="581">
        <v>176.23214502857144</v>
      </c>
      <c r="Y121" s="581">
        <v>80.936570849999995</v>
      </c>
    </row>
    <row r="122" spans="15:25">
      <c r="P122" s="580">
        <v>15</v>
      </c>
      <c r="Q122" s="581">
        <v>27</v>
      </c>
      <c r="R122" s="581">
        <v>15.571285655714286</v>
      </c>
      <c r="S122" s="581">
        <v>207.40800040000002</v>
      </c>
      <c r="T122" s="581">
        <v>107.59514291428572</v>
      </c>
      <c r="U122" s="581">
        <v>30.753999982857145</v>
      </c>
      <c r="V122" s="581">
        <v>14.377143042857142</v>
      </c>
      <c r="W122" s="581">
        <v>1.8612856864285716</v>
      </c>
      <c r="X122" s="581">
        <v>130.09</v>
      </c>
      <c r="Y122" s="581">
        <v>42.693143572857146</v>
      </c>
    </row>
    <row r="123" spans="15:25">
      <c r="O123" s="579">
        <v>16</v>
      </c>
      <c r="P123" s="580">
        <v>16</v>
      </c>
      <c r="Q123" s="581">
        <v>19.899999999999999</v>
      </c>
      <c r="R123" s="581">
        <v>12.83</v>
      </c>
      <c r="S123" s="581">
        <v>166.38871437142856</v>
      </c>
      <c r="T123" s="581">
        <v>95.78</v>
      </c>
      <c r="U123" s="581">
        <v>29.88</v>
      </c>
      <c r="V123" s="581">
        <v>12.36</v>
      </c>
      <c r="W123" s="581">
        <v>1.9</v>
      </c>
      <c r="X123" s="581">
        <v>96.9</v>
      </c>
      <c r="Y123" s="581">
        <v>33.717142651428574</v>
      </c>
    </row>
    <row r="124" spans="15:25">
      <c r="P124" s="580">
        <v>17</v>
      </c>
      <c r="Q124" s="581">
        <v>19.14</v>
      </c>
      <c r="R124" s="581">
        <v>13.52</v>
      </c>
      <c r="S124" s="581">
        <v>168.19342804285716</v>
      </c>
      <c r="T124" s="581">
        <v>95.39</v>
      </c>
      <c r="U124" s="581">
        <v>22.257285525714284</v>
      </c>
      <c r="V124" s="581">
        <v>13.4</v>
      </c>
      <c r="W124" s="581">
        <v>1.7940000124285713</v>
      </c>
      <c r="X124" s="581">
        <v>89.59</v>
      </c>
      <c r="Y124" s="581">
        <v>27.06</v>
      </c>
    </row>
    <row r="125" spans="15:25">
      <c r="P125" s="580">
        <v>18</v>
      </c>
      <c r="Q125" s="581">
        <v>19.703571455714286</v>
      </c>
      <c r="R125" s="581">
        <v>14.166857039571427</v>
      </c>
      <c r="S125" s="581">
        <v>171.5428597714286</v>
      </c>
      <c r="T125" s="581">
        <v>85.958285739999994</v>
      </c>
      <c r="U125" s="581">
        <v>21.651714052857141</v>
      </c>
      <c r="V125" s="581">
        <v>12.785805702857145</v>
      </c>
      <c r="W125" s="581">
        <v>2.3024285860000004</v>
      </c>
      <c r="X125" s="581">
        <v>89.602142331428567</v>
      </c>
      <c r="Y125" s="581">
        <v>22.269714081428571</v>
      </c>
    </row>
    <row r="126" spans="15:25">
      <c r="Q126" s="579" t="s">
        <v>313</v>
      </c>
      <c r="R126" s="579" t="s">
        <v>314</v>
      </c>
      <c r="S126" s="579" t="s">
        <v>315</v>
      </c>
      <c r="T126" s="579" t="s">
        <v>316</v>
      </c>
      <c r="U126" s="579" t="s">
        <v>317</v>
      </c>
      <c r="V126" s="579" t="s">
        <v>318</v>
      </c>
      <c r="W126" s="579" t="s">
        <v>319</v>
      </c>
      <c r="X126" s="579" t="s">
        <v>320</v>
      </c>
      <c r="Y126" s="579" t="s">
        <v>321</v>
      </c>
    </row>
  </sheetData>
  <mergeCells count="3">
    <mergeCell ref="A65:L65"/>
    <mergeCell ref="A40:L40"/>
    <mergeCell ref="A18:L18"/>
  </mergeCells>
  <pageMargins left="0.7" right="0.7" top="0.86956521739130432" bottom="0.61458333333333337" header="0.3" footer="0.3"/>
  <pageSetup orientation="portrait" r:id="rId1"/>
  <headerFooter>
    <oddHeader>&amp;R&amp;7Informe de la Operación Mensual - Abril 2018
INFSGI-MES-04-2018
10/05/2018
Versión: 01</oddHeader>
    <oddFooter>&amp;L&amp;7COES SINAC, 2018
&amp;C13&amp;R&amp;7Dirección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4BA1B-4505-4E96-91EC-04C4917C2A4F}">
  <sheetPr>
    <tabColor theme="4"/>
  </sheetPr>
  <dimension ref="A1:O59"/>
  <sheetViews>
    <sheetView showGridLines="0" view="pageBreakPreview" zoomScale="145" zoomScaleNormal="100" zoomScaleSheetLayoutView="145" zoomScalePageLayoutView="160" workbookViewId="0">
      <selection activeCell="P17" sqref="P17"/>
    </sheetView>
  </sheetViews>
  <sheetFormatPr defaultRowHeight="11.25"/>
  <cols>
    <col min="1" max="1" width="6" style="3" customWidth="1"/>
    <col min="2" max="3" width="13.5" style="3" customWidth="1"/>
    <col min="4" max="4" width="12.5" style="3" customWidth="1"/>
    <col min="5" max="5" width="12.1640625" style="3" customWidth="1"/>
    <col min="6" max="6" width="15.83203125" style="3" customWidth="1"/>
    <col min="7" max="7" width="13.5" style="3" customWidth="1"/>
    <col min="8" max="8" width="12.5" style="3" customWidth="1"/>
    <col min="9" max="9" width="11.6640625" style="3" customWidth="1"/>
    <col min="10" max="11" width="9.33203125" style="3" customWidth="1"/>
    <col min="12" max="12" width="9.33203125" style="3"/>
    <col min="13" max="13" width="20.5" style="341" customWidth="1"/>
    <col min="14" max="16384" width="9.33203125" style="3"/>
  </cols>
  <sheetData>
    <row r="1" spans="1:15" ht="11.25" customHeight="1"/>
    <row r="2" spans="1:15" ht="11.25" customHeight="1">
      <c r="A2" s="911" t="s">
        <v>516</v>
      </c>
      <c r="B2" s="911"/>
      <c r="C2" s="911"/>
      <c r="D2" s="911"/>
      <c r="E2" s="911"/>
      <c r="F2" s="911"/>
      <c r="G2" s="911"/>
      <c r="H2" s="911"/>
      <c r="I2" s="911"/>
      <c r="J2" s="911"/>
      <c r="K2" s="911"/>
    </row>
    <row r="3" spans="1:15" ht="11.25" customHeight="1">
      <c r="A3" s="254"/>
      <c r="B3" s="254"/>
      <c r="C3" s="254"/>
      <c r="D3" s="254"/>
      <c r="E3" s="254"/>
      <c r="F3" s="254"/>
      <c r="G3" s="254"/>
      <c r="H3" s="254"/>
      <c r="I3" s="254"/>
      <c r="J3" s="254"/>
      <c r="K3" s="680"/>
      <c r="L3" s="45"/>
    </row>
    <row r="4" spans="1:15" ht="11.25" customHeight="1">
      <c r="A4" s="896" t="s">
        <v>517</v>
      </c>
      <c r="B4" s="896"/>
      <c r="C4" s="896"/>
      <c r="D4" s="896"/>
      <c r="E4" s="896"/>
      <c r="F4" s="896"/>
      <c r="G4" s="896"/>
      <c r="H4" s="896"/>
      <c r="I4" s="255"/>
      <c r="J4" s="255"/>
      <c r="L4" s="45"/>
    </row>
    <row r="5" spans="1:15" ht="7.5" customHeight="1">
      <c r="A5" s="256"/>
      <c r="B5" s="256"/>
      <c r="C5" s="256"/>
      <c r="D5" s="256"/>
      <c r="E5" s="256"/>
      <c r="F5" s="256"/>
      <c r="G5" s="256"/>
      <c r="H5" s="256"/>
      <c r="I5" s="256"/>
      <c r="J5" s="256"/>
      <c r="L5" s="10"/>
    </row>
    <row r="6" spans="1:15" ht="11.25" customHeight="1">
      <c r="A6" s="256"/>
      <c r="B6" s="260" t="s">
        <v>518</v>
      </c>
      <c r="C6" s="256"/>
      <c r="D6" s="256"/>
      <c r="E6" s="256"/>
      <c r="F6" s="256"/>
      <c r="G6" s="256"/>
      <c r="H6" s="256"/>
      <c r="I6" s="256"/>
      <c r="J6" s="256"/>
      <c r="L6" s="20"/>
    </row>
    <row r="7" spans="1:15" ht="7.5" customHeight="1">
      <c r="A7" s="256"/>
      <c r="B7" s="257"/>
      <c r="C7" s="256"/>
      <c r="D7" s="256"/>
      <c r="E7" s="256"/>
      <c r="F7" s="256"/>
      <c r="G7" s="256"/>
      <c r="H7" s="256"/>
      <c r="I7" s="256"/>
      <c r="J7" s="256"/>
      <c r="L7" s="16"/>
    </row>
    <row r="8" spans="1:15" ht="21" customHeight="1">
      <c r="A8" s="256"/>
      <c r="B8" s="717" t="s">
        <v>180</v>
      </c>
      <c r="C8" s="718" t="s">
        <v>181</v>
      </c>
      <c r="D8" s="718" t="s">
        <v>182</v>
      </c>
      <c r="E8" s="718" t="s">
        <v>184</v>
      </c>
      <c r="F8" s="718" t="s">
        <v>183</v>
      </c>
      <c r="G8" s="719" t="s">
        <v>185</v>
      </c>
      <c r="H8" s="265"/>
      <c r="I8" s="265"/>
      <c r="J8" s="265"/>
      <c r="L8" s="34"/>
      <c r="M8" s="838" t="s">
        <v>181</v>
      </c>
      <c r="N8" s="839" t="str">
        <f>M8&amp;"
 ("&amp;ROUND(HLOOKUP(M8,$C$8:$G$9,2,0),2)&amp;"   USD/MWh)"</f>
        <v>PIURA OESTE 220
 (5,39   USD/MWh)</v>
      </c>
    </row>
    <row r="9" spans="1:15" ht="18" customHeight="1">
      <c r="A9" s="256"/>
      <c r="B9" s="720" t="s">
        <v>186</v>
      </c>
      <c r="C9" s="425">
        <v>5.3936835207265155</v>
      </c>
      <c r="D9" s="425">
        <v>5.2240615818375984</v>
      </c>
      <c r="E9" s="425">
        <v>5.1574658683760681</v>
      </c>
      <c r="F9" s="425">
        <v>5.1181320829059791</v>
      </c>
      <c r="G9" s="425">
        <v>5.0428419478632485</v>
      </c>
      <c r="H9" s="265"/>
      <c r="I9" s="265"/>
      <c r="J9" s="265"/>
      <c r="K9" s="265"/>
      <c r="L9" s="29"/>
      <c r="M9" s="838" t="s">
        <v>182</v>
      </c>
      <c r="N9" s="839" t="str">
        <f>M9&amp;"
("&amp;ROUND(HLOOKUP(M9,$C$8:$G$9,2,0),2)&amp;" USD/MWh)"</f>
        <v>CHICLAYO 220
(5,22 USD/MWh)</v>
      </c>
    </row>
    <row r="10" spans="1:15" ht="14.25" customHeight="1">
      <c r="A10" s="256"/>
      <c r="B10" s="934" t="str">
        <f>"Cuadro N°11: Valor de los costos marginales medios registrados en las principales barras del área norte durante el mes de "&amp;'1. Resumen'!Q4</f>
        <v>Cuadro N°11: Valor de los costos marginales medios registrados en las principales barras del área norte durante el mes de abril</v>
      </c>
      <c r="C10" s="934"/>
      <c r="D10" s="934"/>
      <c r="E10" s="934"/>
      <c r="F10" s="934"/>
      <c r="G10" s="934"/>
      <c r="H10" s="934"/>
      <c r="I10" s="934"/>
      <c r="J10" s="265"/>
      <c r="K10" s="265"/>
      <c r="L10" s="29"/>
      <c r="M10" s="838" t="s">
        <v>184</v>
      </c>
      <c r="N10" s="839" t="str">
        <f>M10&amp;"
("&amp;ROUND(HLOOKUP(M10,$C$8:$G$9,2,0),2)&amp;" USD/MWh)"</f>
        <v>TRUJILLO 220
(5,16 USD/MWh)</v>
      </c>
    </row>
    <row r="11" spans="1:15" ht="11.25" customHeight="1">
      <c r="A11" s="256"/>
      <c r="B11" s="266"/>
      <c r="C11" s="265"/>
      <c r="D11" s="265"/>
      <c r="E11" s="265"/>
      <c r="F11" s="265"/>
      <c r="G11" s="265"/>
      <c r="H11" s="265"/>
      <c r="I11" s="265"/>
      <c r="J11" s="265"/>
      <c r="K11" s="265"/>
      <c r="L11" s="29"/>
      <c r="M11" s="838" t="s">
        <v>183</v>
      </c>
      <c r="N11" s="839" t="str">
        <f>M11&amp;"
("&amp;ROUND(HLOOKUP(M11,$C$8:$G$9,2,0),2)&amp;" USD/MWh)"</f>
        <v>CHIMBOTE1 138
(5,12 USD/MWh)</v>
      </c>
    </row>
    <row r="12" spans="1:15" ht="11.25" customHeight="1">
      <c r="A12" s="256"/>
      <c r="B12" s="265"/>
      <c r="C12" s="265"/>
      <c r="D12" s="265"/>
      <c r="E12" s="265"/>
      <c r="F12" s="265"/>
      <c r="G12" s="265"/>
      <c r="H12" s="265"/>
      <c r="I12" s="265"/>
      <c r="J12" s="265"/>
      <c r="K12" s="265"/>
      <c r="L12" s="31"/>
      <c r="M12" s="838" t="s">
        <v>185</v>
      </c>
      <c r="N12" s="839" t="str">
        <f>M12&amp;"
("&amp;ROUND(HLOOKUP(M12,$C$8:$G$9,2,0),2)&amp;" USD/MWh)"</f>
        <v>CAJAMARCA 220
(5,04 USD/MWh)</v>
      </c>
    </row>
    <row r="13" spans="1:15" ht="11.25" customHeight="1">
      <c r="A13" s="256"/>
      <c r="B13" s="265"/>
      <c r="C13" s="265"/>
      <c r="D13" s="265"/>
      <c r="E13" s="265"/>
      <c r="F13" s="265"/>
      <c r="G13" s="265"/>
      <c r="H13" s="265"/>
      <c r="I13" s="265"/>
      <c r="J13" s="265"/>
      <c r="K13" s="265"/>
      <c r="L13" s="34"/>
      <c r="M13" s="838"/>
      <c r="N13" s="839"/>
      <c r="O13" s="838"/>
    </row>
    <row r="14" spans="1:15" ht="11.25" customHeight="1">
      <c r="A14" s="256"/>
      <c r="B14" s="265"/>
      <c r="C14" s="265"/>
      <c r="D14" s="265"/>
      <c r="E14" s="265"/>
      <c r="F14" s="265"/>
      <c r="G14" s="265"/>
      <c r="H14" s="265"/>
      <c r="I14" s="265"/>
      <c r="J14" s="265"/>
      <c r="K14" s="265"/>
      <c r="L14" s="29"/>
      <c r="M14" s="838" t="s">
        <v>188</v>
      </c>
      <c r="N14" s="839" t="str">
        <f t="shared" ref="N14:N20" si="0">M14&amp;"
("&amp;ROUND(HLOOKUP(M14,$C$26:$I$27,2,0),2)&amp;" USD/MWh)"</f>
        <v>CHAVARRIA 220
(5,11 USD/MWh)</v>
      </c>
    </row>
    <row r="15" spans="1:15" ht="11.25" customHeight="1">
      <c r="A15" s="256"/>
      <c r="B15" s="265"/>
      <c r="C15" s="265"/>
      <c r="D15" s="265"/>
      <c r="E15" s="265"/>
      <c r="F15" s="265"/>
      <c r="G15" s="265"/>
      <c r="H15" s="265"/>
      <c r="I15" s="265"/>
      <c r="J15" s="265"/>
      <c r="K15" s="265"/>
      <c r="L15" s="29"/>
      <c r="M15" s="838" t="s">
        <v>190</v>
      </c>
      <c r="N15" s="839" t="str">
        <f t="shared" si="0"/>
        <v>INDEPENDENCIA 220
(5 USD/MWh)</v>
      </c>
    </row>
    <row r="16" spans="1:15" ht="11.25" customHeight="1">
      <c r="A16" s="256"/>
      <c r="B16" s="265"/>
      <c r="C16" s="265"/>
      <c r="D16" s="265"/>
      <c r="E16" s="265"/>
      <c r="F16" s="265"/>
      <c r="G16" s="265"/>
      <c r="H16" s="265"/>
      <c r="I16" s="265"/>
      <c r="J16" s="265"/>
      <c r="K16" s="265"/>
      <c r="L16" s="29"/>
      <c r="M16" s="838" t="s">
        <v>191</v>
      </c>
      <c r="N16" s="839" t="str">
        <f t="shared" si="0"/>
        <v>CARABAYLLO 220
(5,07 USD/MWh)</v>
      </c>
    </row>
    <row r="17" spans="1:14" ht="11.25" customHeight="1">
      <c r="A17" s="256"/>
      <c r="B17" s="265"/>
      <c r="C17" s="265"/>
      <c r="D17" s="265"/>
      <c r="E17" s="265"/>
      <c r="F17" s="265"/>
      <c r="G17" s="265"/>
      <c r="H17" s="265"/>
      <c r="I17" s="265"/>
      <c r="J17" s="265"/>
      <c r="K17" s="265"/>
      <c r="L17" s="29"/>
      <c r="M17" s="838" t="s">
        <v>187</v>
      </c>
      <c r="N17" s="839" t="str">
        <f t="shared" si="0"/>
        <v>SANTA ROSA 220
(5,12 USD/MWh)</v>
      </c>
    </row>
    <row r="18" spans="1:14" ht="11.25" customHeight="1">
      <c r="A18" s="256"/>
      <c r="B18" s="265"/>
      <c r="C18" s="265"/>
      <c r="D18" s="265"/>
      <c r="E18" s="265"/>
      <c r="F18" s="265"/>
      <c r="G18" s="265"/>
      <c r="H18" s="265"/>
      <c r="I18" s="265"/>
      <c r="J18" s="265"/>
      <c r="K18" s="265"/>
      <c r="L18" s="29"/>
      <c r="M18" s="838" t="s">
        <v>189</v>
      </c>
      <c r="N18" s="839" t="str">
        <f t="shared" si="0"/>
        <v>SAN JUAN 220
(5,13 USD/MWh)</v>
      </c>
    </row>
    <row r="19" spans="1:14" ht="11.25" customHeight="1">
      <c r="A19" s="256"/>
      <c r="B19" s="265"/>
      <c r="C19" s="265"/>
      <c r="D19" s="265"/>
      <c r="E19" s="265"/>
      <c r="F19" s="265"/>
      <c r="G19" s="265"/>
      <c r="H19" s="265"/>
      <c r="I19" s="265"/>
      <c r="J19" s="265"/>
      <c r="K19" s="265"/>
      <c r="L19" s="39"/>
      <c r="M19" s="838" t="s">
        <v>192</v>
      </c>
      <c r="N19" s="839" t="str">
        <f t="shared" si="0"/>
        <v>POMACOCHA 220
(4,68 USD/MWh)</v>
      </c>
    </row>
    <row r="20" spans="1:14" ht="11.25" customHeight="1">
      <c r="A20" s="256"/>
      <c r="B20" s="263"/>
      <c r="C20" s="263"/>
      <c r="D20" s="263"/>
      <c r="E20" s="263"/>
      <c r="F20" s="263"/>
      <c r="G20" s="265"/>
      <c r="H20" s="265"/>
      <c r="I20" s="265"/>
      <c r="J20" s="265"/>
      <c r="K20" s="265"/>
      <c r="L20" s="29"/>
      <c r="M20" s="838" t="s">
        <v>193</v>
      </c>
      <c r="N20" s="839" t="str">
        <f t="shared" si="0"/>
        <v>OROYA NUEVA 50
(4,54 USD/MWh)</v>
      </c>
    </row>
    <row r="21" spans="1:14" ht="11.25" customHeight="1">
      <c r="A21" s="256"/>
      <c r="B21" s="935" t="str">
        <f>"Gráfico N°20: Costos marginales medios registrados en las principales barras del área norte durante el mes de "&amp;'1. Resumen'!Q4</f>
        <v>Gráfico N°20: Costos marginales medios registrados en las principales barras del área norte durante el mes de abril</v>
      </c>
      <c r="C21" s="935"/>
      <c r="D21" s="935"/>
      <c r="E21" s="935"/>
      <c r="F21" s="935"/>
      <c r="G21" s="935"/>
      <c r="H21" s="935"/>
      <c r="I21" s="935"/>
      <c r="J21" s="265"/>
      <c r="K21" s="265"/>
      <c r="L21" s="29"/>
      <c r="M21" s="838"/>
      <c r="N21" s="839"/>
    </row>
    <row r="22" spans="1:14" ht="7.5" customHeight="1">
      <c r="A22" s="256"/>
      <c r="B22" s="258"/>
      <c r="C22" s="258"/>
      <c r="D22" s="258"/>
      <c r="E22" s="258"/>
      <c r="F22" s="258"/>
      <c r="G22" s="256"/>
      <c r="H22" s="256"/>
      <c r="I22" s="256"/>
      <c r="J22" s="256"/>
      <c r="K22" s="256"/>
      <c r="L22" s="20"/>
      <c r="M22" s="838"/>
      <c r="N22" s="839"/>
    </row>
    <row r="23" spans="1:14" ht="11.25" customHeight="1">
      <c r="A23" s="256"/>
      <c r="B23" s="258"/>
      <c r="C23" s="258"/>
      <c r="D23" s="258"/>
      <c r="E23" s="258"/>
      <c r="F23" s="258"/>
      <c r="G23" s="256"/>
      <c r="H23" s="256"/>
      <c r="I23" s="256"/>
      <c r="J23" s="256"/>
      <c r="K23" s="256"/>
      <c r="L23" s="22"/>
      <c r="M23" s="838" t="s">
        <v>194</v>
      </c>
      <c r="N23" s="839" t="str">
        <f t="shared" ref="N23:N29" si="1">M23&amp;"
("&amp;ROUND(HLOOKUP(M23,$C$45:$I$46,2,0),2)&amp;" USD/MWh)"</f>
        <v>TINTAYA NUEVA 220
(5,33 USD/MWh)</v>
      </c>
    </row>
    <row r="24" spans="1:14" ht="11.25" customHeight="1">
      <c r="A24" s="256"/>
      <c r="B24" s="261" t="s">
        <v>519</v>
      </c>
      <c r="C24" s="258"/>
      <c r="D24" s="258"/>
      <c r="E24" s="258"/>
      <c r="F24" s="258"/>
      <c r="G24" s="256"/>
      <c r="H24" s="256"/>
      <c r="I24" s="256"/>
      <c r="J24" s="256"/>
      <c r="K24" s="256"/>
      <c r="L24" s="20"/>
      <c r="M24" s="838" t="s">
        <v>195</v>
      </c>
      <c r="N24" s="839" t="str">
        <f t="shared" si="1"/>
        <v>PUNO 138
(5,16 USD/MWh)</v>
      </c>
    </row>
    <row r="25" spans="1:14" ht="6.75" customHeight="1">
      <c r="A25" s="256"/>
      <c r="B25" s="258"/>
      <c r="C25" s="258"/>
      <c r="D25" s="258"/>
      <c r="E25" s="258"/>
      <c r="F25" s="258"/>
      <c r="G25" s="256"/>
      <c r="H25" s="256"/>
      <c r="I25" s="256"/>
      <c r="J25" s="256"/>
      <c r="K25" s="256"/>
      <c r="L25" s="20"/>
      <c r="M25" s="838" t="s">
        <v>196</v>
      </c>
      <c r="N25" s="839" t="str">
        <f t="shared" si="1"/>
        <v>SOCABAYA 220
(5,15 USD/MWh)</v>
      </c>
    </row>
    <row r="26" spans="1:14" ht="25.5" customHeight="1">
      <c r="A26" s="256"/>
      <c r="B26" s="721" t="s">
        <v>180</v>
      </c>
      <c r="C26" s="718" t="s">
        <v>189</v>
      </c>
      <c r="D26" s="718" t="s">
        <v>187</v>
      </c>
      <c r="E26" s="718" t="s">
        <v>188</v>
      </c>
      <c r="F26" s="718" t="s">
        <v>191</v>
      </c>
      <c r="G26" s="718" t="s">
        <v>190</v>
      </c>
      <c r="H26" s="718" t="s">
        <v>192</v>
      </c>
      <c r="I26" s="719" t="s">
        <v>193</v>
      </c>
      <c r="J26" s="262"/>
      <c r="K26" s="265"/>
      <c r="L26" s="29"/>
      <c r="M26" s="838" t="s">
        <v>197</v>
      </c>
      <c r="N26" s="839" t="str">
        <f t="shared" si="1"/>
        <v>MOQUEGUA 138
(5,14 USD/MWh)</v>
      </c>
    </row>
    <row r="27" spans="1:14" ht="18" customHeight="1">
      <c r="A27" s="256"/>
      <c r="B27" s="722" t="s">
        <v>186</v>
      </c>
      <c r="C27" s="425">
        <v>5.12826040726498</v>
      </c>
      <c r="D27" s="425">
        <v>5.1168617091880524</v>
      </c>
      <c r="E27" s="425">
        <v>5.1109222297008516</v>
      </c>
      <c r="F27" s="425">
        <v>5.0735076388888833</v>
      </c>
      <c r="G27" s="425">
        <v>4.9952980017094051</v>
      </c>
      <c r="H27" s="425">
        <v>4.6754929423076996</v>
      </c>
      <c r="I27" s="425">
        <v>4.5422249675213751</v>
      </c>
      <c r="J27" s="264"/>
      <c r="K27" s="265"/>
      <c r="L27" s="29"/>
      <c r="M27" s="838" t="s">
        <v>198</v>
      </c>
      <c r="N27" s="839" t="str">
        <f t="shared" si="1"/>
        <v>DOLORESPATA 138
(4,95 USD/MWh)</v>
      </c>
    </row>
    <row r="28" spans="1:14" ht="19.5" customHeight="1">
      <c r="A28" s="256"/>
      <c r="B28" s="936" t="str">
        <f>"Cuadro N°12: Valor de los costos marginales medios registrados en las principales barras del área centro durante el mes de "&amp;'1. Resumen'!Q4</f>
        <v>Cuadro N°12: Valor de los costos marginales medios registrados en las principales barras del área centro durante el mes de abril</v>
      </c>
      <c r="C28" s="936"/>
      <c r="D28" s="936"/>
      <c r="E28" s="936"/>
      <c r="F28" s="936"/>
      <c r="G28" s="936"/>
      <c r="H28" s="936"/>
      <c r="I28" s="936"/>
      <c r="J28" s="265"/>
      <c r="K28" s="265"/>
      <c r="L28" s="29"/>
      <c r="M28" s="838" t="s">
        <v>199</v>
      </c>
      <c r="N28" s="839" t="str">
        <f t="shared" si="1"/>
        <v>COTARUSE 220
(4,89 USD/MWh)</v>
      </c>
    </row>
    <row r="29" spans="1:14" ht="11.25" customHeight="1">
      <c r="A29" s="256"/>
      <c r="B29" s="263"/>
      <c r="C29" s="263"/>
      <c r="D29" s="263"/>
      <c r="E29" s="263"/>
      <c r="F29" s="263"/>
      <c r="G29" s="263"/>
      <c r="H29" s="263"/>
      <c r="I29" s="263"/>
      <c r="J29" s="263"/>
      <c r="K29" s="263"/>
      <c r="L29" s="29"/>
      <c r="M29" s="838" t="s">
        <v>200</v>
      </c>
      <c r="N29" s="839" t="str">
        <f t="shared" si="1"/>
        <v>SAN GABAN 138
(4,74 USD/MWh)</v>
      </c>
    </row>
    <row r="30" spans="1:14" ht="11.25" customHeight="1">
      <c r="A30" s="256"/>
      <c r="B30" s="263"/>
      <c r="C30" s="263"/>
      <c r="D30" s="263"/>
      <c r="E30" s="263"/>
      <c r="F30" s="263"/>
      <c r="G30" s="263"/>
      <c r="H30" s="263"/>
      <c r="I30" s="263"/>
      <c r="J30" s="263"/>
      <c r="K30" s="263"/>
      <c r="L30" s="29"/>
      <c r="M30" s="838"/>
      <c r="N30" s="542"/>
    </row>
    <row r="31" spans="1:14" ht="11.25" customHeight="1">
      <c r="A31" s="256"/>
      <c r="B31" s="263"/>
      <c r="C31" s="263"/>
      <c r="D31" s="263"/>
      <c r="E31" s="263"/>
      <c r="F31" s="263"/>
      <c r="G31" s="263"/>
      <c r="H31" s="263"/>
      <c r="I31" s="263"/>
      <c r="J31" s="263"/>
      <c r="K31" s="263"/>
      <c r="L31" s="29"/>
      <c r="M31" s="838"/>
      <c r="N31" s="542"/>
    </row>
    <row r="32" spans="1:14" ht="11.25" customHeight="1">
      <c r="A32" s="256"/>
      <c r="B32" s="263"/>
      <c r="C32" s="263"/>
      <c r="D32" s="263"/>
      <c r="E32" s="263"/>
      <c r="F32" s="263"/>
      <c r="G32" s="263"/>
      <c r="H32" s="263"/>
      <c r="I32" s="263"/>
      <c r="J32" s="263"/>
      <c r="K32" s="263"/>
      <c r="L32" s="29"/>
      <c r="M32" s="838"/>
    </row>
    <row r="33" spans="1:12" ht="11.25" customHeight="1">
      <c r="A33" s="256"/>
      <c r="B33" s="263"/>
      <c r="C33" s="263"/>
      <c r="D33" s="263"/>
      <c r="E33" s="263"/>
      <c r="F33" s="263"/>
      <c r="G33" s="263"/>
      <c r="H33" s="263"/>
      <c r="I33" s="263"/>
      <c r="J33" s="263"/>
      <c r="K33" s="263"/>
      <c r="L33" s="29"/>
    </row>
    <row r="34" spans="1:12" ht="11.25" customHeight="1">
      <c r="A34" s="256"/>
      <c r="B34" s="263"/>
      <c r="C34" s="263"/>
      <c r="D34" s="263"/>
      <c r="E34" s="263"/>
      <c r="F34" s="263"/>
      <c r="G34" s="263"/>
      <c r="H34" s="263"/>
      <c r="I34" s="263"/>
      <c r="J34" s="263"/>
      <c r="K34" s="263"/>
      <c r="L34" s="29"/>
    </row>
    <row r="35" spans="1:12" ht="11.25" customHeight="1">
      <c r="A35" s="256"/>
      <c r="B35" s="263"/>
      <c r="C35" s="263"/>
      <c r="D35" s="263"/>
      <c r="E35" s="263"/>
      <c r="F35" s="263"/>
      <c r="G35" s="263"/>
      <c r="H35" s="263"/>
      <c r="I35" s="263"/>
      <c r="J35" s="263"/>
      <c r="K35" s="263"/>
      <c r="L35" s="48"/>
    </row>
    <row r="36" spans="1:12" ht="11.25" customHeight="1">
      <c r="A36" s="256"/>
      <c r="B36" s="263"/>
      <c r="C36" s="263"/>
      <c r="D36" s="263"/>
      <c r="E36" s="263"/>
      <c r="F36" s="263"/>
      <c r="G36" s="263"/>
      <c r="H36" s="263"/>
      <c r="I36" s="263"/>
      <c r="J36" s="263"/>
      <c r="K36" s="263"/>
      <c r="L36" s="29"/>
    </row>
    <row r="37" spans="1:12" ht="11.25" customHeight="1">
      <c r="A37" s="256"/>
      <c r="B37" s="263"/>
      <c r="C37" s="263"/>
      <c r="D37" s="263"/>
      <c r="E37" s="263"/>
      <c r="F37" s="263"/>
      <c r="G37" s="263"/>
      <c r="H37" s="263"/>
      <c r="I37" s="263"/>
      <c r="J37" s="263"/>
      <c r="K37" s="263"/>
      <c r="L37" s="29"/>
    </row>
    <row r="38" spans="1:12" ht="11.25" customHeight="1">
      <c r="A38" s="256"/>
      <c r="B38" s="263"/>
      <c r="C38" s="263"/>
      <c r="D38" s="263"/>
      <c r="E38" s="263"/>
      <c r="F38" s="263"/>
      <c r="G38" s="263"/>
      <c r="H38" s="263"/>
      <c r="I38" s="263"/>
      <c r="J38" s="263"/>
      <c r="K38" s="263"/>
      <c r="L38" s="29"/>
    </row>
    <row r="39" spans="1:12" ht="11.25" customHeight="1">
      <c r="A39" s="256"/>
      <c r="B39" s="263"/>
      <c r="C39" s="263"/>
      <c r="D39" s="263"/>
      <c r="E39" s="263"/>
      <c r="F39" s="263"/>
      <c r="G39" s="263"/>
      <c r="H39" s="263"/>
      <c r="I39" s="263"/>
      <c r="J39" s="263"/>
      <c r="K39" s="263"/>
      <c r="L39" s="29"/>
    </row>
    <row r="40" spans="1:12" ht="13.5" customHeight="1">
      <c r="A40" s="256"/>
      <c r="B40" s="934" t="str">
        <f>"Gráfico N°21: Costos marginales medios registrados en las principales barras del área centro durante el mes de "&amp;'1. Resumen'!Q4</f>
        <v>Gráfico N°21: Costos marginales medios registrados en las principales barras del área centro durante el mes de abril</v>
      </c>
      <c r="C40" s="934"/>
      <c r="D40" s="934"/>
      <c r="E40" s="934"/>
      <c r="F40" s="934"/>
      <c r="G40" s="934"/>
      <c r="H40" s="934"/>
      <c r="I40" s="934"/>
      <c r="J40" s="263"/>
      <c r="K40" s="263"/>
      <c r="L40" s="29"/>
    </row>
    <row r="41" spans="1:12" ht="6.75" customHeight="1">
      <c r="A41" s="256"/>
      <c r="B41" s="263"/>
      <c r="C41" s="263"/>
      <c r="D41" s="263"/>
      <c r="E41" s="263"/>
      <c r="F41" s="263"/>
      <c r="G41" s="263"/>
      <c r="H41" s="263"/>
      <c r="I41" s="263"/>
      <c r="J41" s="263"/>
      <c r="K41" s="263"/>
      <c r="L41" s="29"/>
    </row>
    <row r="42" spans="1:12" ht="8.25" customHeight="1">
      <c r="A42" s="256"/>
      <c r="B42" s="258"/>
      <c r="C42" s="258"/>
      <c r="D42" s="258"/>
      <c r="E42" s="258"/>
      <c r="F42" s="258"/>
      <c r="G42" s="258"/>
      <c r="H42" s="258"/>
      <c r="I42" s="258"/>
      <c r="J42" s="258"/>
      <c r="K42" s="258"/>
      <c r="L42" s="15"/>
    </row>
    <row r="43" spans="1:12" ht="11.25" customHeight="1">
      <c r="A43" s="256"/>
      <c r="B43" s="261" t="s">
        <v>520</v>
      </c>
      <c r="C43" s="258"/>
      <c r="D43" s="258"/>
      <c r="E43" s="258"/>
      <c r="F43" s="258"/>
      <c r="G43" s="258"/>
      <c r="H43" s="258"/>
      <c r="I43" s="258"/>
      <c r="J43" s="258"/>
      <c r="K43" s="258"/>
      <c r="L43" s="14"/>
    </row>
    <row r="44" spans="1:12" ht="6.75" customHeight="1">
      <c r="A44" s="256"/>
      <c r="B44" s="258"/>
      <c r="C44" s="258"/>
      <c r="D44" s="258"/>
      <c r="E44" s="258"/>
      <c r="F44" s="258"/>
      <c r="G44" s="258"/>
      <c r="H44" s="258"/>
      <c r="I44" s="258"/>
      <c r="J44" s="258"/>
      <c r="K44" s="258"/>
      <c r="L44" s="14"/>
    </row>
    <row r="45" spans="1:12" ht="27" customHeight="1">
      <c r="A45" s="256"/>
      <c r="B45" s="721" t="s">
        <v>180</v>
      </c>
      <c r="C45" s="718" t="s">
        <v>194</v>
      </c>
      <c r="D45" s="718" t="s">
        <v>195</v>
      </c>
      <c r="E45" s="718" t="s">
        <v>196</v>
      </c>
      <c r="F45" s="718" t="s">
        <v>197</v>
      </c>
      <c r="G45" s="718" t="s">
        <v>198</v>
      </c>
      <c r="H45" s="718" t="s">
        <v>199</v>
      </c>
      <c r="I45" s="719" t="s">
        <v>200</v>
      </c>
      <c r="J45" s="262"/>
      <c r="K45" s="263"/>
    </row>
    <row r="46" spans="1:12" ht="18.75" customHeight="1">
      <c r="A46" s="256"/>
      <c r="B46" s="722" t="s">
        <v>186</v>
      </c>
      <c r="C46" s="425">
        <v>5.3250524147436034</v>
      </c>
      <c r="D46" s="425">
        <v>5.1602847382478672</v>
      </c>
      <c r="E46" s="425">
        <v>5.1472382820513172</v>
      </c>
      <c r="F46" s="425">
        <v>5.1374535858974371</v>
      </c>
      <c r="G46" s="425">
        <v>4.9469091301282155</v>
      </c>
      <c r="H46" s="425">
        <v>4.8932384737179397</v>
      </c>
      <c r="I46" s="425">
        <v>4.7371357893162287</v>
      </c>
      <c r="J46" s="264"/>
      <c r="K46" s="263"/>
    </row>
    <row r="47" spans="1:12" ht="18" customHeight="1">
      <c r="A47" s="256"/>
      <c r="B47" s="936" t="str">
        <f>"Cuadro N°13: Valor de los costos marginales medios registrados en las principales barras del área sur durante el mes de "&amp;'1. Resumen'!Q4</f>
        <v>Cuadro N°13: Valor de los costos marginales medios registrados en las principales barras del área sur durante el mes de abril</v>
      </c>
      <c r="C47" s="936"/>
      <c r="D47" s="936"/>
      <c r="E47" s="936"/>
      <c r="F47" s="936"/>
      <c r="G47" s="936"/>
      <c r="H47" s="936"/>
      <c r="I47" s="936"/>
      <c r="J47" s="264"/>
      <c r="K47" s="263"/>
    </row>
    <row r="48" spans="1:12" ht="12.75">
      <c r="A48" s="256"/>
      <c r="B48" s="263"/>
      <c r="C48" s="263"/>
      <c r="D48" s="263"/>
      <c r="E48" s="263"/>
      <c r="F48" s="263"/>
      <c r="G48" s="265"/>
      <c r="H48" s="265"/>
      <c r="I48" s="265"/>
      <c r="J48" s="265"/>
      <c r="K48" s="263"/>
    </row>
    <row r="49" spans="1:11" ht="12.75">
      <c r="A49" s="256"/>
      <c r="B49" s="265"/>
      <c r="C49" s="265"/>
      <c r="D49" s="265"/>
      <c r="E49" s="265"/>
      <c r="F49" s="265"/>
      <c r="G49" s="265"/>
      <c r="H49" s="265"/>
      <c r="I49" s="265"/>
      <c r="J49" s="265"/>
      <c r="K49" s="263"/>
    </row>
    <row r="50" spans="1:11" ht="12.75">
      <c r="A50" s="256"/>
      <c r="B50" s="132"/>
      <c r="C50" s="132"/>
      <c r="D50" s="132"/>
      <c r="E50" s="132"/>
      <c r="F50" s="132"/>
      <c r="G50" s="132"/>
      <c r="H50" s="132"/>
      <c r="I50" s="132"/>
      <c r="J50" s="132"/>
      <c r="K50" s="263"/>
    </row>
    <row r="51" spans="1:11" ht="12.75">
      <c r="A51" s="256"/>
      <c r="B51" s="132"/>
      <c r="C51" s="132"/>
      <c r="D51" s="132"/>
      <c r="E51" s="132"/>
      <c r="F51" s="132"/>
      <c r="G51" s="132"/>
      <c r="H51" s="132"/>
      <c r="I51" s="132"/>
      <c r="J51" s="132"/>
      <c r="K51" s="263"/>
    </row>
    <row r="52" spans="1:11" ht="12.75">
      <c r="A52" s="256"/>
      <c r="B52" s="132"/>
      <c r="C52" s="132"/>
      <c r="D52" s="132"/>
      <c r="E52" s="132"/>
      <c r="F52" s="132"/>
      <c r="G52" s="132"/>
      <c r="H52" s="132"/>
      <c r="I52" s="132"/>
      <c r="J52" s="132"/>
      <c r="K52" s="263"/>
    </row>
    <row r="53" spans="1:11" ht="12.75">
      <c r="A53" s="256"/>
      <c r="B53" s="132"/>
      <c r="C53" s="132"/>
      <c r="D53" s="132"/>
      <c r="E53" s="132"/>
      <c r="F53" s="132"/>
      <c r="G53" s="132"/>
      <c r="H53" s="132"/>
      <c r="I53" s="132"/>
      <c r="J53" s="132"/>
      <c r="K53" s="263"/>
    </row>
    <row r="54" spans="1:11" ht="12.75">
      <c r="A54" s="256"/>
      <c r="B54" s="132"/>
      <c r="C54" s="132"/>
      <c r="D54" s="132"/>
      <c r="E54" s="132"/>
      <c r="F54" s="132"/>
      <c r="G54" s="132"/>
      <c r="H54" s="132"/>
      <c r="I54" s="132"/>
      <c r="J54" s="132"/>
      <c r="K54" s="263"/>
    </row>
    <row r="55" spans="1:11" ht="12.75">
      <c r="A55" s="256"/>
      <c r="B55" s="132"/>
      <c r="C55" s="132"/>
      <c r="D55" s="132"/>
      <c r="E55" s="132"/>
      <c r="F55" s="132"/>
      <c r="G55" s="132"/>
      <c r="H55" s="132"/>
      <c r="I55" s="132"/>
      <c r="J55" s="132"/>
      <c r="K55" s="263"/>
    </row>
    <row r="56" spans="1:11" ht="12.75">
      <c r="A56" s="256"/>
      <c r="B56" s="265"/>
      <c r="C56" s="265"/>
      <c r="D56" s="265"/>
      <c r="E56" s="265"/>
      <c r="F56" s="265"/>
      <c r="G56" s="265"/>
      <c r="H56" s="265"/>
      <c r="I56" s="265"/>
      <c r="J56" s="265"/>
      <c r="K56" s="263"/>
    </row>
    <row r="57" spans="1:11" ht="12.75">
      <c r="A57" s="256"/>
      <c r="B57" s="265"/>
      <c r="C57" s="265"/>
      <c r="D57" s="265"/>
      <c r="E57" s="265"/>
      <c r="F57" s="265"/>
      <c r="G57" s="265"/>
      <c r="H57" s="265"/>
      <c r="I57" s="265"/>
      <c r="J57" s="265"/>
      <c r="K57" s="263"/>
    </row>
    <row r="58" spans="1:11" ht="12.75">
      <c r="A58" s="256"/>
      <c r="B58" s="934" t="str">
        <f>"Gráfico N°22: Costos marginales medios registrados en las principales barras del área sur durante el mes de "&amp;'1. Resumen'!Q4</f>
        <v>Gráfico N°22: Costos marginales medios registrados en las principales barras del área sur durante el mes de abril</v>
      </c>
      <c r="C58" s="934"/>
      <c r="D58" s="934"/>
      <c r="E58" s="934"/>
      <c r="F58" s="934"/>
      <c r="G58" s="934"/>
      <c r="H58" s="934"/>
      <c r="I58" s="934"/>
      <c r="J58" s="265"/>
      <c r="K58" s="263"/>
    </row>
    <row r="59" spans="1:11" ht="12.75">
      <c r="A59" s="92"/>
      <c r="B59" s="157"/>
      <c r="C59" s="157"/>
      <c r="D59" s="157"/>
      <c r="E59" s="157"/>
      <c r="F59" s="157"/>
      <c r="G59" s="157"/>
      <c r="H59" s="265"/>
      <c r="I59" s="265"/>
      <c r="J59" s="265"/>
      <c r="K59" s="263"/>
    </row>
  </sheetData>
  <mergeCells count="8">
    <mergeCell ref="B58:I58"/>
    <mergeCell ref="B21:I21"/>
    <mergeCell ref="B10:I10"/>
    <mergeCell ref="A2:K2"/>
    <mergeCell ref="A4:H4"/>
    <mergeCell ref="B28:I28"/>
    <mergeCell ref="B47:I47"/>
    <mergeCell ref="B40:I40"/>
  </mergeCells>
  <pageMargins left="0.7" right="0.7" top="0.86956521739130432" bottom="0.61458333333333337" header="0.3" footer="0.3"/>
  <pageSetup orientation="portrait" r:id="rId1"/>
  <headerFooter>
    <oddHeader>&amp;R&amp;7Informe de la Operación Mensual - Abril 2018
INFSGI-MES-04-2018
10/05/2018
Versión: 01</oddHeader>
    <oddFooter>&amp;L&amp;7COES SINAC, 2018
&amp;C14&amp;R&amp;7Dirección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B22AA-019D-4C60-AB9F-E5ED2AAB79C3}">
  <sheetPr>
    <tabColor theme="4"/>
  </sheetPr>
  <dimension ref="A1:L71"/>
  <sheetViews>
    <sheetView showGridLines="0" view="pageBreakPreview" zoomScale="175" zoomScaleNormal="100" zoomScaleSheetLayoutView="175" zoomScalePageLayoutView="145" workbookViewId="0">
      <selection activeCell="P17" sqref="P17"/>
    </sheetView>
  </sheetViews>
  <sheetFormatPr defaultRowHeight="11.25"/>
  <cols>
    <col min="1" max="9" width="9.33203125" style="3"/>
    <col min="10" max="10" width="9.33203125" style="3" customWidth="1"/>
    <col min="11" max="11" width="11.33203125" style="3" customWidth="1"/>
    <col min="12" max="12" width="12.33203125" style="3" customWidth="1"/>
    <col min="13" max="16384" width="9.33203125" style="3"/>
  </cols>
  <sheetData>
    <row r="1" spans="1:12" ht="11.25" customHeight="1"/>
    <row r="2" spans="1:12" ht="26.25" customHeight="1">
      <c r="A2" s="896" t="s">
        <v>522</v>
      </c>
      <c r="B2" s="896"/>
      <c r="C2" s="896"/>
      <c r="D2" s="896"/>
      <c r="E2" s="896"/>
      <c r="F2" s="896"/>
      <c r="G2" s="896"/>
      <c r="H2" s="896"/>
      <c r="I2" s="896"/>
      <c r="J2" s="896"/>
      <c r="K2" s="896"/>
      <c r="L2" s="896"/>
    </row>
    <row r="3" spans="1:12" ht="11.25" customHeight="1">
      <c r="A3" s="256"/>
      <c r="B3" s="256"/>
      <c r="C3" s="256"/>
      <c r="D3" s="256"/>
      <c r="E3" s="256"/>
      <c r="F3" s="256"/>
      <c r="G3" s="256"/>
      <c r="H3" s="256"/>
      <c r="I3" s="256"/>
      <c r="J3" s="256"/>
      <c r="K3" s="256"/>
      <c r="L3" s="267"/>
    </row>
    <row r="4" spans="1:12" ht="11.25" customHeight="1">
      <c r="A4" s="256"/>
      <c r="B4" s="256"/>
      <c r="C4" s="256"/>
      <c r="D4" s="256"/>
      <c r="E4" s="256"/>
      <c r="F4" s="256"/>
      <c r="G4" s="256"/>
      <c r="H4" s="256"/>
      <c r="I4" s="256"/>
      <c r="J4" s="256"/>
      <c r="K4" s="256"/>
      <c r="L4" s="84"/>
    </row>
    <row r="5" spans="1:12" ht="11.25" customHeight="1">
      <c r="A5" s="256"/>
      <c r="B5" s="256"/>
      <c r="C5" s="256"/>
      <c r="D5" s="256"/>
      <c r="E5" s="256"/>
      <c r="F5" s="256"/>
      <c r="G5" s="256"/>
      <c r="H5" s="256"/>
      <c r="I5" s="256"/>
      <c r="J5" s="256"/>
      <c r="K5" s="256"/>
      <c r="L5" s="84"/>
    </row>
    <row r="6" spans="1:12" ht="11.25" customHeight="1">
      <c r="A6" s="256"/>
      <c r="B6" s="256"/>
      <c r="C6" s="256"/>
      <c r="D6" s="256"/>
      <c r="E6" s="256"/>
      <c r="F6" s="256"/>
      <c r="G6" s="256"/>
      <c r="H6" s="256"/>
      <c r="I6" s="256"/>
      <c r="J6" s="256"/>
      <c r="K6" s="256"/>
      <c r="L6" s="84"/>
    </row>
    <row r="7" spans="1:12" ht="11.25" customHeight="1">
      <c r="A7" s="256"/>
      <c r="B7" s="257"/>
      <c r="C7" s="256"/>
      <c r="D7" s="256"/>
      <c r="E7" s="256"/>
      <c r="F7" s="256"/>
      <c r="G7" s="256"/>
      <c r="H7" s="256"/>
      <c r="I7" s="256"/>
      <c r="J7" s="256"/>
      <c r="K7" s="256"/>
      <c r="L7" s="84"/>
    </row>
    <row r="8" spans="1:12" ht="11.25" customHeight="1">
      <c r="A8" s="256"/>
      <c r="B8" s="257"/>
      <c r="C8" s="256"/>
      <c r="D8" s="256"/>
      <c r="E8" s="256"/>
      <c r="F8" s="256"/>
      <c r="G8" s="256"/>
      <c r="H8" s="256"/>
      <c r="I8" s="256"/>
      <c r="J8" s="256"/>
      <c r="K8" s="256"/>
      <c r="L8" s="84"/>
    </row>
    <row r="9" spans="1:12" ht="11.25" customHeight="1">
      <c r="A9" s="256"/>
      <c r="B9" s="257"/>
      <c r="C9" s="256"/>
      <c r="D9" s="256"/>
      <c r="E9" s="256"/>
      <c r="F9" s="256"/>
      <c r="G9" s="256"/>
      <c r="H9" s="256"/>
      <c r="I9" s="256"/>
      <c r="J9" s="256"/>
      <c r="K9" s="256"/>
      <c r="L9" s="84"/>
    </row>
    <row r="10" spans="1:12" ht="11.25" customHeight="1">
      <c r="A10" s="256"/>
      <c r="B10" s="256"/>
      <c r="C10" s="256"/>
      <c r="D10" s="256"/>
      <c r="E10" s="256"/>
      <c r="F10" s="256"/>
      <c r="G10" s="256"/>
      <c r="H10" s="256"/>
      <c r="I10" s="256"/>
      <c r="J10" s="256"/>
      <c r="K10" s="256"/>
      <c r="L10" s="84"/>
    </row>
    <row r="11" spans="1:12" ht="11.25" customHeight="1">
      <c r="A11" s="256"/>
      <c r="B11" s="256"/>
      <c r="C11" s="256"/>
      <c r="D11" s="256"/>
      <c r="E11" s="256"/>
      <c r="F11" s="256"/>
      <c r="G11" s="256"/>
      <c r="H11" s="256"/>
      <c r="I11" s="256"/>
      <c r="J11" s="256"/>
      <c r="K11" s="256"/>
      <c r="L11" s="84"/>
    </row>
    <row r="12" spans="1:12" ht="11.25" customHeight="1">
      <c r="A12" s="256"/>
      <c r="B12" s="256"/>
      <c r="C12" s="256"/>
      <c r="D12" s="256"/>
      <c r="E12" s="256"/>
      <c r="F12" s="256"/>
      <c r="G12" s="256"/>
      <c r="H12" s="256"/>
      <c r="I12" s="256"/>
      <c r="J12" s="256"/>
      <c r="K12" s="256"/>
      <c r="L12" s="84"/>
    </row>
    <row r="13" spans="1:12" ht="11.25" customHeight="1">
      <c r="A13" s="256"/>
      <c r="B13" s="256"/>
      <c r="C13" s="256"/>
      <c r="D13" s="256"/>
      <c r="E13" s="256"/>
      <c r="F13" s="256"/>
      <c r="G13" s="256"/>
      <c r="H13" s="256"/>
      <c r="I13" s="256"/>
      <c r="J13" s="256"/>
      <c r="K13" s="256"/>
      <c r="L13" s="84"/>
    </row>
    <row r="14" spans="1:12" ht="11.25" customHeight="1">
      <c r="A14" s="256"/>
      <c r="B14" s="256"/>
      <c r="C14" s="256"/>
      <c r="D14" s="256"/>
      <c r="E14" s="256"/>
      <c r="F14" s="256"/>
      <c r="G14" s="256"/>
      <c r="H14" s="256"/>
      <c r="I14" s="256"/>
      <c r="J14" s="256"/>
      <c r="K14" s="256"/>
      <c r="L14" s="84"/>
    </row>
    <row r="15" spans="1:12" ht="11.25" customHeight="1">
      <c r="A15" s="256"/>
      <c r="B15" s="256"/>
      <c r="C15" s="256"/>
      <c r="D15" s="256"/>
      <c r="E15" s="256"/>
      <c r="F15" s="256"/>
      <c r="G15" s="256"/>
      <c r="H15" s="256"/>
      <c r="I15" s="256"/>
      <c r="J15" s="256"/>
      <c r="K15" s="256"/>
      <c r="L15" s="84"/>
    </row>
    <row r="16" spans="1:12" ht="11.25" customHeight="1">
      <c r="A16" s="256"/>
      <c r="B16" s="256"/>
      <c r="C16" s="256"/>
      <c r="D16" s="256"/>
      <c r="E16" s="256"/>
      <c r="F16" s="256"/>
      <c r="G16" s="256"/>
      <c r="H16" s="256"/>
      <c r="I16" s="256"/>
      <c r="J16" s="256"/>
      <c r="K16" s="256"/>
      <c r="L16" s="84"/>
    </row>
    <row r="17" spans="1:12" ht="11.25" customHeight="1">
      <c r="A17" s="256"/>
      <c r="B17" s="256"/>
      <c r="C17" s="256"/>
      <c r="D17" s="256"/>
      <c r="E17" s="256"/>
      <c r="F17" s="256"/>
      <c r="G17" s="256"/>
      <c r="H17" s="256"/>
      <c r="I17" s="256"/>
      <c r="J17" s="256"/>
      <c r="K17" s="256"/>
      <c r="L17" s="84"/>
    </row>
    <row r="18" spans="1:12" ht="11.25" customHeight="1">
      <c r="A18" s="256"/>
      <c r="B18" s="256"/>
      <c r="C18" s="256"/>
      <c r="D18" s="256"/>
      <c r="E18" s="256"/>
      <c r="F18" s="256"/>
      <c r="G18" s="256"/>
      <c r="H18" s="256"/>
      <c r="I18" s="256"/>
      <c r="J18" s="256"/>
      <c r="K18" s="256"/>
      <c r="L18" s="267"/>
    </row>
    <row r="19" spans="1:12" ht="11.25" customHeight="1">
      <c r="A19" s="256"/>
      <c r="B19" s="256"/>
      <c r="C19" s="256"/>
      <c r="D19" s="256"/>
      <c r="E19" s="256"/>
      <c r="F19" s="256"/>
      <c r="G19" s="256"/>
      <c r="H19" s="256"/>
      <c r="I19" s="256"/>
      <c r="J19" s="256"/>
      <c r="K19" s="256"/>
      <c r="L19" s="267"/>
    </row>
    <row r="20" spans="1:12" ht="11.25" customHeight="1">
      <c r="A20" s="256"/>
      <c r="B20" s="256"/>
      <c r="C20" s="256"/>
      <c r="D20" s="256"/>
      <c r="E20" s="256"/>
      <c r="F20" s="256"/>
      <c r="G20" s="256"/>
      <c r="H20" s="256"/>
      <c r="I20" s="256"/>
      <c r="J20" s="256"/>
      <c r="K20" s="256"/>
      <c r="L20" s="267"/>
    </row>
    <row r="21" spans="1:12" ht="11.25" customHeight="1">
      <c r="A21" s="256"/>
      <c r="B21" s="256"/>
      <c r="C21" s="256"/>
      <c r="D21" s="256"/>
      <c r="E21" s="256"/>
      <c r="F21" s="256"/>
      <c r="G21" s="256"/>
      <c r="H21" s="256"/>
      <c r="I21" s="256"/>
      <c r="J21" s="256"/>
      <c r="K21" s="256"/>
      <c r="L21" s="267"/>
    </row>
    <row r="22" spans="1:12" ht="11.25" customHeight="1">
      <c r="A22" s="256"/>
      <c r="B22" s="256"/>
      <c r="C22" s="256"/>
      <c r="D22" s="256"/>
      <c r="E22" s="256"/>
      <c r="F22" s="256"/>
      <c r="G22" s="256"/>
      <c r="H22" s="256"/>
      <c r="I22" s="256"/>
      <c r="J22" s="256"/>
      <c r="K22" s="256"/>
      <c r="L22" s="267"/>
    </row>
    <row r="23" spans="1:12" ht="11.25" customHeight="1">
      <c r="A23" s="256"/>
      <c r="B23" s="256"/>
      <c r="C23" s="256"/>
      <c r="D23" s="256"/>
      <c r="E23" s="256"/>
      <c r="F23" s="256"/>
      <c r="G23" s="256"/>
      <c r="H23" s="256"/>
      <c r="I23" s="256"/>
      <c r="J23" s="256"/>
      <c r="K23" s="256"/>
      <c r="L23" s="267"/>
    </row>
    <row r="24" spans="1:12" ht="11.25" customHeight="1">
      <c r="A24" s="256"/>
      <c r="B24" s="256"/>
      <c r="C24" s="256"/>
      <c r="D24" s="256"/>
      <c r="E24" s="256"/>
      <c r="F24" s="256"/>
      <c r="G24" s="256"/>
      <c r="H24" s="256"/>
      <c r="I24" s="256"/>
      <c r="J24" s="256"/>
      <c r="K24" s="256"/>
      <c r="L24" s="267"/>
    </row>
    <row r="25" spans="1:12" ht="11.25" customHeight="1">
      <c r="A25" s="256"/>
      <c r="B25" s="256"/>
      <c r="C25" s="256"/>
      <c r="D25" s="256"/>
      <c r="E25" s="256"/>
      <c r="F25" s="256"/>
      <c r="G25" s="256"/>
      <c r="H25" s="256"/>
      <c r="I25" s="256"/>
      <c r="J25" s="256"/>
      <c r="K25" s="256"/>
      <c r="L25" s="267"/>
    </row>
    <row r="26" spans="1:12" ht="11.25" customHeight="1">
      <c r="A26" s="256"/>
      <c r="B26" s="256"/>
      <c r="C26" s="256"/>
      <c r="D26" s="256"/>
      <c r="E26" s="256"/>
      <c r="F26" s="256"/>
      <c r="G26" s="256"/>
      <c r="H26" s="256"/>
      <c r="I26" s="256"/>
      <c r="J26" s="256"/>
      <c r="K26" s="256"/>
      <c r="L26" s="267"/>
    </row>
    <row r="27" spans="1:12" ht="11.25" customHeight="1">
      <c r="A27" s="256"/>
      <c r="B27" s="256"/>
      <c r="C27" s="256"/>
      <c r="D27" s="256"/>
      <c r="E27" s="256"/>
      <c r="F27" s="256"/>
      <c r="G27" s="256"/>
      <c r="H27" s="256"/>
      <c r="I27" s="256"/>
      <c r="J27" s="256"/>
      <c r="K27" s="256"/>
      <c r="L27" s="267"/>
    </row>
    <row r="28" spans="1:12" ht="11.25" customHeight="1">
      <c r="A28" s="256"/>
      <c r="B28" s="256"/>
      <c r="C28" s="256"/>
      <c r="D28" s="256"/>
      <c r="E28" s="256"/>
      <c r="F28" s="256"/>
      <c r="G28" s="256"/>
      <c r="H28" s="256"/>
      <c r="I28" s="256"/>
      <c r="J28" s="256"/>
      <c r="K28" s="256"/>
      <c r="L28" s="267"/>
    </row>
    <row r="29" spans="1:12" ht="11.25" customHeight="1">
      <c r="A29" s="256"/>
      <c r="B29" s="256"/>
      <c r="C29" s="256"/>
      <c r="D29" s="256"/>
      <c r="E29" s="256"/>
      <c r="F29" s="256"/>
      <c r="G29" s="256"/>
      <c r="H29" s="256"/>
      <c r="I29" s="256"/>
      <c r="J29" s="256"/>
      <c r="K29" s="256"/>
      <c r="L29" s="267"/>
    </row>
    <row r="30" spans="1:12" ht="11.25" customHeight="1">
      <c r="A30" s="256"/>
      <c r="B30" s="256"/>
      <c r="C30" s="256"/>
      <c r="D30" s="256"/>
      <c r="E30" s="256"/>
      <c r="F30" s="256"/>
      <c r="G30" s="256"/>
      <c r="H30" s="256"/>
      <c r="I30" s="256"/>
      <c r="J30" s="256"/>
      <c r="K30" s="256"/>
      <c r="L30" s="267"/>
    </row>
    <row r="31" spans="1:12" ht="11.25" customHeight="1">
      <c r="A31" s="256"/>
      <c r="B31" s="256"/>
      <c r="C31" s="256"/>
      <c r="D31" s="256"/>
      <c r="E31" s="256"/>
      <c r="F31" s="256"/>
      <c r="G31" s="256"/>
      <c r="H31" s="256"/>
      <c r="I31" s="256"/>
      <c r="J31" s="256"/>
      <c r="K31" s="256"/>
      <c r="L31" s="267"/>
    </row>
    <row r="32" spans="1:12" ht="11.25" customHeight="1">
      <c r="A32" s="256"/>
      <c r="B32" s="256"/>
      <c r="C32" s="256"/>
      <c r="D32" s="256"/>
      <c r="E32" s="256"/>
      <c r="F32" s="256"/>
      <c r="G32" s="256"/>
      <c r="H32" s="256"/>
      <c r="I32" s="256"/>
      <c r="J32" s="256"/>
      <c r="K32" s="256"/>
      <c r="L32" s="91"/>
    </row>
    <row r="33" spans="1:12" ht="11.25" customHeight="1">
      <c r="A33" s="256"/>
      <c r="B33" s="256"/>
      <c r="C33" s="256"/>
      <c r="D33" s="256"/>
      <c r="E33" s="256"/>
      <c r="F33" s="256"/>
      <c r="G33" s="256"/>
      <c r="H33" s="256"/>
      <c r="I33" s="256"/>
      <c r="J33" s="256"/>
      <c r="K33" s="256"/>
      <c r="L33" s="91"/>
    </row>
    <row r="34" spans="1:12" ht="11.25" customHeight="1">
      <c r="A34" s="256"/>
      <c r="B34" s="256"/>
      <c r="C34" s="256"/>
      <c r="D34" s="256"/>
      <c r="E34" s="256"/>
      <c r="F34" s="256"/>
      <c r="G34" s="256"/>
      <c r="H34" s="256"/>
      <c r="I34" s="256"/>
      <c r="J34" s="256"/>
      <c r="K34" s="256"/>
      <c r="L34" s="91"/>
    </row>
    <row r="35" spans="1:12" ht="11.25" customHeight="1">
      <c r="A35" s="256"/>
      <c r="B35" s="256"/>
      <c r="C35" s="256"/>
      <c r="D35" s="256"/>
      <c r="E35" s="256"/>
      <c r="F35" s="256"/>
      <c r="G35" s="256"/>
      <c r="H35" s="256"/>
      <c r="I35" s="256"/>
      <c r="J35" s="256"/>
      <c r="K35" s="256"/>
      <c r="L35" s="91"/>
    </row>
    <row r="36" spans="1:12" ht="11.25" customHeight="1">
      <c r="A36" s="256"/>
      <c r="B36" s="256"/>
      <c r="C36" s="256"/>
      <c r="D36" s="256"/>
      <c r="E36" s="256"/>
      <c r="F36" s="256"/>
      <c r="G36" s="256"/>
      <c r="H36" s="256"/>
      <c r="I36" s="256"/>
      <c r="J36" s="256"/>
      <c r="K36" s="256"/>
      <c r="L36" s="91"/>
    </row>
    <row r="37" spans="1:12" ht="11.25" customHeight="1">
      <c r="A37" s="256"/>
      <c r="B37" s="256"/>
      <c r="C37" s="256"/>
      <c r="D37" s="256"/>
      <c r="E37" s="256"/>
      <c r="F37" s="256"/>
      <c r="G37" s="256"/>
      <c r="H37" s="256"/>
      <c r="I37" s="256"/>
      <c r="J37" s="256"/>
      <c r="K37" s="256"/>
      <c r="L37" s="91"/>
    </row>
    <row r="38" spans="1:12" ht="11.25" customHeight="1">
      <c r="A38" s="256"/>
      <c r="B38" s="256"/>
      <c r="C38" s="256"/>
      <c r="D38" s="256"/>
      <c r="E38" s="256"/>
      <c r="F38" s="256"/>
      <c r="G38" s="256"/>
      <c r="H38" s="256"/>
      <c r="I38" s="256"/>
      <c r="J38" s="256"/>
      <c r="K38" s="256"/>
      <c r="L38" s="91"/>
    </row>
    <row r="39" spans="1:12" ht="11.25" customHeight="1">
      <c r="A39" s="256"/>
      <c r="B39" s="256"/>
      <c r="C39" s="256"/>
      <c r="D39" s="256"/>
      <c r="E39" s="256"/>
      <c r="F39" s="256"/>
      <c r="G39" s="256"/>
      <c r="H39" s="256"/>
      <c r="I39" s="256"/>
      <c r="J39" s="256"/>
      <c r="K39" s="256"/>
      <c r="L39" s="91"/>
    </row>
    <row r="40" spans="1:12" ht="11.25" customHeight="1">
      <c r="A40" s="256"/>
      <c r="B40" s="256"/>
      <c r="C40" s="256"/>
      <c r="D40" s="256"/>
      <c r="E40" s="256"/>
      <c r="F40" s="256"/>
      <c r="G40" s="256"/>
      <c r="H40" s="256"/>
      <c r="I40" s="256"/>
      <c r="J40" s="256"/>
      <c r="K40" s="256"/>
      <c r="L40" s="91"/>
    </row>
    <row r="41" spans="1:12" ht="11.25" customHeight="1">
      <c r="A41" s="256"/>
      <c r="B41" s="256"/>
      <c r="C41" s="256"/>
      <c r="D41" s="256"/>
      <c r="E41" s="256"/>
      <c r="F41" s="256"/>
      <c r="G41" s="256"/>
      <c r="H41" s="256"/>
      <c r="I41" s="256"/>
      <c r="J41" s="256"/>
      <c r="K41" s="256"/>
      <c r="L41" s="91"/>
    </row>
    <row r="42" spans="1:12" ht="11.25" customHeight="1">
      <c r="A42" s="256"/>
      <c r="B42" s="256"/>
      <c r="C42" s="256"/>
      <c r="D42" s="256"/>
      <c r="E42" s="256"/>
      <c r="F42" s="256"/>
      <c r="G42" s="256"/>
      <c r="H42" s="256"/>
      <c r="I42" s="256"/>
      <c r="J42" s="256"/>
      <c r="K42" s="256"/>
      <c r="L42" s="91"/>
    </row>
    <row r="43" spans="1:12" ht="11.25" customHeight="1">
      <c r="A43" s="256"/>
      <c r="B43" s="256"/>
      <c r="C43" s="256"/>
      <c r="D43" s="256"/>
      <c r="E43" s="256"/>
      <c r="F43" s="256"/>
      <c r="G43" s="256"/>
      <c r="H43" s="256"/>
      <c r="I43" s="256"/>
      <c r="J43" s="256"/>
      <c r="K43" s="256"/>
      <c r="L43" s="91"/>
    </row>
    <row r="44" spans="1:12" ht="11.25" customHeight="1">
      <c r="A44" s="92"/>
      <c r="B44" s="92"/>
      <c r="C44" s="92"/>
      <c r="D44" s="92"/>
      <c r="E44" s="92"/>
      <c r="F44" s="92"/>
      <c r="G44" s="92"/>
      <c r="H44" s="92"/>
      <c r="I44" s="92"/>
      <c r="J44" s="92"/>
      <c r="K44" s="256"/>
      <c r="L44" s="91"/>
    </row>
    <row r="45" spans="1:12" ht="11.25" customHeight="1">
      <c r="A45" s="92"/>
      <c r="B45" s="92"/>
      <c r="C45" s="92"/>
      <c r="D45" s="92"/>
      <c r="E45" s="92"/>
      <c r="F45" s="92"/>
      <c r="G45" s="92"/>
      <c r="H45" s="92"/>
      <c r="I45" s="92"/>
      <c r="J45" s="92"/>
      <c r="K45" s="256"/>
      <c r="L45" s="91"/>
    </row>
    <row r="46" spans="1:12" ht="11.25" customHeight="1">
      <c r="A46" s="92"/>
      <c r="B46" s="92"/>
      <c r="C46" s="92"/>
      <c r="D46" s="92"/>
      <c r="E46" s="92"/>
      <c r="F46" s="92"/>
      <c r="G46" s="92"/>
      <c r="H46" s="92"/>
      <c r="I46" s="92"/>
      <c r="J46" s="92"/>
      <c r="K46" s="256"/>
      <c r="L46" s="91"/>
    </row>
    <row r="47" spans="1:12" ht="11.25" customHeight="1">
      <c r="A47" s="92"/>
      <c r="B47" s="92"/>
      <c r="C47" s="92"/>
      <c r="D47" s="92"/>
      <c r="E47" s="92"/>
      <c r="F47" s="92"/>
      <c r="G47" s="92"/>
      <c r="H47" s="92"/>
      <c r="I47" s="92"/>
      <c r="J47" s="92"/>
      <c r="K47" s="256"/>
      <c r="L47" s="91"/>
    </row>
    <row r="48" spans="1:12" ht="11.25" customHeight="1">
      <c r="A48" s="92"/>
      <c r="B48" s="92"/>
      <c r="C48" s="92"/>
      <c r="D48" s="92"/>
      <c r="E48" s="92"/>
      <c r="F48" s="92"/>
      <c r="G48" s="92"/>
      <c r="H48" s="92"/>
      <c r="I48" s="92"/>
      <c r="J48" s="92"/>
      <c r="K48" s="256"/>
      <c r="L48" s="91"/>
    </row>
    <row r="49" spans="1:12" ht="11.25" customHeight="1">
      <c r="A49" s="92"/>
      <c r="B49" s="92"/>
      <c r="C49" s="92"/>
      <c r="D49" s="92"/>
      <c r="E49" s="92"/>
      <c r="F49" s="92"/>
      <c r="G49" s="92"/>
      <c r="H49" s="92"/>
      <c r="I49" s="92"/>
      <c r="J49" s="92"/>
      <c r="K49" s="256"/>
      <c r="L49" s="91"/>
    </row>
    <row r="50" spans="1:12" ht="12.75">
      <c r="A50" s="92"/>
      <c r="B50" s="92"/>
      <c r="C50" s="92"/>
      <c r="D50" s="92"/>
      <c r="E50" s="92"/>
      <c r="F50" s="92"/>
      <c r="G50" s="92"/>
      <c r="H50" s="92"/>
      <c r="I50" s="92"/>
      <c r="J50" s="92"/>
      <c r="K50" s="256"/>
      <c r="L50" s="91"/>
    </row>
    <row r="51" spans="1:12" ht="12.75">
      <c r="A51" s="92"/>
      <c r="B51" s="92"/>
      <c r="C51" s="92"/>
      <c r="D51" s="92"/>
      <c r="E51" s="92"/>
      <c r="F51" s="92"/>
      <c r="G51" s="92"/>
      <c r="H51" s="92"/>
      <c r="I51" s="92"/>
      <c r="J51" s="92"/>
      <c r="K51" s="256"/>
      <c r="L51" s="91"/>
    </row>
    <row r="52" spans="1:12" ht="12.75">
      <c r="A52" s="92"/>
      <c r="B52" s="92"/>
      <c r="C52" s="92"/>
      <c r="D52" s="92"/>
      <c r="E52" s="92"/>
      <c r="F52" s="92"/>
      <c r="G52" s="92"/>
      <c r="H52" s="92"/>
      <c r="I52" s="92"/>
      <c r="J52" s="92"/>
      <c r="K52" s="256"/>
      <c r="L52" s="91"/>
    </row>
    <row r="53" spans="1:12" ht="12.75">
      <c r="A53" s="92"/>
      <c r="B53" s="92"/>
      <c r="C53" s="92"/>
      <c r="D53" s="92"/>
      <c r="E53" s="92"/>
      <c r="F53" s="92"/>
      <c r="G53" s="92"/>
      <c r="H53" s="92"/>
      <c r="I53" s="92"/>
      <c r="J53" s="92"/>
      <c r="K53" s="256"/>
      <c r="L53" s="91"/>
    </row>
    <row r="54" spans="1:12" ht="12.75">
      <c r="A54" s="92"/>
      <c r="B54" s="92"/>
      <c r="C54" s="92"/>
      <c r="D54" s="92"/>
      <c r="E54" s="92"/>
      <c r="F54" s="92"/>
      <c r="G54" s="92"/>
      <c r="H54" s="92"/>
      <c r="I54" s="92"/>
      <c r="J54" s="92"/>
      <c r="K54" s="256"/>
      <c r="L54" s="91"/>
    </row>
    <row r="55" spans="1:12" ht="12.75">
      <c r="A55" s="92"/>
      <c r="B55" s="92"/>
      <c r="C55" s="92"/>
      <c r="D55" s="92"/>
      <c r="E55" s="92"/>
      <c r="F55" s="92"/>
      <c r="G55" s="92"/>
      <c r="H55" s="92"/>
      <c r="I55" s="92"/>
      <c r="J55" s="92"/>
      <c r="K55" s="256"/>
      <c r="L55" s="91"/>
    </row>
    <row r="56" spans="1:12" ht="12.75">
      <c r="A56" s="92"/>
      <c r="B56" s="92"/>
      <c r="C56" s="92"/>
      <c r="D56" s="92"/>
      <c r="E56" s="92"/>
      <c r="F56" s="92"/>
      <c r="G56" s="92"/>
      <c r="H56" s="92"/>
      <c r="I56" s="92"/>
      <c r="J56" s="92"/>
      <c r="K56" s="256"/>
      <c r="L56" s="91"/>
    </row>
    <row r="57" spans="1:12" ht="12.75">
      <c r="A57" s="92"/>
      <c r="B57" s="92"/>
      <c r="C57" s="92"/>
      <c r="D57" s="92"/>
      <c r="E57" s="92"/>
      <c r="F57" s="92"/>
      <c r="G57" s="92"/>
      <c r="H57" s="92"/>
      <c r="I57" s="92"/>
      <c r="J57" s="92"/>
      <c r="K57" s="256"/>
      <c r="L57" s="91"/>
    </row>
    <row r="58" spans="1:12" ht="12.75">
      <c r="A58" s="92"/>
      <c r="B58" s="92"/>
      <c r="C58" s="92"/>
      <c r="D58" s="92"/>
      <c r="E58" s="92"/>
      <c r="F58" s="92"/>
      <c r="G58" s="92"/>
      <c r="H58" s="92"/>
      <c r="I58" s="92"/>
      <c r="J58" s="92"/>
      <c r="K58" s="256"/>
      <c r="L58" s="91"/>
    </row>
    <row r="59" spans="1:12" ht="12.75">
      <c r="A59" s="92"/>
      <c r="B59" s="92"/>
      <c r="C59" s="92"/>
      <c r="D59" s="92"/>
      <c r="E59" s="92"/>
      <c r="F59" s="92"/>
      <c r="G59" s="92"/>
      <c r="H59" s="92"/>
      <c r="I59" s="92"/>
      <c r="J59" s="92"/>
      <c r="K59" s="256"/>
      <c r="L59" s="91"/>
    </row>
    <row r="60" spans="1:12" ht="12.75">
      <c r="A60" s="92"/>
      <c r="B60" s="92"/>
      <c r="C60" s="92"/>
      <c r="D60" s="92"/>
      <c r="E60" s="92"/>
      <c r="F60" s="92"/>
      <c r="G60" s="92"/>
      <c r="H60" s="92"/>
      <c r="I60" s="92"/>
      <c r="J60" s="92"/>
      <c r="K60" s="256"/>
      <c r="L60" s="91"/>
    </row>
    <row r="61" spans="1:12" ht="12.75">
      <c r="A61" s="92"/>
      <c r="B61" s="92"/>
      <c r="C61" s="92"/>
      <c r="D61" s="92"/>
      <c r="E61" s="92"/>
      <c r="F61" s="92"/>
      <c r="G61" s="92"/>
      <c r="H61" s="92"/>
      <c r="I61" s="92"/>
      <c r="J61" s="92"/>
      <c r="K61" s="256"/>
      <c r="L61" s="91"/>
    </row>
    <row r="62" spans="1:12" ht="12.75">
      <c r="A62" s="92"/>
      <c r="B62" s="92"/>
      <c r="C62" s="92"/>
      <c r="D62" s="92"/>
      <c r="E62" s="92"/>
      <c r="F62" s="92"/>
      <c r="G62" s="92"/>
      <c r="H62" s="92"/>
      <c r="I62" s="92"/>
      <c r="J62" s="92"/>
      <c r="K62" s="256"/>
      <c r="L62" s="91"/>
    </row>
    <row r="63" spans="1:12" ht="12.75">
      <c r="A63" s="92"/>
      <c r="B63" s="92"/>
      <c r="C63" s="92"/>
      <c r="D63" s="92"/>
      <c r="E63" s="92"/>
      <c r="F63" s="92"/>
      <c r="G63" s="92"/>
      <c r="H63" s="92"/>
      <c r="I63" s="92"/>
      <c r="J63" s="92"/>
      <c r="K63" s="256"/>
      <c r="L63" s="91"/>
    </row>
    <row r="64" spans="1:12" ht="12.75">
      <c r="A64" s="92"/>
      <c r="B64" s="92"/>
      <c r="C64" s="92"/>
      <c r="D64" s="92"/>
      <c r="E64" s="92"/>
      <c r="F64" s="92"/>
      <c r="G64" s="92"/>
      <c r="H64" s="92"/>
      <c r="I64" s="92"/>
      <c r="J64" s="92"/>
      <c r="K64" s="256"/>
      <c r="L64" s="91"/>
    </row>
    <row r="65" spans="1:12" ht="12.75">
      <c r="A65" s="92"/>
      <c r="B65" s="92"/>
      <c r="C65" s="92"/>
      <c r="D65" s="92"/>
      <c r="E65" s="92"/>
      <c r="F65" s="92"/>
      <c r="G65" s="92"/>
      <c r="H65" s="92"/>
      <c r="I65" s="92"/>
      <c r="J65" s="92"/>
      <c r="K65" s="256"/>
      <c r="L65" s="91"/>
    </row>
    <row r="66" spans="1:12" ht="12.75">
      <c r="A66" s="92"/>
      <c r="B66" s="92"/>
      <c r="C66" s="92"/>
      <c r="D66" s="92"/>
      <c r="E66" s="92"/>
      <c r="F66" s="92"/>
      <c r="G66" s="92"/>
      <c r="H66" s="92"/>
      <c r="I66" s="92"/>
      <c r="J66" s="92"/>
      <c r="K66" s="256"/>
      <c r="L66" s="91"/>
    </row>
    <row r="67" spans="1:12" ht="12.75">
      <c r="A67" s="92"/>
      <c r="B67" s="92"/>
      <c r="C67" s="92"/>
      <c r="D67" s="92"/>
      <c r="E67" s="92"/>
      <c r="F67" s="92"/>
      <c r="G67" s="92"/>
      <c r="H67" s="92"/>
      <c r="I67" s="92"/>
      <c r="J67" s="92"/>
      <c r="K67" s="256"/>
      <c r="L67" s="91"/>
    </row>
    <row r="68" spans="1:12" ht="12.75">
      <c r="A68" s="92"/>
      <c r="B68" s="92"/>
      <c r="C68" s="92"/>
      <c r="D68" s="92"/>
      <c r="E68" s="92"/>
      <c r="F68" s="92"/>
      <c r="G68" s="92"/>
      <c r="H68" s="92"/>
      <c r="I68" s="92"/>
      <c r="J68" s="92"/>
      <c r="K68" s="256"/>
      <c r="L68" s="91"/>
    </row>
    <row r="69" spans="1:12" ht="12.75">
      <c r="A69" s="92"/>
      <c r="B69" s="92"/>
      <c r="C69" s="92"/>
      <c r="D69" s="92"/>
      <c r="E69" s="92"/>
      <c r="F69" s="92"/>
      <c r="G69" s="92"/>
      <c r="H69" s="92"/>
      <c r="I69" s="92"/>
      <c r="J69" s="92"/>
      <c r="K69" s="256"/>
      <c r="L69" s="91"/>
    </row>
    <row r="70" spans="1:12" ht="12.75">
      <c r="A70" s="268"/>
      <c r="B70" s="268"/>
      <c r="C70" s="268"/>
      <c r="D70" s="268"/>
      <c r="E70" s="268"/>
      <c r="F70" s="268"/>
      <c r="G70" s="268"/>
      <c r="H70" s="268"/>
      <c r="I70" s="268"/>
      <c r="J70" s="268"/>
      <c r="K70" s="256"/>
      <c r="L70" s="91"/>
    </row>
    <row r="71" spans="1:12" ht="12.75">
      <c r="A71" s="92"/>
      <c r="B71" s="91"/>
      <c r="C71" s="91"/>
      <c r="D71" s="91"/>
      <c r="E71" s="91"/>
      <c r="F71" s="91"/>
      <c r="G71" s="91"/>
      <c r="H71" s="91"/>
      <c r="I71" s="91"/>
      <c r="J71" s="91"/>
      <c r="K71" s="256"/>
      <c r="L71" s="91"/>
    </row>
  </sheetData>
  <mergeCells count="1">
    <mergeCell ref="A2:L2"/>
  </mergeCells>
  <pageMargins left="0.7" right="0.50724637681159424" top="0.86956521739130432" bottom="0.61458333333333337" header="0.3" footer="0.3"/>
  <pageSetup orientation="portrait" r:id="rId1"/>
  <headerFooter>
    <oddHeader>&amp;R&amp;7Informe de la Operación Mensual - Abril 2018
INFSGI-MES-04-2018
10/05/2018
Versión: 01</oddHeader>
    <oddFooter>&amp;L&amp;7COES SINAC, 2018
&amp;C15&amp;R&amp;7Dirección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C756-708C-4923-B655-0C742344DA82}">
  <sheetPr>
    <tabColor theme="4"/>
  </sheetPr>
  <dimension ref="A1:M64"/>
  <sheetViews>
    <sheetView showGridLines="0" view="pageBreakPreview" zoomScale="115" zoomScaleNormal="100" zoomScaleSheetLayoutView="115" zoomScalePageLayoutView="115" workbookViewId="0">
      <selection activeCell="P17" sqref="P17"/>
    </sheetView>
  </sheetViews>
  <sheetFormatPr defaultRowHeight="11.25"/>
  <cols>
    <col min="1" max="1" width="12.83203125" style="61" customWidth="1"/>
    <col min="2" max="2" width="19.33203125" style="61" customWidth="1"/>
    <col min="3" max="3" width="24" style="61" customWidth="1"/>
    <col min="4" max="4" width="10.1640625" style="61" customWidth="1"/>
    <col min="5" max="5" width="11" style="61" customWidth="1"/>
    <col min="6" max="6" width="10.5" style="61" customWidth="1"/>
    <col min="7" max="7" width="12.1640625" style="61" customWidth="1"/>
    <col min="8" max="8" width="12.33203125" style="61" customWidth="1"/>
    <col min="9" max="9" width="9.33203125" style="61"/>
    <col min="10" max="11" width="9.33203125" style="61" customWidth="1"/>
    <col min="12" max="13" width="9.33203125" style="61"/>
    <col min="14" max="16384" width="9.33203125" style="95"/>
  </cols>
  <sheetData>
    <row r="1" spans="1:12" ht="11.25" customHeight="1"/>
    <row r="2" spans="1:12" ht="21" customHeight="1">
      <c r="A2" s="937" t="s">
        <v>521</v>
      </c>
      <c r="B2" s="937"/>
      <c r="C2" s="937"/>
      <c r="D2" s="937"/>
      <c r="E2" s="937"/>
      <c r="F2" s="937"/>
      <c r="G2" s="937"/>
      <c r="H2" s="937"/>
      <c r="I2" s="280"/>
      <c r="J2" s="280"/>
      <c r="K2" s="280"/>
    </row>
    <row r="3" spans="1:12" ht="11.25" customHeight="1">
      <c r="A3" s="97"/>
      <c r="B3" s="97"/>
      <c r="C3" s="97"/>
      <c r="D3" s="97"/>
      <c r="E3" s="97"/>
      <c r="F3" s="97"/>
      <c r="G3" s="97"/>
      <c r="H3" s="97"/>
      <c r="I3" s="281"/>
      <c r="J3" s="281"/>
      <c r="K3" s="281"/>
      <c r="L3" s="270"/>
    </row>
    <row r="4" spans="1:12" ht="11.25" customHeight="1">
      <c r="A4" s="927" t="s">
        <v>523</v>
      </c>
      <c r="B4" s="927"/>
      <c r="C4" s="927"/>
      <c r="D4" s="927"/>
      <c r="E4" s="927"/>
      <c r="F4" s="927"/>
      <c r="G4" s="927"/>
      <c r="H4" s="927"/>
      <c r="I4" s="271"/>
      <c r="J4" s="271"/>
      <c r="K4" s="271"/>
      <c r="L4" s="270"/>
    </row>
    <row r="5" spans="1:12" ht="11.25" customHeight="1">
      <c r="A5" s="97"/>
      <c r="B5" s="208"/>
      <c r="C5" s="98"/>
      <c r="D5" s="99"/>
      <c r="E5" s="99"/>
      <c r="F5" s="100"/>
      <c r="G5" s="96"/>
      <c r="H5" s="96"/>
      <c r="I5" s="272"/>
      <c r="J5" s="272"/>
      <c r="K5" s="272"/>
      <c r="L5" s="282"/>
    </row>
    <row r="6" spans="1:12" ht="30.75" customHeight="1">
      <c r="A6" s="287" t="s">
        <v>201</v>
      </c>
      <c r="B6" s="288" t="s">
        <v>202</v>
      </c>
      <c r="C6" s="288" t="s">
        <v>203</v>
      </c>
      <c r="D6" s="431" t="str">
        <f>UPPER('1. Resumen'!Q4)&amp;"
 "&amp;'1. Resumen'!Q5</f>
        <v>ABRIL
 2018</v>
      </c>
      <c r="E6" s="431" t="str">
        <f>UPPER('1. Resumen'!Q4)&amp;"
 "&amp;'1. Resumen'!Q5-1</f>
        <v>ABRIL
 2017</v>
      </c>
      <c r="F6" s="431" t="str">
        <f>UPPER('1. Resumen'!Q4)&amp;"
 "&amp;'1. Resumen'!Q5-2</f>
        <v>ABRIL
 2016</v>
      </c>
      <c r="G6" s="288" t="s">
        <v>536</v>
      </c>
      <c r="H6" s="432" t="s">
        <v>204</v>
      </c>
      <c r="I6" s="272"/>
      <c r="J6" s="272"/>
      <c r="K6" s="272"/>
      <c r="L6" s="210"/>
    </row>
    <row r="7" spans="1:12" ht="22.5">
      <c r="A7" s="438" t="s">
        <v>205</v>
      </c>
      <c r="B7" s="426" t="s">
        <v>206</v>
      </c>
      <c r="C7" s="427" t="s">
        <v>324</v>
      </c>
      <c r="D7" s="289"/>
      <c r="E7" s="289">
        <v>265.8</v>
      </c>
      <c r="F7" s="289">
        <v>54.6</v>
      </c>
      <c r="G7" s="433">
        <f>+D7/E7-1</f>
        <v>-1</v>
      </c>
      <c r="H7" s="433">
        <f>+E7/F7-1</f>
        <v>3.8681318681318686</v>
      </c>
      <c r="I7" s="272"/>
      <c r="J7" s="272"/>
      <c r="K7" s="272"/>
      <c r="L7" s="74"/>
    </row>
    <row r="8" spans="1:12" ht="12.75">
      <c r="A8" s="938" t="s">
        <v>207</v>
      </c>
      <c r="B8" s="428" t="s">
        <v>208</v>
      </c>
      <c r="C8" s="427" t="s">
        <v>769</v>
      </c>
      <c r="D8" s="290"/>
      <c r="E8" s="290">
        <v>14.950000000000001</v>
      </c>
      <c r="F8" s="290">
        <v>100.03333333333332</v>
      </c>
      <c r="G8" s="433">
        <f>+D8/E8-1</f>
        <v>-1</v>
      </c>
      <c r="H8" s="433">
        <f>+E8/F8-1</f>
        <v>-0.85054981672775742</v>
      </c>
      <c r="I8" s="272"/>
      <c r="J8" s="272"/>
      <c r="K8" s="272"/>
      <c r="L8" s="209"/>
    </row>
    <row r="9" spans="1:12" ht="22.5">
      <c r="A9" s="939"/>
      <c r="B9" s="429" t="s">
        <v>765</v>
      </c>
      <c r="C9" s="427" t="s">
        <v>770</v>
      </c>
      <c r="D9" s="291"/>
      <c r="E9" s="291">
        <v>12.816666666666668</v>
      </c>
      <c r="F9" s="291"/>
      <c r="G9" s="433">
        <f>+D9/E9-1</f>
        <v>-1</v>
      </c>
      <c r="H9" s="433"/>
      <c r="I9" s="272"/>
      <c r="J9" s="272"/>
      <c r="K9" s="273"/>
      <c r="L9" s="283"/>
    </row>
    <row r="10" spans="1:12" ht="12.75">
      <c r="A10" s="939"/>
      <c r="B10" s="429" t="s">
        <v>766</v>
      </c>
      <c r="C10" s="427" t="s">
        <v>771</v>
      </c>
      <c r="D10" s="290">
        <v>78.899999999999977</v>
      </c>
      <c r="E10" s="290">
        <v>16.983333333333334</v>
      </c>
      <c r="F10" s="290"/>
      <c r="G10" s="433">
        <f t="shared" ref="G10:G11" si="0">+D10/E10-1</f>
        <v>3.6457311089303222</v>
      </c>
      <c r="H10" s="433"/>
      <c r="I10" s="272"/>
      <c r="J10" s="272"/>
      <c r="K10" s="273"/>
      <c r="L10" s="283"/>
    </row>
    <row r="11" spans="1:12" ht="22.5">
      <c r="A11" s="939"/>
      <c r="B11" s="429" t="s">
        <v>539</v>
      </c>
      <c r="C11" s="427" t="s">
        <v>540</v>
      </c>
      <c r="D11" s="290"/>
      <c r="E11" s="290">
        <v>17.466666666666669</v>
      </c>
      <c r="F11" s="290"/>
      <c r="G11" s="433">
        <f t="shared" si="0"/>
        <v>-1</v>
      </c>
      <c r="H11" s="433"/>
      <c r="I11" s="272"/>
      <c r="J11" s="272"/>
      <c r="K11" s="273"/>
      <c r="L11" s="283"/>
    </row>
    <row r="12" spans="1:12" ht="12.75">
      <c r="A12" s="939"/>
      <c r="B12" s="429" t="s">
        <v>767</v>
      </c>
      <c r="C12" s="427" t="s">
        <v>772</v>
      </c>
      <c r="D12" s="290">
        <v>67.766666666666666</v>
      </c>
      <c r="E12" s="290"/>
      <c r="F12" s="290"/>
      <c r="G12" s="433"/>
      <c r="H12" s="433"/>
      <c r="I12" s="272"/>
      <c r="J12" s="272"/>
      <c r="K12" s="273"/>
      <c r="L12" s="283"/>
    </row>
    <row r="13" spans="1:12" ht="12.75">
      <c r="A13" s="940"/>
      <c r="B13" s="430" t="s">
        <v>768</v>
      </c>
      <c r="C13" s="430" t="s">
        <v>773</v>
      </c>
      <c r="D13" s="291">
        <v>76.599999999999994</v>
      </c>
      <c r="E13" s="291">
        <v>74.266666666666652</v>
      </c>
      <c r="F13" s="291"/>
      <c r="G13" s="433">
        <f>+D13/E13-1</f>
        <v>3.1418312387791802E-2</v>
      </c>
      <c r="H13" s="433"/>
      <c r="I13" s="272"/>
      <c r="J13" s="272"/>
      <c r="K13" s="273"/>
      <c r="L13" s="283"/>
    </row>
    <row r="14" spans="1:12" ht="11.25" customHeight="1">
      <c r="A14" s="292" t="s">
        <v>209</v>
      </c>
      <c r="B14" s="293"/>
      <c r="C14" s="294"/>
      <c r="D14" s="295">
        <f>SUM(D7:D13)</f>
        <v>223.26666666666662</v>
      </c>
      <c r="E14" s="295">
        <f>SUM(E7:E13)</f>
        <v>402.2833333333333</v>
      </c>
      <c r="F14" s="295">
        <f>SUM(F7:F13)</f>
        <v>154.63333333333333</v>
      </c>
      <c r="G14" s="434">
        <f>+E14/F14-1</f>
        <v>1.6015305022634188</v>
      </c>
      <c r="H14" s="434">
        <f>+D14/E14-1</f>
        <v>-0.44500145005593084</v>
      </c>
      <c r="I14" s="272"/>
      <c r="J14" s="272"/>
      <c r="K14" s="273"/>
      <c r="L14" s="283"/>
    </row>
    <row r="15" spans="1:12" ht="11.25" customHeight="1">
      <c r="A15" s="422" t="str">
        <f>"Cuadro N° 14: Horas de operación de los principales equipos de congestión en "&amp;'1. Resumen'!Q4</f>
        <v>Cuadro N° 14: Horas de operación de los principales equipos de congestión en abril</v>
      </c>
      <c r="B15" s="296"/>
      <c r="C15" s="297"/>
      <c r="D15" s="298"/>
      <c r="E15" s="298"/>
      <c r="F15" s="299"/>
      <c r="G15" s="96"/>
      <c r="H15" s="102"/>
      <c r="I15" s="272"/>
      <c r="J15" s="272"/>
      <c r="K15" s="273"/>
      <c r="L15" s="283"/>
    </row>
    <row r="16" spans="1:12" ht="11.25" customHeight="1">
      <c r="A16" s="158"/>
      <c r="B16" s="296"/>
      <c r="C16" s="297"/>
      <c r="D16" s="298"/>
      <c r="E16" s="298"/>
      <c r="F16" s="299"/>
      <c r="G16" s="96"/>
      <c r="H16" s="96"/>
      <c r="I16" s="272"/>
      <c r="J16" s="272"/>
      <c r="K16" s="273"/>
      <c r="L16" s="283"/>
    </row>
    <row r="17" spans="1:12" ht="11.25" customHeight="1">
      <c r="A17" s="158"/>
      <c r="B17" s="296"/>
      <c r="C17" s="297"/>
      <c r="D17" s="298"/>
      <c r="E17" s="298"/>
      <c r="F17" s="299"/>
      <c r="G17" s="96"/>
      <c r="H17" s="96"/>
      <c r="I17" s="272"/>
      <c r="J17" s="272"/>
      <c r="K17" s="273"/>
      <c r="L17" s="283"/>
    </row>
    <row r="18" spans="1:12" ht="11.25" customHeight="1">
      <c r="A18" s="97"/>
      <c r="B18" s="208"/>
      <c r="C18" s="98"/>
      <c r="D18" s="99"/>
      <c r="E18" s="99"/>
      <c r="F18" s="100"/>
      <c r="G18" s="96"/>
      <c r="H18" s="96"/>
      <c r="I18" s="272"/>
      <c r="J18" s="272"/>
      <c r="K18" s="273"/>
      <c r="L18" s="283"/>
    </row>
    <row r="19" spans="1:12" ht="11.25" customHeight="1">
      <c r="A19" s="97"/>
      <c r="B19" s="208"/>
      <c r="C19" s="98"/>
      <c r="D19" s="99"/>
      <c r="E19" s="99"/>
      <c r="F19" s="100"/>
      <c r="G19" s="96"/>
      <c r="H19" s="96"/>
      <c r="I19" s="272"/>
      <c r="J19" s="272"/>
      <c r="K19" s="273"/>
      <c r="L19" s="283"/>
    </row>
    <row r="20" spans="1:12" ht="11.25" customHeight="1">
      <c r="A20" s="97"/>
      <c r="B20" s="208"/>
      <c r="C20" s="98"/>
      <c r="D20" s="99"/>
      <c r="E20" s="99"/>
      <c r="F20" s="100"/>
      <c r="G20" s="96"/>
      <c r="H20" s="96"/>
      <c r="I20" s="272"/>
      <c r="J20" s="272"/>
      <c r="K20" s="273"/>
      <c r="L20" s="284"/>
    </row>
    <row r="21" spans="1:12" ht="11.25" customHeight="1">
      <c r="A21" s="97"/>
      <c r="B21" s="208"/>
      <c r="C21" s="98"/>
      <c r="D21" s="99"/>
      <c r="E21" s="99"/>
      <c r="F21" s="100"/>
      <c r="G21" s="96"/>
      <c r="H21" s="96"/>
      <c r="I21" s="272"/>
      <c r="J21" s="272"/>
      <c r="K21" s="273"/>
      <c r="L21" s="283"/>
    </row>
    <row r="22" spans="1:12" ht="11.25" customHeight="1">
      <c r="A22" s="97"/>
      <c r="B22" s="208"/>
      <c r="C22" s="98"/>
      <c r="D22" s="99"/>
      <c r="E22" s="99"/>
      <c r="F22" s="100"/>
      <c r="G22" s="96"/>
      <c r="H22" s="96"/>
      <c r="I22" s="272"/>
      <c r="J22" s="272"/>
      <c r="K22" s="273"/>
      <c r="L22" s="283"/>
    </row>
    <row r="23" spans="1:12" ht="11.25" customHeight="1">
      <c r="A23" s="97"/>
      <c r="B23" s="208"/>
      <c r="C23" s="98"/>
      <c r="D23" s="99"/>
      <c r="E23" s="99"/>
      <c r="F23" s="100"/>
      <c r="G23" s="96"/>
      <c r="H23" s="96"/>
      <c r="I23" s="272"/>
      <c r="J23" s="272"/>
      <c r="K23" s="272"/>
      <c r="L23" s="74"/>
    </row>
    <row r="24" spans="1:12" ht="11.25" customHeight="1">
      <c r="A24" s="97"/>
      <c r="B24" s="208"/>
      <c r="C24" s="98"/>
      <c r="D24" s="99"/>
      <c r="E24" s="99"/>
      <c r="F24" s="100"/>
      <c r="G24" s="96"/>
      <c r="H24" s="96"/>
      <c r="I24" s="272"/>
      <c r="J24" s="272"/>
      <c r="K24" s="272"/>
      <c r="L24" s="214"/>
    </row>
    <row r="25" spans="1:12" ht="11.25" customHeight="1">
      <c r="A25" s="97"/>
      <c r="B25" s="208"/>
      <c r="C25" s="98"/>
      <c r="D25" s="99"/>
      <c r="E25" s="99"/>
      <c r="F25" s="100"/>
      <c r="G25" s="96"/>
      <c r="H25" s="96"/>
      <c r="I25" s="272"/>
      <c r="J25" s="272"/>
      <c r="K25" s="272"/>
      <c r="L25" s="74"/>
    </row>
    <row r="26" spans="1:12" ht="11.25" customHeight="1">
      <c r="A26" s="97"/>
      <c r="B26" s="208"/>
      <c r="C26" s="98"/>
      <c r="D26" s="99"/>
      <c r="E26" s="99"/>
      <c r="F26" s="100"/>
      <c r="G26" s="96"/>
      <c r="H26" s="96"/>
      <c r="I26" s="272"/>
      <c r="J26" s="272"/>
      <c r="K26" s="272"/>
      <c r="L26" s="74"/>
    </row>
    <row r="27" spans="1:12" ht="11.25" customHeight="1">
      <c r="A27" s="97"/>
      <c r="B27" s="208"/>
      <c r="C27" s="98"/>
      <c r="D27" s="99"/>
      <c r="E27" s="99"/>
      <c r="F27" s="100"/>
      <c r="G27" s="96"/>
      <c r="H27" s="96"/>
      <c r="I27" s="272"/>
      <c r="J27" s="272"/>
      <c r="K27" s="273"/>
      <c r="L27" s="283"/>
    </row>
    <row r="28" spans="1:12" ht="11.25" customHeight="1">
      <c r="A28" s="97"/>
      <c r="B28" s="208"/>
      <c r="C28" s="98"/>
      <c r="D28" s="99"/>
      <c r="E28" s="99"/>
      <c r="F28" s="100"/>
      <c r="G28" s="96"/>
      <c r="H28" s="96"/>
      <c r="I28" s="272"/>
      <c r="J28" s="272"/>
      <c r="K28" s="273"/>
      <c r="L28" s="283"/>
    </row>
    <row r="29" spans="1:12" ht="11.25" customHeight="1">
      <c r="A29" s="97"/>
      <c r="B29" s="208"/>
      <c r="C29" s="98"/>
      <c r="D29" s="99"/>
      <c r="E29" s="99"/>
      <c r="F29" s="100"/>
      <c r="G29" s="96"/>
      <c r="H29" s="96"/>
      <c r="I29" s="272"/>
      <c r="J29" s="272"/>
      <c r="K29" s="273"/>
      <c r="L29" s="283"/>
    </row>
    <row r="30" spans="1:12" ht="11.25" customHeight="1">
      <c r="A30" s="97"/>
      <c r="B30" s="208"/>
      <c r="C30" s="98"/>
      <c r="D30" s="99"/>
      <c r="E30" s="99"/>
      <c r="F30" s="100"/>
      <c r="G30" s="96"/>
      <c r="H30" s="96"/>
      <c r="I30" s="272"/>
      <c r="J30" s="272"/>
      <c r="K30" s="274"/>
      <c r="L30" s="283"/>
    </row>
    <row r="31" spans="1:12" ht="11.25" customHeight="1">
      <c r="A31" s="97"/>
      <c r="B31" s="208"/>
      <c r="C31" s="98"/>
      <c r="D31" s="99"/>
      <c r="E31" s="99"/>
      <c r="F31" s="100"/>
      <c r="G31" s="96"/>
      <c r="H31" s="96"/>
      <c r="I31" s="272"/>
      <c r="J31" s="272"/>
      <c r="K31" s="274"/>
      <c r="L31" s="283"/>
    </row>
    <row r="32" spans="1:12" ht="11.25" customHeight="1">
      <c r="A32" s="97"/>
      <c r="B32" s="208"/>
      <c r="C32" s="98"/>
      <c r="D32" s="99"/>
      <c r="E32" s="99"/>
      <c r="F32" s="100"/>
      <c r="G32" s="96"/>
      <c r="H32" s="96"/>
      <c r="I32" s="272"/>
      <c r="J32" s="272"/>
      <c r="K32" s="274"/>
      <c r="L32" s="283"/>
    </row>
    <row r="33" spans="1:12" ht="11.25" customHeight="1">
      <c r="A33" s="97"/>
      <c r="B33" s="208"/>
      <c r="C33" s="98"/>
      <c r="D33" s="99"/>
      <c r="E33" s="99"/>
      <c r="F33" s="100"/>
      <c r="G33" s="96"/>
      <c r="H33" s="96"/>
      <c r="I33" s="272"/>
      <c r="J33" s="272"/>
      <c r="K33" s="274"/>
      <c r="L33" s="283"/>
    </row>
    <row r="34" spans="1:12" ht="11.25" customHeight="1">
      <c r="A34" s="97"/>
      <c r="B34" s="208"/>
      <c r="C34" s="98"/>
      <c r="D34" s="99"/>
      <c r="E34" s="99"/>
      <c r="F34" s="100"/>
      <c r="G34" s="96"/>
      <c r="H34" s="96"/>
      <c r="I34" s="272"/>
      <c r="J34" s="272"/>
      <c r="K34" s="274"/>
      <c r="L34" s="283"/>
    </row>
    <row r="35" spans="1:12" ht="11.25" customHeight="1">
      <c r="A35" s="97"/>
      <c r="B35" s="208"/>
      <c r="C35" s="98"/>
      <c r="D35" s="99"/>
      <c r="E35" s="99"/>
      <c r="F35" s="100"/>
      <c r="G35" s="96"/>
      <c r="H35" s="96"/>
      <c r="I35" s="272"/>
      <c r="J35" s="272"/>
      <c r="K35" s="274"/>
      <c r="L35" s="283"/>
    </row>
    <row r="36" spans="1:12" ht="11.25" customHeight="1">
      <c r="A36" s="97"/>
      <c r="B36" s="208"/>
      <c r="C36" s="98"/>
      <c r="D36" s="99"/>
      <c r="E36" s="99"/>
      <c r="F36" s="100"/>
      <c r="G36" s="96"/>
      <c r="H36" s="96"/>
      <c r="I36" s="272"/>
      <c r="J36" s="272"/>
      <c r="K36" s="274"/>
      <c r="L36" s="283"/>
    </row>
    <row r="37" spans="1:12" ht="11.25" customHeight="1">
      <c r="A37" s="97"/>
      <c r="B37" s="208"/>
      <c r="C37" s="98"/>
      <c r="D37" s="99"/>
      <c r="E37" s="99"/>
      <c r="F37" s="100"/>
      <c r="G37" s="96"/>
      <c r="H37" s="96"/>
      <c r="I37" s="272"/>
      <c r="J37" s="272"/>
      <c r="K37" s="274"/>
      <c r="L37" s="285"/>
    </row>
    <row r="38" spans="1:12" ht="11.25" customHeight="1">
      <c r="A38" s="97"/>
      <c r="B38" s="208"/>
      <c r="C38" s="98"/>
      <c r="D38" s="99"/>
      <c r="E38" s="99"/>
      <c r="F38" s="100"/>
      <c r="G38" s="96"/>
      <c r="H38" s="96"/>
      <c r="I38" s="272"/>
      <c r="J38" s="272"/>
      <c r="K38" s="274"/>
      <c r="L38" s="283"/>
    </row>
    <row r="39" spans="1:12" ht="11.25" customHeight="1">
      <c r="A39" s="97"/>
      <c r="B39" s="208"/>
      <c r="C39" s="98"/>
      <c r="D39" s="99"/>
      <c r="E39" s="99"/>
      <c r="F39" s="100"/>
      <c r="G39" s="96"/>
      <c r="H39" s="96"/>
      <c r="I39" s="272"/>
      <c r="J39" s="272"/>
      <c r="K39" s="274"/>
      <c r="L39" s="283"/>
    </row>
    <row r="40" spans="1:12" ht="11.25" customHeight="1">
      <c r="A40" s="97"/>
      <c r="B40" s="97"/>
      <c r="C40" s="97"/>
      <c r="D40" s="97"/>
      <c r="E40" s="97"/>
      <c r="F40" s="97"/>
      <c r="G40" s="97"/>
      <c r="H40" s="97"/>
      <c r="I40" s="272"/>
      <c r="J40" s="272"/>
      <c r="K40" s="274"/>
      <c r="L40" s="283"/>
    </row>
    <row r="41" spans="1:12" ht="11.25" customHeight="1">
      <c r="A41" s="97"/>
      <c r="B41" s="97"/>
      <c r="C41" s="97"/>
      <c r="D41" s="97"/>
      <c r="E41" s="97"/>
      <c r="F41" s="97"/>
      <c r="G41" s="97"/>
      <c r="H41" s="97"/>
      <c r="I41" s="272"/>
      <c r="J41" s="272"/>
      <c r="K41" s="274"/>
      <c r="L41" s="283"/>
    </row>
    <row r="42" spans="1:12" ht="11.25" customHeight="1">
      <c r="A42" s="97"/>
      <c r="B42" s="97"/>
      <c r="C42" s="97"/>
      <c r="D42" s="97"/>
      <c r="E42" s="97"/>
      <c r="F42" s="97"/>
      <c r="G42" s="97"/>
      <c r="H42" s="97"/>
      <c r="I42" s="272"/>
      <c r="J42" s="272"/>
      <c r="K42" s="274"/>
      <c r="L42" s="283"/>
    </row>
    <row r="43" spans="1:12" ht="11.25" customHeight="1">
      <c r="A43" s="97"/>
      <c r="B43" s="97"/>
      <c r="C43" s="97"/>
      <c r="D43" s="97"/>
      <c r="E43" s="97"/>
      <c r="F43" s="97"/>
      <c r="G43" s="97"/>
      <c r="H43" s="97"/>
      <c r="I43" s="272"/>
      <c r="J43" s="272"/>
      <c r="K43" s="274"/>
      <c r="L43" s="283"/>
    </row>
    <row r="44" spans="1:12" ht="11.25" customHeight="1">
      <c r="A44" s="97"/>
      <c r="B44" s="97"/>
      <c r="C44" s="97"/>
      <c r="D44" s="97"/>
      <c r="E44" s="97"/>
      <c r="F44" s="97"/>
      <c r="G44" s="97"/>
      <c r="H44" s="97"/>
      <c r="I44" s="272"/>
      <c r="J44" s="272"/>
      <c r="K44" s="276"/>
      <c r="L44" s="75"/>
    </row>
    <row r="45" spans="1:12" ht="11.25" customHeight="1">
      <c r="A45" s="97"/>
      <c r="B45" s="97"/>
      <c r="C45" s="97"/>
      <c r="D45" s="97"/>
      <c r="E45" s="97"/>
      <c r="F45" s="97"/>
      <c r="G45" s="97"/>
      <c r="H45" s="97"/>
      <c r="I45" s="272"/>
      <c r="J45" s="272"/>
      <c r="K45" s="276"/>
      <c r="L45" s="76"/>
    </row>
    <row r="46" spans="1:12" ht="11.25" customHeight="1">
      <c r="A46" s="97"/>
      <c r="B46" s="97"/>
      <c r="C46" s="97"/>
      <c r="D46" s="97"/>
      <c r="E46" s="97"/>
      <c r="F46" s="97"/>
      <c r="G46" s="97"/>
      <c r="H46" s="97"/>
      <c r="I46" s="272"/>
      <c r="J46" s="272"/>
      <c r="K46" s="276"/>
      <c r="L46" s="76"/>
    </row>
    <row r="47" spans="1:12" ht="11.25" customHeight="1">
      <c r="A47" s="97"/>
      <c r="B47" s="97"/>
      <c r="C47" s="97"/>
      <c r="D47" s="97"/>
      <c r="E47" s="97"/>
      <c r="F47" s="97"/>
      <c r="G47" s="97"/>
      <c r="H47" s="97"/>
      <c r="I47" s="272"/>
      <c r="J47" s="272"/>
      <c r="K47" s="274"/>
    </row>
    <row r="48" spans="1:12" ht="11.25" customHeight="1">
      <c r="A48" s="97"/>
      <c r="B48" s="97"/>
      <c r="C48" s="97"/>
      <c r="D48" s="97"/>
      <c r="E48" s="97"/>
      <c r="F48" s="97"/>
      <c r="G48" s="97"/>
      <c r="H48" s="97"/>
      <c r="I48" s="272"/>
      <c r="J48" s="272"/>
      <c r="K48" s="274"/>
    </row>
    <row r="49" spans="1:11" ht="12.75">
      <c r="A49" s="93"/>
      <c r="B49" s="97"/>
      <c r="C49" s="97"/>
      <c r="D49" s="97"/>
      <c r="E49" s="97"/>
      <c r="F49" s="97"/>
      <c r="G49" s="97"/>
      <c r="H49" s="97"/>
      <c r="I49" s="272"/>
      <c r="J49" s="272"/>
      <c r="K49" s="274"/>
    </row>
    <row r="50" spans="1:11" ht="12.75">
      <c r="A50" s="97"/>
      <c r="B50" s="97"/>
      <c r="C50" s="97"/>
      <c r="D50" s="97"/>
      <c r="E50" s="97"/>
      <c r="F50" s="97"/>
      <c r="G50" s="97"/>
      <c r="H50" s="97"/>
      <c r="I50" s="272"/>
      <c r="J50" s="272"/>
      <c r="K50" s="274"/>
    </row>
    <row r="51" spans="1:11" ht="12.75">
      <c r="A51" s="97"/>
      <c r="B51" s="97"/>
      <c r="C51" s="97"/>
      <c r="D51" s="97"/>
      <c r="E51" s="97"/>
      <c r="F51" s="97"/>
      <c r="G51" s="97"/>
      <c r="H51" s="97"/>
      <c r="I51" s="272"/>
      <c r="J51" s="272"/>
      <c r="K51" s="274"/>
    </row>
    <row r="52" spans="1:11" ht="12.75">
      <c r="A52" s="97"/>
      <c r="B52" s="97"/>
      <c r="C52" s="97"/>
      <c r="D52" s="97"/>
      <c r="E52" s="97"/>
      <c r="F52" s="97"/>
      <c r="G52" s="97"/>
      <c r="H52" s="97"/>
      <c r="I52" s="272"/>
      <c r="J52" s="272"/>
      <c r="K52" s="274"/>
    </row>
    <row r="53" spans="1:11" ht="12.75">
      <c r="A53" s="97"/>
      <c r="B53" s="97"/>
      <c r="C53" s="97"/>
      <c r="D53" s="97"/>
      <c r="E53" s="97"/>
      <c r="F53" s="97"/>
      <c r="G53" s="97"/>
      <c r="H53" s="97"/>
      <c r="I53" s="272"/>
      <c r="J53" s="272"/>
      <c r="K53" s="274"/>
    </row>
    <row r="54" spans="1:11" ht="12.75">
      <c r="A54" s="97"/>
      <c r="B54" s="97"/>
      <c r="C54" s="97"/>
      <c r="D54" s="97"/>
      <c r="E54" s="97"/>
      <c r="F54" s="97"/>
      <c r="G54" s="97"/>
      <c r="H54" s="97"/>
      <c r="I54" s="132"/>
      <c r="J54" s="132"/>
      <c r="K54" s="274"/>
    </row>
    <row r="55" spans="1:11" ht="12.75">
      <c r="A55" s="97"/>
      <c r="B55" s="97"/>
      <c r="C55" s="97"/>
      <c r="D55" s="97"/>
      <c r="E55" s="97"/>
      <c r="F55" s="97"/>
      <c r="G55" s="97"/>
      <c r="H55" s="97"/>
      <c r="I55" s="132"/>
      <c r="J55" s="132"/>
      <c r="K55" s="274"/>
    </row>
    <row r="56" spans="1:11" ht="12.75">
      <c r="A56" s="97"/>
      <c r="B56" s="97"/>
      <c r="C56" s="97"/>
      <c r="D56" s="97"/>
      <c r="E56" s="97"/>
      <c r="F56" s="97"/>
      <c r="G56" s="97"/>
      <c r="H56" s="97"/>
      <c r="I56" s="132"/>
      <c r="J56" s="132"/>
      <c r="K56" s="274"/>
    </row>
    <row r="57" spans="1:11" ht="12.75">
      <c r="A57" s="422" t="str">
        <f>"Gráfico N° 23: Comparación de las horas de operación de los principales equipos de congestión en "&amp;'1. Resumen'!Q4</f>
        <v>Gráfico N° 23: Comparación de las horas de operación de los principales equipos de congestión en abril</v>
      </c>
      <c r="B57" s="97"/>
      <c r="C57" s="97"/>
      <c r="D57" s="97"/>
      <c r="E57" s="97"/>
      <c r="F57" s="97"/>
      <c r="G57" s="97"/>
      <c r="H57" s="97"/>
      <c r="I57" s="132"/>
      <c r="J57" s="132"/>
      <c r="K57" s="274"/>
    </row>
    <row r="58" spans="1:11" ht="12.75">
      <c r="A58" s="97"/>
      <c r="B58" s="97"/>
      <c r="C58" s="97"/>
      <c r="D58" s="97"/>
      <c r="E58" s="97"/>
      <c r="F58" s="97"/>
      <c r="G58" s="97"/>
      <c r="H58" s="97"/>
      <c r="I58" s="132"/>
      <c r="J58" s="132"/>
      <c r="K58" s="274"/>
    </row>
    <row r="59" spans="1:11" ht="12.75">
      <c r="A59" s="97"/>
      <c r="B59" s="97"/>
      <c r="C59" s="97"/>
      <c r="D59" s="97"/>
      <c r="E59" s="97"/>
      <c r="F59" s="97"/>
      <c r="G59" s="97"/>
      <c r="H59" s="97"/>
      <c r="I59" s="273"/>
      <c r="J59" s="273"/>
      <c r="K59" s="274"/>
    </row>
    <row r="60" spans="1:11" ht="12.75">
      <c r="A60" s="272"/>
      <c r="B60" s="273"/>
      <c r="C60" s="273"/>
      <c r="D60" s="273"/>
      <c r="E60" s="273"/>
      <c r="F60" s="273"/>
      <c r="G60" s="273"/>
      <c r="H60" s="273"/>
      <c r="I60" s="273"/>
      <c r="J60" s="273"/>
      <c r="K60" s="274"/>
    </row>
    <row r="61" spans="1:11" ht="12.75">
      <c r="A61" s="272"/>
      <c r="B61" s="286"/>
      <c r="C61" s="274"/>
      <c r="D61" s="274"/>
      <c r="E61" s="274"/>
      <c r="F61" s="274"/>
      <c r="G61" s="273"/>
      <c r="H61" s="273"/>
      <c r="I61" s="273"/>
      <c r="J61" s="273"/>
      <c r="K61" s="274"/>
    </row>
    <row r="62" spans="1:11" ht="12.75">
      <c r="A62" s="2"/>
      <c r="B62" s="131"/>
      <c r="C62" s="131"/>
      <c r="D62" s="131"/>
      <c r="E62" s="131"/>
      <c r="F62" s="131"/>
      <c r="G62" s="131"/>
      <c r="H62" s="273"/>
      <c r="I62" s="273"/>
      <c r="J62" s="273"/>
      <c r="K62" s="274"/>
    </row>
    <row r="63" spans="1:11" ht="12.75">
      <c r="A63" s="2"/>
      <c r="B63" s="131"/>
      <c r="C63" s="131"/>
      <c r="D63" s="131"/>
      <c r="E63" s="131"/>
      <c r="F63" s="131"/>
      <c r="G63" s="131"/>
      <c r="H63" s="273"/>
      <c r="I63" s="273"/>
      <c r="J63" s="273"/>
      <c r="K63" s="273"/>
    </row>
    <row r="64" spans="1:11" ht="12.75">
      <c r="A64" s="2"/>
      <c r="B64" s="131"/>
      <c r="C64" s="131"/>
      <c r="D64" s="131"/>
      <c r="E64" s="131"/>
      <c r="F64" s="131"/>
      <c r="G64" s="131"/>
      <c r="H64" s="273"/>
      <c r="I64" s="273"/>
      <c r="J64" s="273"/>
      <c r="K64" s="273"/>
    </row>
  </sheetData>
  <mergeCells count="3">
    <mergeCell ref="A4:H4"/>
    <mergeCell ref="A2:H2"/>
    <mergeCell ref="A8:A13"/>
  </mergeCells>
  <pageMargins left="0.7" right="0.7" top="0.86956521739130432" bottom="0.61458333333333337" header="0.3" footer="0.3"/>
  <pageSetup orientation="portrait" r:id="rId1"/>
  <headerFooter>
    <oddHeader>&amp;R&amp;7Informe de la Operación Mensual - Abril 2018
INFSGI-MES-04-2018
10/05/2018
Versión: 01</oddHeader>
    <oddFooter>&amp;L&amp;7COES SINAC, 2018
&amp;C16&amp;R&amp;7Dirección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4CB9D-54EF-47BE-AF3E-BCE3C83F12A6}">
  <sheetPr>
    <tabColor theme="4"/>
  </sheetPr>
  <dimension ref="A1:M250"/>
  <sheetViews>
    <sheetView showGridLines="0" view="pageBreakPreview" zoomScale="145" zoomScaleNormal="160" zoomScaleSheetLayoutView="145" zoomScalePageLayoutView="160" workbookViewId="0">
      <selection activeCell="P17" sqref="P17"/>
    </sheetView>
  </sheetViews>
  <sheetFormatPr defaultRowHeight="11.25"/>
  <cols>
    <col min="1" max="1" width="19.6640625" style="50" customWidth="1"/>
    <col min="2" max="2" width="12.33203125" style="50" customWidth="1"/>
    <col min="3" max="4" width="9" style="50" customWidth="1"/>
    <col min="5" max="5" width="13.5" style="50" customWidth="1"/>
    <col min="6" max="6" width="12" style="50" customWidth="1"/>
    <col min="7" max="7" width="11" style="50" customWidth="1"/>
    <col min="8" max="8" width="8.6640625" style="50" customWidth="1"/>
    <col min="9" max="9" width="6.6640625" style="50" customWidth="1"/>
    <col min="10" max="10" width="12.5" style="50" customWidth="1"/>
    <col min="11" max="11" width="9.33203125" style="50" customWidth="1"/>
    <col min="12" max="13" width="9.33203125" style="50"/>
    <col min="14" max="16384" width="9.33203125" style="3"/>
  </cols>
  <sheetData>
    <row r="1" spans="1:12" ht="11.25" customHeight="1"/>
    <row r="2" spans="1:12" ht="32.25" customHeight="1">
      <c r="A2" s="943" t="s">
        <v>210</v>
      </c>
      <c r="B2" s="943"/>
      <c r="C2" s="943"/>
      <c r="D2" s="943"/>
      <c r="E2" s="943"/>
      <c r="F2" s="943"/>
      <c r="G2" s="943"/>
      <c r="H2" s="943"/>
      <c r="I2" s="943"/>
      <c r="J2" s="943"/>
      <c r="K2" s="206"/>
    </row>
    <row r="3" spans="1:12" ht="6.75" customHeight="1">
      <c r="A3" s="25"/>
      <c r="B3" s="300"/>
      <c r="C3" s="301"/>
      <c r="D3" s="24"/>
      <c r="E3" s="24"/>
      <c r="F3" s="302"/>
      <c r="G3" s="83"/>
      <c r="H3" s="83"/>
      <c r="I3" s="89"/>
      <c r="J3" s="206"/>
      <c r="K3" s="206"/>
      <c r="L3" s="270"/>
    </row>
    <row r="4" spans="1:12" ht="11.25" customHeight="1">
      <c r="A4" s="944" t="s">
        <v>211</v>
      </c>
      <c r="B4" s="944"/>
      <c r="C4" s="944"/>
      <c r="D4" s="944"/>
      <c r="E4" s="944"/>
      <c r="F4" s="944"/>
      <c r="G4" s="944"/>
      <c r="H4" s="944"/>
      <c r="I4" s="944"/>
      <c r="J4" s="944"/>
      <c r="K4" s="206"/>
      <c r="L4" s="270"/>
    </row>
    <row r="5" spans="1:12" ht="38.25" customHeight="1">
      <c r="A5" s="941" t="s">
        <v>212</v>
      </c>
      <c r="B5" s="768" t="s">
        <v>213</v>
      </c>
      <c r="C5" s="768" t="s">
        <v>214</v>
      </c>
      <c r="D5" s="768" t="s">
        <v>215</v>
      </c>
      <c r="E5" s="768" t="s">
        <v>216</v>
      </c>
      <c r="F5" s="768" t="s">
        <v>217</v>
      </c>
      <c r="G5" s="768" t="s">
        <v>218</v>
      </c>
      <c r="H5" s="768" t="s">
        <v>219</v>
      </c>
      <c r="I5" s="828" t="s">
        <v>220</v>
      </c>
      <c r="J5" s="768" t="s">
        <v>221</v>
      </c>
      <c r="K5" s="303"/>
    </row>
    <row r="6" spans="1:12" ht="11.25" customHeight="1">
      <c r="A6" s="942"/>
      <c r="B6" s="768" t="s">
        <v>222</v>
      </c>
      <c r="C6" s="768" t="s">
        <v>223</v>
      </c>
      <c r="D6" s="768" t="s">
        <v>224</v>
      </c>
      <c r="E6" s="768" t="s">
        <v>225</v>
      </c>
      <c r="F6" s="768" t="s">
        <v>226</v>
      </c>
      <c r="G6" s="768" t="s">
        <v>227</v>
      </c>
      <c r="H6" s="768" t="s">
        <v>228</v>
      </c>
      <c r="I6" s="829"/>
      <c r="J6" s="768" t="s">
        <v>229</v>
      </c>
      <c r="K6" s="26"/>
    </row>
    <row r="7" spans="1:12">
      <c r="A7" s="769" t="s">
        <v>533</v>
      </c>
      <c r="B7" s="770">
        <v>20</v>
      </c>
      <c r="C7" s="771">
        <v>3</v>
      </c>
      <c r="D7" s="771">
        <v>1</v>
      </c>
      <c r="E7" s="772">
        <v>17</v>
      </c>
      <c r="F7" s="771">
        <v>6</v>
      </c>
      <c r="G7" s="771"/>
      <c r="H7" s="771">
        <v>1</v>
      </c>
      <c r="I7" s="773">
        <f>+SUM(B7:H7)</f>
        <v>48</v>
      </c>
      <c r="J7" s="774">
        <v>499.97</v>
      </c>
      <c r="K7" s="29"/>
    </row>
    <row r="8" spans="1:12">
      <c r="A8" s="775" t="s">
        <v>180</v>
      </c>
      <c r="B8" s="776"/>
      <c r="C8" s="776"/>
      <c r="D8" s="776"/>
      <c r="E8" s="777">
        <v>1</v>
      </c>
      <c r="F8" s="776"/>
      <c r="G8" s="776"/>
      <c r="H8" s="776"/>
      <c r="I8" s="778">
        <f>+SUM(B8:H8)</f>
        <v>1</v>
      </c>
      <c r="J8" s="779">
        <v>0.1</v>
      </c>
      <c r="K8" s="31"/>
    </row>
    <row r="9" spans="1:12">
      <c r="A9" s="827" t="s">
        <v>718</v>
      </c>
      <c r="B9" s="770"/>
      <c r="C9" s="771">
        <v>2</v>
      </c>
      <c r="D9" s="771"/>
      <c r="E9" s="772"/>
      <c r="F9" s="771"/>
      <c r="G9" s="771"/>
      <c r="H9" s="771"/>
      <c r="I9" s="773">
        <f>+SUM(B9:H9)</f>
        <v>2</v>
      </c>
      <c r="J9" s="774">
        <v>1.61</v>
      </c>
      <c r="K9" s="29"/>
    </row>
    <row r="10" spans="1:12">
      <c r="A10" s="775" t="s">
        <v>717</v>
      </c>
      <c r="B10" s="776"/>
      <c r="C10" s="776"/>
      <c r="D10" s="776"/>
      <c r="E10" s="777">
        <v>4</v>
      </c>
      <c r="F10" s="776"/>
      <c r="G10" s="776"/>
      <c r="H10" s="776">
        <v>1</v>
      </c>
      <c r="I10" s="778">
        <f>+SUM(B10:H10)</f>
        <v>5</v>
      </c>
      <c r="J10" s="779">
        <v>83.47</v>
      </c>
      <c r="K10" s="29"/>
    </row>
    <row r="11" spans="1:12" ht="16.5">
      <c r="A11" s="827" t="s">
        <v>719</v>
      </c>
      <c r="B11" s="770"/>
      <c r="C11" s="771">
        <v>1</v>
      </c>
      <c r="D11" s="771"/>
      <c r="E11" s="772"/>
      <c r="F11" s="771"/>
      <c r="G11" s="771"/>
      <c r="H11" s="771"/>
      <c r="I11" s="773">
        <f>+SUM(B11:H11)</f>
        <v>1</v>
      </c>
      <c r="J11" s="774">
        <v>7.23</v>
      </c>
      <c r="K11" s="29"/>
    </row>
    <row r="12" spans="1:12">
      <c r="A12" s="775" t="s">
        <v>220</v>
      </c>
      <c r="B12" s="776">
        <f>+SUM(B7:B11)</f>
        <v>20</v>
      </c>
      <c r="C12" s="776">
        <f t="shared" ref="C12:J12" si="0">+SUM(C7:C11)</f>
        <v>6</v>
      </c>
      <c r="D12" s="776">
        <f t="shared" si="0"/>
        <v>1</v>
      </c>
      <c r="E12" s="777">
        <f t="shared" si="0"/>
        <v>22</v>
      </c>
      <c r="F12" s="776">
        <f t="shared" si="0"/>
        <v>6</v>
      </c>
      <c r="G12" s="776">
        <f t="shared" si="0"/>
        <v>0</v>
      </c>
      <c r="H12" s="776">
        <f t="shared" si="0"/>
        <v>2</v>
      </c>
      <c r="I12" s="778">
        <f t="shared" si="0"/>
        <v>57</v>
      </c>
      <c r="J12" s="779">
        <f t="shared" si="0"/>
        <v>592.38000000000011</v>
      </c>
      <c r="K12" s="29"/>
    </row>
    <row r="13" spans="1:12" ht="11.25" customHeight="1">
      <c r="A13" s="946"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abril 2018</v>
      </c>
      <c r="B13" s="946"/>
      <c r="C13" s="946"/>
      <c r="D13" s="946"/>
      <c r="E13" s="946"/>
      <c r="F13" s="946"/>
      <c r="G13" s="946"/>
      <c r="H13" s="946"/>
      <c r="I13" s="946"/>
      <c r="J13" s="946"/>
      <c r="K13" s="29"/>
    </row>
    <row r="14" spans="1:12" ht="11.25" customHeight="1">
      <c r="A14" s="3"/>
      <c r="B14" s="3"/>
      <c r="C14" s="3"/>
      <c r="D14" s="3"/>
      <c r="E14" s="3"/>
      <c r="F14" s="3"/>
      <c r="G14" s="3"/>
      <c r="H14" s="3"/>
      <c r="I14" s="3"/>
      <c r="J14" s="3"/>
      <c r="K14" s="29"/>
    </row>
    <row r="15" spans="1:12" ht="11.25" customHeight="1">
      <c r="A15" s="945" t="s">
        <v>720</v>
      </c>
      <c r="B15" s="945"/>
      <c r="C15" s="945"/>
      <c r="D15" s="945"/>
      <c r="E15" s="945"/>
      <c r="F15" s="945"/>
      <c r="G15" s="945"/>
      <c r="H15" s="945"/>
      <c r="I15" s="945"/>
      <c r="J15" s="945"/>
      <c r="K15" s="29"/>
    </row>
    <row r="16" spans="1:12" ht="11.25" customHeight="1">
      <c r="A16" s="25"/>
      <c r="B16" s="306"/>
      <c r="C16" s="305"/>
      <c r="D16" s="305"/>
      <c r="E16" s="305"/>
      <c r="F16" s="305"/>
      <c r="G16" s="248"/>
      <c r="H16" s="248"/>
      <c r="I16" s="159"/>
      <c r="J16" s="253"/>
      <c r="K16" s="253"/>
      <c r="L16" s="29"/>
    </row>
    <row r="17" spans="1:12" ht="11.25" customHeight="1">
      <c r="A17" s="950" t="str">
        <f>"FALLAS  POR TIPO DE CAUSA  -  "&amp;UPPER('1. Resumen'!Q4)&amp;" "&amp;'1. Resumen'!Q5</f>
        <v>FALLAS  POR TIPO DE CAUSA  -  ABRIL 2018</v>
      </c>
      <c r="B17" s="950"/>
      <c r="C17" s="950"/>
      <c r="D17" s="950"/>
      <c r="E17" s="950" t="str">
        <f>"FALLAS  POR TIPO DE EQUIPO  -  "&amp;UPPER('1. Resumen'!Q4)&amp;" "&amp;'1. Resumen'!Q5</f>
        <v>FALLAS  POR TIPO DE EQUIPO  -  ABRIL 2018</v>
      </c>
      <c r="F17" s="950"/>
      <c r="G17" s="950"/>
      <c r="H17" s="950"/>
      <c r="I17" s="950"/>
      <c r="J17" s="950"/>
      <c r="K17" s="253"/>
      <c r="L17" s="29"/>
    </row>
    <row r="18" spans="1:12" ht="11.25" customHeight="1">
      <c r="A18" s="25"/>
      <c r="E18" s="305"/>
      <c r="F18" s="305"/>
      <c r="G18" s="248"/>
      <c r="H18" s="248"/>
      <c r="I18" s="159"/>
      <c r="J18" s="132"/>
      <c r="K18" s="132"/>
      <c r="L18" s="29"/>
    </row>
    <row r="19" spans="1:12" ht="11.25" customHeight="1">
      <c r="A19" s="25"/>
      <c r="B19" s="306"/>
      <c r="C19" s="305"/>
      <c r="D19" s="305"/>
      <c r="E19" s="305"/>
      <c r="F19" s="305"/>
      <c r="G19" s="248"/>
      <c r="H19" s="248"/>
      <c r="I19" s="159"/>
      <c r="J19" s="132"/>
      <c r="K19" s="132"/>
      <c r="L19" s="39"/>
    </row>
    <row r="20" spans="1:12" ht="11.25" customHeight="1">
      <c r="A20" s="25"/>
      <c r="B20" s="306"/>
      <c r="C20" s="305"/>
      <c r="D20" s="305"/>
      <c r="E20" s="305"/>
      <c r="F20" s="305"/>
      <c r="G20" s="248"/>
      <c r="H20" s="248"/>
      <c r="I20" s="159"/>
      <c r="J20" s="132"/>
      <c r="K20" s="132"/>
      <c r="L20" s="29"/>
    </row>
    <row r="21" spans="1:12" ht="11.25" customHeight="1">
      <c r="A21" s="25"/>
      <c r="B21" s="306"/>
      <c r="C21" s="305"/>
      <c r="D21" s="305"/>
      <c r="E21" s="305"/>
      <c r="F21" s="305"/>
      <c r="G21" s="248"/>
      <c r="H21" s="248"/>
      <c r="I21" s="159"/>
      <c r="J21" s="132"/>
      <c r="K21" s="132"/>
      <c r="L21" s="29"/>
    </row>
    <row r="22" spans="1:12" ht="11.25" customHeight="1">
      <c r="A22" s="25"/>
      <c r="B22" s="306"/>
      <c r="C22" s="305"/>
      <c r="D22" s="305"/>
      <c r="E22" s="305"/>
      <c r="F22" s="305"/>
      <c r="G22" s="248"/>
      <c r="H22" s="248"/>
      <c r="I22" s="159"/>
      <c r="J22" s="132"/>
      <c r="K22" s="132"/>
      <c r="L22" s="29"/>
    </row>
    <row r="23" spans="1:12" ht="11.25" customHeight="1">
      <c r="A23" s="25"/>
      <c r="B23" s="306"/>
      <c r="C23" s="305"/>
      <c r="D23" s="305"/>
      <c r="E23" s="305"/>
      <c r="F23" s="305"/>
      <c r="G23" s="248"/>
      <c r="H23" s="248"/>
      <c r="I23" s="159"/>
      <c r="J23" s="132"/>
      <c r="K23" s="132"/>
      <c r="L23" s="39"/>
    </row>
    <row r="24" spans="1:12" ht="11.25" customHeight="1">
      <c r="A24" s="25"/>
      <c r="B24" s="306"/>
      <c r="C24" s="305"/>
      <c r="D24" s="305"/>
      <c r="E24" s="305"/>
      <c r="F24" s="305"/>
      <c r="G24" s="248"/>
      <c r="H24" s="248"/>
      <c r="I24" s="159"/>
      <c r="J24" s="132"/>
      <c r="K24" s="132"/>
      <c r="L24" s="29"/>
    </row>
    <row r="25" spans="1:12" ht="11.25" customHeight="1">
      <c r="A25" s="25"/>
      <c r="B25" s="306"/>
      <c r="C25" s="305"/>
      <c r="D25" s="305"/>
      <c r="E25" s="305"/>
      <c r="F25" s="305"/>
      <c r="G25" s="248"/>
      <c r="H25" s="248"/>
      <c r="I25" s="159"/>
      <c r="J25" s="132"/>
      <c r="K25" s="132"/>
      <c r="L25" s="29"/>
    </row>
    <row r="26" spans="1:12" ht="11.25" customHeight="1">
      <c r="A26" s="25"/>
      <c r="B26" s="306"/>
      <c r="C26" s="305"/>
      <c r="D26" s="305"/>
      <c r="E26" s="305"/>
      <c r="F26" s="305"/>
      <c r="G26" s="248"/>
      <c r="H26" s="248"/>
      <c r="I26" s="159"/>
      <c r="J26" s="132"/>
      <c r="K26" s="132"/>
      <c r="L26" s="29"/>
    </row>
    <row r="27" spans="1:12" ht="11.25" customHeight="1">
      <c r="A27" s="25"/>
      <c r="B27" s="306"/>
      <c r="C27" s="305"/>
      <c r="D27" s="305"/>
      <c r="E27" s="305"/>
      <c r="F27" s="305"/>
      <c r="G27" s="248"/>
      <c r="H27" s="248"/>
      <c r="I27" s="159"/>
      <c r="J27" s="132"/>
      <c r="K27" s="132"/>
      <c r="L27" s="29"/>
    </row>
    <row r="28" spans="1:12" ht="11.25" customHeight="1">
      <c r="A28" s="25"/>
      <c r="B28" s="306"/>
      <c r="C28" s="305"/>
      <c r="D28" s="305"/>
      <c r="E28" s="305"/>
      <c r="F28" s="305"/>
      <c r="G28" s="248"/>
      <c r="H28" s="248"/>
      <c r="I28" s="159"/>
      <c r="J28" s="132"/>
      <c r="K28" s="132"/>
      <c r="L28" s="29"/>
    </row>
    <row r="29" spans="1:12" ht="11.25" customHeight="1">
      <c r="A29" s="25"/>
      <c r="B29" s="306"/>
      <c r="C29" s="305"/>
      <c r="D29" s="305"/>
      <c r="E29" s="305"/>
      <c r="F29" s="305"/>
      <c r="G29" s="248"/>
      <c r="H29" s="248"/>
      <c r="I29" s="159"/>
      <c r="J29" s="132"/>
      <c r="K29" s="132"/>
      <c r="L29" s="29"/>
    </row>
    <row r="30" spans="1:12" ht="11.25" customHeight="1">
      <c r="A30" s="25"/>
      <c r="B30" s="306"/>
      <c r="C30" s="305"/>
      <c r="D30" s="305"/>
      <c r="E30" s="305"/>
      <c r="F30" s="305"/>
      <c r="G30" s="248"/>
      <c r="H30" s="248"/>
      <c r="I30" s="159"/>
      <c r="J30" s="132"/>
      <c r="K30" s="132"/>
      <c r="L30" s="29"/>
    </row>
    <row r="31" spans="1:12" ht="11.25" customHeight="1">
      <c r="A31" s="25"/>
      <c r="B31" s="306"/>
      <c r="C31" s="305"/>
      <c r="D31" s="305"/>
      <c r="E31" s="305"/>
      <c r="F31" s="305"/>
      <c r="G31" s="248"/>
      <c r="H31" s="248"/>
      <c r="I31" s="159"/>
      <c r="J31" s="132"/>
      <c r="K31" s="132"/>
      <c r="L31" s="29"/>
    </row>
    <row r="32" spans="1:12" ht="11.25" customHeight="1">
      <c r="A32" s="25"/>
      <c r="B32" s="306"/>
      <c r="C32" s="305"/>
      <c r="D32" s="305"/>
      <c r="E32" s="305"/>
      <c r="F32" s="305"/>
      <c r="G32" s="248"/>
      <c r="H32" s="248"/>
      <c r="I32" s="159"/>
      <c r="J32" s="132"/>
      <c r="K32" s="132"/>
      <c r="L32" s="29"/>
    </row>
    <row r="33" spans="1:12" ht="11.25" customHeight="1">
      <c r="A33" s="25"/>
      <c r="B33" s="306"/>
      <c r="C33" s="305"/>
      <c r="D33" s="305"/>
      <c r="E33" s="305"/>
      <c r="F33" s="305"/>
      <c r="G33" s="248"/>
      <c r="H33" s="248"/>
      <c r="I33" s="159"/>
      <c r="J33" s="132"/>
      <c r="K33" s="132"/>
      <c r="L33" s="29"/>
    </row>
    <row r="34" spans="1:12" ht="11.25" customHeight="1">
      <c r="A34" s="25"/>
      <c r="B34" s="306"/>
      <c r="C34" s="305"/>
      <c r="D34" s="305"/>
      <c r="E34" s="305"/>
      <c r="F34" s="305"/>
      <c r="G34" s="248"/>
      <c r="H34" s="248"/>
      <c r="I34" s="159"/>
      <c r="J34" s="132"/>
      <c r="K34" s="132"/>
      <c r="L34" s="29"/>
    </row>
    <row r="35" spans="1:12" ht="23.25" customHeight="1">
      <c r="A35" s="949" t="s">
        <v>608</v>
      </c>
      <c r="B35" s="949"/>
      <c r="C35" s="949"/>
      <c r="D35" s="435"/>
      <c r="E35" s="952" t="s">
        <v>609</v>
      </c>
      <c r="F35" s="952"/>
      <c r="G35" s="952"/>
      <c r="H35" s="952"/>
      <c r="I35" s="952"/>
      <c r="J35" s="952"/>
      <c r="K35" s="307"/>
      <c r="L35" s="29"/>
    </row>
    <row r="36" spans="1:12" ht="11.25" customHeight="1">
      <c r="A36" s="25"/>
      <c r="B36" s="200"/>
      <c r="C36" s="200"/>
      <c r="D36" s="200"/>
      <c r="E36" s="200"/>
      <c r="F36" s="200"/>
      <c r="G36" s="253"/>
      <c r="H36" s="253"/>
      <c r="I36" s="253"/>
      <c r="J36" s="307"/>
      <c r="K36" s="307"/>
      <c r="L36" s="29"/>
    </row>
    <row r="37" spans="1:12" ht="6.75" customHeight="1">
      <c r="A37" s="25"/>
      <c r="B37" s="200"/>
      <c r="C37" s="200"/>
      <c r="D37" s="200"/>
      <c r="E37" s="200"/>
      <c r="F37" s="200"/>
      <c r="G37" s="253"/>
      <c r="H37" s="253"/>
      <c r="I37" s="253"/>
      <c r="J37" s="307"/>
      <c r="K37" s="307"/>
      <c r="L37" s="308"/>
    </row>
    <row r="38" spans="1:12" ht="11.25" customHeight="1">
      <c r="A38" s="951" t="str">
        <f>"ENERGIA INTERRUMPIDA APROXIMADA POR TIPO DE EQUIPO (MWh)  -  "&amp;UPPER('1. Resumen'!Q4)&amp;" "&amp;'1. Resumen'!Q5</f>
        <v>ENERGIA INTERRUMPIDA APROXIMADA POR TIPO DE EQUIPO (MWh)  -  ABRIL 2018</v>
      </c>
      <c r="B38" s="951"/>
      <c r="C38" s="951"/>
      <c r="D38" s="951"/>
      <c r="E38" s="951"/>
      <c r="F38" s="951"/>
      <c r="G38" s="951"/>
      <c r="H38" s="951"/>
      <c r="I38" s="951"/>
      <c r="J38" s="951"/>
      <c r="K38" s="307"/>
      <c r="L38" s="309"/>
    </row>
    <row r="39" spans="1:12" ht="11.25" customHeight="1">
      <c r="A39" s="25"/>
      <c r="B39" s="200"/>
      <c r="C39" s="200"/>
      <c r="D39" s="200"/>
      <c r="E39" s="200"/>
      <c r="F39" s="200"/>
      <c r="G39" s="253"/>
      <c r="H39" s="253"/>
      <c r="I39" s="253"/>
      <c r="J39" s="307"/>
      <c r="K39" s="307"/>
      <c r="L39" s="309"/>
    </row>
    <row r="40" spans="1:12" ht="11.25" customHeight="1">
      <c r="A40" s="25"/>
      <c r="B40" s="200"/>
      <c r="C40" s="253"/>
      <c r="D40" s="253"/>
      <c r="E40" s="253"/>
      <c r="F40" s="253"/>
      <c r="G40" s="253"/>
      <c r="H40" s="253"/>
      <c r="I40" s="253"/>
      <c r="J40" s="307"/>
      <c r="K40" s="307"/>
      <c r="L40" s="309"/>
    </row>
    <row r="41" spans="1:12" ht="11.25" customHeight="1">
      <c r="A41" s="25"/>
      <c r="B41" s="200"/>
      <c r="C41" s="253"/>
      <c r="D41" s="253"/>
      <c r="E41" s="253"/>
      <c r="F41" s="253"/>
      <c r="G41" s="253"/>
      <c r="H41" s="253"/>
    </row>
    <row r="42" spans="1:12" ht="12.75">
      <c r="A42" s="25"/>
      <c r="B42" s="200"/>
      <c r="J42" s="307"/>
      <c r="K42" s="307"/>
      <c r="L42" s="309"/>
    </row>
    <row r="43" spans="1:12" ht="12.75">
      <c r="A43" s="25"/>
      <c r="B43" s="200"/>
      <c r="C43" s="200"/>
      <c r="D43" s="200"/>
      <c r="E43" s="200"/>
      <c r="F43" s="200"/>
      <c r="G43" s="253"/>
      <c r="H43" s="253"/>
      <c r="I43" s="253"/>
      <c r="J43" s="307"/>
      <c r="K43" s="307"/>
      <c r="L43" s="309"/>
    </row>
    <row r="44" spans="1:12" ht="12.75">
      <c r="A44" s="25"/>
      <c r="B44" s="200"/>
      <c r="C44" s="200"/>
      <c r="D44" s="200"/>
      <c r="E44" s="200"/>
      <c r="F44" s="200"/>
      <c r="G44" s="253"/>
      <c r="H44" s="253"/>
      <c r="I44" s="253"/>
      <c r="J44" s="307"/>
      <c r="K44" s="307"/>
      <c r="L44" s="309"/>
    </row>
    <row r="45" spans="1:12" ht="12.75">
      <c r="A45" s="25"/>
      <c r="B45" s="200"/>
      <c r="C45" s="200"/>
      <c r="D45" s="200"/>
      <c r="E45" s="200"/>
      <c r="F45" s="200"/>
      <c r="G45" s="253"/>
      <c r="H45" s="253"/>
      <c r="I45" s="253"/>
      <c r="J45" s="307"/>
      <c r="K45" s="307"/>
      <c r="L45" s="309"/>
    </row>
    <row r="46" spans="1:12" ht="12.75">
      <c r="A46" s="25"/>
      <c r="B46" s="200"/>
      <c r="C46" s="200"/>
      <c r="D46" s="200"/>
      <c r="E46" s="200"/>
      <c r="F46" s="200"/>
      <c r="G46" s="253"/>
      <c r="H46" s="253"/>
      <c r="I46" s="253"/>
      <c r="J46" s="307"/>
      <c r="K46" s="307"/>
      <c r="L46" s="309"/>
    </row>
    <row r="47" spans="1:12" ht="12.75">
      <c r="A47" s="206"/>
      <c r="B47" s="253"/>
      <c r="C47" s="253"/>
      <c r="D47" s="253"/>
      <c r="E47" s="253"/>
      <c r="F47" s="253"/>
      <c r="G47" s="253"/>
      <c r="H47" s="253"/>
      <c r="I47" s="253"/>
      <c r="J47" s="307"/>
      <c r="K47" s="307"/>
      <c r="L47" s="309"/>
    </row>
    <row r="48" spans="1:12" ht="12.75">
      <c r="A48" s="206"/>
      <c r="B48" s="253"/>
      <c r="C48" s="253"/>
      <c r="D48" s="253"/>
      <c r="E48" s="253"/>
      <c r="F48" s="253"/>
      <c r="G48" s="253"/>
      <c r="H48" s="253"/>
      <c r="I48" s="253"/>
      <c r="J48" s="307"/>
      <c r="K48" s="307"/>
      <c r="L48" s="309"/>
    </row>
    <row r="49" spans="1:12" ht="12.75">
      <c r="A49" s="206"/>
      <c r="B49" s="253"/>
      <c r="C49" s="253"/>
      <c r="D49" s="253"/>
      <c r="E49" s="253"/>
      <c r="F49" s="253"/>
      <c r="G49" s="253"/>
      <c r="H49" s="253"/>
      <c r="I49" s="253"/>
      <c r="J49" s="307"/>
      <c r="K49" s="307"/>
      <c r="L49" s="309"/>
    </row>
    <row r="50" spans="1:12" ht="12.75">
      <c r="A50" s="206"/>
      <c r="B50" s="253"/>
      <c r="C50" s="253"/>
      <c r="D50" s="253"/>
      <c r="E50" s="253"/>
      <c r="F50" s="253"/>
      <c r="G50" s="253"/>
      <c r="H50" s="253"/>
      <c r="I50" s="253"/>
      <c r="J50" s="307"/>
      <c r="K50" s="307"/>
      <c r="L50" s="309"/>
    </row>
    <row r="51" spans="1:12" ht="12.75">
      <c r="A51" s="206"/>
      <c r="B51" s="253"/>
      <c r="C51" s="253"/>
      <c r="D51" s="253"/>
      <c r="E51" s="253"/>
      <c r="F51" s="253"/>
      <c r="G51" s="253"/>
      <c r="H51" s="253"/>
      <c r="I51" s="253"/>
      <c r="J51" s="307"/>
      <c r="K51" s="307"/>
      <c r="L51" s="309"/>
    </row>
    <row r="52" spans="1:12" ht="12.75">
      <c r="A52" s="206"/>
      <c r="B52" s="253"/>
      <c r="C52" s="253"/>
      <c r="D52" s="253"/>
      <c r="E52" s="253"/>
      <c r="F52" s="253"/>
      <c r="G52" s="253"/>
      <c r="H52" s="253"/>
      <c r="I52" s="253"/>
      <c r="J52" s="307"/>
      <c r="K52" s="307"/>
      <c r="L52" s="309"/>
    </row>
    <row r="53" spans="1:12">
      <c r="A53" s="436" t="str">
        <f>"Gráfico N°26: Comparación de la energía interrumpida aproximada por tipo de equipo en "&amp;'1. Resumen'!Q4&amp;" "&amp;'1. Resumen'!Q5</f>
        <v>Gráfico N°26: Comparación de la energía interrumpida aproximada por tipo de equipo en abril 2018</v>
      </c>
      <c r="B53" s="253"/>
      <c r="C53" s="253"/>
      <c r="D53" s="253"/>
      <c r="E53" s="253"/>
      <c r="F53" s="253"/>
      <c r="G53" s="253"/>
      <c r="H53" s="253"/>
      <c r="I53" s="253"/>
      <c r="J53" s="307"/>
      <c r="K53" s="307"/>
      <c r="L53" s="309"/>
    </row>
    <row r="54" spans="1:12">
      <c r="A54" s="3"/>
      <c r="B54" s="253"/>
      <c r="C54" s="253"/>
      <c r="D54" s="253"/>
      <c r="E54" s="253"/>
      <c r="F54" s="253"/>
      <c r="G54" s="253"/>
      <c r="H54" s="253"/>
      <c r="I54" s="253"/>
      <c r="J54" s="307"/>
      <c r="K54" s="307"/>
      <c r="L54" s="309"/>
    </row>
    <row r="55" spans="1:12" ht="24.75" customHeight="1">
      <c r="A55" s="947" t="s">
        <v>230</v>
      </c>
      <c r="B55" s="947"/>
      <c r="C55" s="947"/>
      <c r="D55" s="947"/>
      <c r="E55" s="947"/>
      <c r="F55" s="947"/>
      <c r="G55" s="947"/>
      <c r="H55" s="947"/>
      <c r="I55" s="947"/>
      <c r="J55" s="947"/>
      <c r="K55" s="307"/>
      <c r="L55" s="309"/>
    </row>
    <row r="56" spans="1:12" ht="11.25" customHeight="1">
      <c r="A56" s="948" t="s">
        <v>231</v>
      </c>
      <c r="B56" s="948"/>
      <c r="C56" s="948"/>
      <c r="D56" s="948"/>
      <c r="E56" s="948"/>
      <c r="F56" s="948"/>
      <c r="G56" s="948"/>
      <c r="H56" s="948"/>
      <c r="I56" s="948"/>
      <c r="J56" s="948"/>
      <c r="K56" s="307"/>
      <c r="L56" s="309"/>
    </row>
    <row r="57" spans="1:12" ht="12.75">
      <c r="A57" s="206"/>
      <c r="B57" s="253"/>
      <c r="C57" s="253"/>
      <c r="D57" s="253"/>
      <c r="E57" s="253"/>
      <c r="F57" s="253"/>
      <c r="G57" s="253"/>
      <c r="H57" s="253"/>
      <c r="I57" s="253"/>
      <c r="J57" s="307"/>
      <c r="K57" s="307"/>
      <c r="L57" s="309"/>
    </row>
    <row r="58" spans="1:12" ht="12.75">
      <c r="A58" s="206"/>
      <c r="B58" s="253"/>
      <c r="C58" s="253"/>
      <c r="D58" s="253"/>
      <c r="E58" s="253"/>
      <c r="F58" s="253"/>
      <c r="G58" s="253"/>
      <c r="H58" s="253"/>
      <c r="I58" s="253"/>
      <c r="J58" s="307"/>
      <c r="K58" s="307"/>
      <c r="L58" s="309"/>
    </row>
    <row r="59" spans="1:12" ht="12.75">
      <c r="A59" s="206"/>
      <c r="B59" s="253"/>
      <c r="C59" s="253"/>
      <c r="D59" s="253"/>
      <c r="E59" s="253"/>
      <c r="F59" s="253"/>
      <c r="G59" s="253"/>
      <c r="H59" s="253"/>
      <c r="I59" s="253"/>
      <c r="J59" s="307"/>
      <c r="K59" s="307"/>
      <c r="L59" s="309"/>
    </row>
    <row r="60" spans="1:12" ht="12.75">
      <c r="A60" s="206"/>
      <c r="B60" s="253"/>
      <c r="C60" s="253"/>
      <c r="D60" s="253"/>
      <c r="E60" s="253"/>
      <c r="F60" s="253"/>
      <c r="G60" s="253"/>
      <c r="H60" s="253"/>
      <c r="I60" s="253"/>
      <c r="J60" s="307"/>
      <c r="K60" s="307"/>
      <c r="L60" s="309"/>
    </row>
    <row r="61" spans="1:12" ht="12.75">
      <c r="A61" s="206"/>
      <c r="B61" s="253"/>
      <c r="C61" s="253"/>
      <c r="D61" s="253"/>
      <c r="E61" s="253"/>
      <c r="F61" s="253"/>
      <c r="G61" s="253"/>
      <c r="H61" s="253"/>
      <c r="I61" s="253"/>
      <c r="J61" s="307"/>
      <c r="K61" s="307"/>
      <c r="L61" s="309"/>
    </row>
    <row r="62" spans="1:12" ht="12.75">
      <c r="A62" s="206"/>
      <c r="B62" s="253"/>
      <c r="C62" s="253"/>
      <c r="D62" s="253"/>
      <c r="E62" s="253"/>
      <c r="F62" s="253"/>
      <c r="G62" s="253"/>
      <c r="H62" s="253"/>
      <c r="I62" s="253"/>
      <c r="J62" s="307"/>
      <c r="K62" s="307"/>
      <c r="L62" s="309"/>
    </row>
    <row r="63" spans="1:12" ht="12.75">
      <c r="A63" s="206"/>
      <c r="B63" s="253"/>
      <c r="C63" s="253"/>
      <c r="D63" s="253"/>
      <c r="E63" s="253"/>
      <c r="F63" s="253"/>
      <c r="G63" s="253"/>
      <c r="H63" s="253"/>
      <c r="I63" s="253"/>
      <c r="J63" s="307"/>
      <c r="K63" s="307"/>
      <c r="L63" s="309"/>
    </row>
    <row r="64" spans="1:12" ht="12.75">
      <c r="A64" s="206"/>
      <c r="B64" s="253"/>
      <c r="C64" s="253"/>
      <c r="D64" s="253"/>
      <c r="E64" s="253"/>
      <c r="F64" s="253"/>
      <c r="G64" s="253"/>
      <c r="H64" s="253"/>
      <c r="I64" s="253"/>
      <c r="J64" s="307"/>
      <c r="K64" s="307"/>
      <c r="L64" s="309"/>
    </row>
    <row r="65" spans="1:12" ht="12.75">
      <c r="A65" s="206"/>
      <c r="B65" s="253"/>
      <c r="C65" s="253"/>
      <c r="D65" s="253"/>
      <c r="E65" s="253"/>
      <c r="F65" s="253"/>
      <c r="G65" s="253"/>
      <c r="H65" s="253"/>
      <c r="I65" s="253"/>
      <c r="J65" s="307"/>
      <c r="K65" s="307"/>
      <c r="L65" s="309"/>
    </row>
    <row r="66" spans="1:12" ht="12.75">
      <c r="A66" s="206"/>
      <c r="B66" s="253"/>
      <c r="C66" s="253"/>
      <c r="D66" s="253"/>
      <c r="E66" s="253"/>
      <c r="F66" s="253"/>
      <c r="G66" s="253"/>
      <c r="H66" s="253"/>
      <c r="I66" s="253"/>
      <c r="J66" s="307"/>
      <c r="K66" s="307"/>
      <c r="L66" s="309"/>
    </row>
    <row r="67" spans="1:12" ht="12.75">
      <c r="A67" s="206"/>
      <c r="B67" s="253"/>
      <c r="C67" s="3"/>
      <c r="D67" s="3"/>
      <c r="E67" s="3"/>
      <c r="F67" s="3"/>
      <c r="G67" s="3"/>
      <c r="H67" s="3"/>
      <c r="I67" s="3"/>
      <c r="J67" s="307"/>
      <c r="K67" s="307"/>
      <c r="L67" s="309"/>
    </row>
    <row r="68" spans="1:12" ht="12.75">
      <c r="A68" s="206"/>
      <c r="B68" s="253"/>
      <c r="C68" s="3"/>
      <c r="D68" s="3"/>
      <c r="E68" s="3"/>
      <c r="F68" s="3"/>
      <c r="G68" s="3"/>
      <c r="H68" s="3"/>
      <c r="I68" s="3"/>
      <c r="J68" s="307"/>
      <c r="K68" s="307"/>
      <c r="L68" s="309"/>
    </row>
    <row r="69" spans="1:12" ht="12.75">
      <c r="A69" s="206"/>
      <c r="B69" s="253"/>
      <c r="C69" s="3"/>
      <c r="D69" s="3"/>
      <c r="E69" s="3"/>
      <c r="F69" s="3"/>
      <c r="G69" s="3"/>
      <c r="H69" s="3"/>
      <c r="I69" s="3"/>
      <c r="J69" s="307"/>
      <c r="K69" s="307"/>
      <c r="L69" s="309"/>
    </row>
    <row r="70" spans="1:12" ht="12.75">
      <c r="A70" s="206"/>
      <c r="B70" s="253"/>
      <c r="C70" s="3"/>
      <c r="D70" s="3"/>
      <c r="E70" s="3"/>
      <c r="F70" s="3"/>
      <c r="G70" s="3"/>
      <c r="H70" s="3"/>
      <c r="I70" s="3"/>
      <c r="J70" s="307"/>
      <c r="K70" s="307"/>
      <c r="L70" s="309"/>
    </row>
    <row r="71" spans="1:12">
      <c r="B71" s="309"/>
      <c r="C71" s="309"/>
      <c r="D71" s="309"/>
      <c r="E71" s="309"/>
      <c r="F71" s="309"/>
      <c r="G71" s="309"/>
      <c r="H71" s="309"/>
      <c r="I71" s="309"/>
      <c r="J71" s="309"/>
      <c r="K71" s="309"/>
      <c r="L71" s="309"/>
    </row>
    <row r="72" spans="1:12">
      <c r="B72" s="309"/>
      <c r="C72" s="309"/>
      <c r="D72" s="309"/>
      <c r="E72" s="309"/>
      <c r="F72" s="309"/>
      <c r="G72" s="309"/>
      <c r="H72" s="309"/>
      <c r="I72" s="309"/>
      <c r="J72" s="309"/>
      <c r="K72" s="309"/>
      <c r="L72" s="309"/>
    </row>
    <row r="73" spans="1:12">
      <c r="B73" s="309"/>
      <c r="C73" s="309"/>
      <c r="D73" s="309"/>
      <c r="E73" s="309"/>
      <c r="F73" s="309"/>
      <c r="G73" s="309"/>
      <c r="H73" s="309"/>
      <c r="I73" s="309"/>
      <c r="J73" s="309"/>
      <c r="K73" s="309"/>
      <c r="L73" s="309"/>
    </row>
    <row r="74" spans="1:12">
      <c r="B74" s="309"/>
      <c r="C74" s="309"/>
      <c r="D74" s="309"/>
      <c r="E74" s="309"/>
      <c r="F74" s="309"/>
      <c r="G74" s="309"/>
      <c r="H74" s="309"/>
      <c r="I74" s="309"/>
      <c r="J74" s="309"/>
      <c r="K74" s="309"/>
      <c r="L74" s="309"/>
    </row>
    <row r="75" spans="1:12">
      <c r="B75" s="309"/>
      <c r="C75" s="309"/>
      <c r="D75" s="309"/>
      <c r="E75" s="309"/>
      <c r="F75" s="309"/>
      <c r="G75" s="309"/>
      <c r="H75" s="309"/>
      <c r="I75" s="309"/>
      <c r="J75" s="309"/>
      <c r="K75" s="309"/>
      <c r="L75" s="309"/>
    </row>
    <row r="76" spans="1:12">
      <c r="B76" s="309"/>
      <c r="C76" s="309"/>
      <c r="D76" s="309"/>
      <c r="E76" s="309"/>
      <c r="F76" s="309"/>
      <c r="G76" s="309"/>
      <c r="H76" s="309"/>
      <c r="I76" s="309"/>
      <c r="J76" s="309"/>
      <c r="K76" s="309"/>
      <c r="L76" s="309"/>
    </row>
    <row r="77" spans="1:12">
      <c r="B77" s="309"/>
      <c r="C77" s="309"/>
      <c r="D77" s="309"/>
      <c r="E77" s="309"/>
      <c r="F77" s="309"/>
      <c r="G77" s="309"/>
      <c r="H77" s="309"/>
      <c r="I77" s="309"/>
      <c r="J77" s="309"/>
      <c r="K77" s="309"/>
      <c r="L77" s="309"/>
    </row>
    <row r="78" spans="1:12">
      <c r="B78" s="309"/>
      <c r="C78" s="309"/>
      <c r="D78" s="309"/>
      <c r="E78" s="309"/>
      <c r="F78" s="309"/>
      <c r="G78" s="309"/>
      <c r="H78" s="309"/>
      <c r="I78" s="309"/>
      <c r="J78" s="309"/>
      <c r="K78" s="309"/>
      <c r="L78" s="309"/>
    </row>
    <row r="79" spans="1:12">
      <c r="B79" s="309"/>
      <c r="C79" s="309"/>
      <c r="D79" s="309"/>
      <c r="E79" s="309"/>
      <c r="F79" s="309"/>
      <c r="G79" s="309"/>
      <c r="H79" s="309"/>
      <c r="I79" s="309"/>
      <c r="J79" s="309"/>
      <c r="K79" s="309"/>
      <c r="L79" s="309"/>
    </row>
    <row r="80" spans="1:12">
      <c r="B80" s="309"/>
      <c r="C80" s="309"/>
      <c r="D80" s="309"/>
      <c r="E80" s="309"/>
      <c r="F80" s="309"/>
      <c r="G80" s="309"/>
      <c r="H80" s="309"/>
      <c r="I80" s="309"/>
      <c r="J80" s="309"/>
      <c r="K80" s="309"/>
      <c r="L80" s="309"/>
    </row>
    <row r="81" spans="2:12">
      <c r="B81" s="309"/>
      <c r="C81" s="309"/>
      <c r="D81" s="309"/>
      <c r="E81" s="309"/>
      <c r="F81" s="309"/>
      <c r="G81" s="309"/>
      <c r="H81" s="309"/>
      <c r="I81" s="309"/>
      <c r="J81" s="309"/>
      <c r="K81" s="309"/>
      <c r="L81" s="309"/>
    </row>
    <row r="82" spans="2:12">
      <c r="B82" s="309"/>
      <c r="C82" s="309"/>
      <c r="D82" s="309"/>
      <c r="E82" s="309"/>
      <c r="F82" s="309"/>
      <c r="G82" s="309"/>
      <c r="H82" s="309"/>
      <c r="I82" s="309"/>
      <c r="J82" s="309"/>
      <c r="K82" s="309"/>
      <c r="L82" s="309"/>
    </row>
    <row r="83" spans="2:12">
      <c r="B83" s="309"/>
      <c r="C83" s="309"/>
      <c r="D83" s="309"/>
      <c r="E83" s="309"/>
      <c r="F83" s="309"/>
      <c r="G83" s="309"/>
      <c r="H83" s="309"/>
      <c r="I83" s="309"/>
      <c r="J83" s="309"/>
      <c r="K83" s="309"/>
      <c r="L83" s="309"/>
    </row>
    <row r="84" spans="2:12">
      <c r="B84" s="309"/>
      <c r="C84" s="309"/>
      <c r="D84" s="309"/>
      <c r="E84" s="309"/>
      <c r="F84" s="309"/>
      <c r="G84" s="309"/>
      <c r="H84" s="309"/>
      <c r="I84" s="309"/>
      <c r="J84" s="309"/>
      <c r="K84" s="309"/>
      <c r="L84" s="309"/>
    </row>
    <row r="85" spans="2:12">
      <c r="B85" s="309"/>
      <c r="C85" s="309"/>
      <c r="D85" s="309"/>
      <c r="E85" s="309"/>
      <c r="F85" s="309"/>
      <c r="G85" s="309"/>
      <c r="H85" s="309"/>
      <c r="I85" s="309"/>
      <c r="J85" s="309"/>
      <c r="K85" s="309"/>
      <c r="L85" s="309"/>
    </row>
    <row r="86" spans="2:12">
      <c r="B86" s="309"/>
      <c r="C86" s="309"/>
      <c r="D86" s="309"/>
      <c r="E86" s="309"/>
      <c r="F86" s="309"/>
      <c r="G86" s="309"/>
      <c r="H86" s="309"/>
      <c r="I86" s="309"/>
      <c r="J86" s="309"/>
      <c r="K86" s="309"/>
      <c r="L86" s="309"/>
    </row>
    <row r="87" spans="2:12">
      <c r="B87" s="309"/>
      <c r="C87" s="309"/>
      <c r="D87" s="309"/>
      <c r="E87" s="309"/>
      <c r="F87" s="309"/>
      <c r="G87" s="309"/>
      <c r="H87" s="309"/>
      <c r="I87" s="309"/>
      <c r="J87" s="309"/>
      <c r="K87" s="309"/>
      <c r="L87" s="309"/>
    </row>
    <row r="88" spans="2:12">
      <c r="B88" s="309"/>
      <c r="C88" s="309"/>
      <c r="D88" s="309"/>
      <c r="E88" s="309"/>
      <c r="F88" s="309"/>
      <c r="G88" s="309"/>
      <c r="H88" s="309"/>
      <c r="I88" s="309"/>
      <c r="J88" s="309"/>
      <c r="K88" s="309"/>
      <c r="L88" s="309"/>
    </row>
    <row r="89" spans="2:12">
      <c r="B89" s="309"/>
      <c r="C89" s="309"/>
      <c r="D89" s="309"/>
      <c r="E89" s="309"/>
      <c r="F89" s="309"/>
      <c r="G89" s="309"/>
      <c r="H89" s="309"/>
      <c r="I89" s="309"/>
      <c r="J89" s="309"/>
      <c r="K89" s="309"/>
      <c r="L89" s="309"/>
    </row>
    <row r="90" spans="2:12">
      <c r="B90" s="309"/>
      <c r="C90" s="309"/>
      <c r="D90" s="309"/>
      <c r="E90" s="309"/>
      <c r="F90" s="309"/>
      <c r="G90" s="309"/>
      <c r="H90" s="309"/>
      <c r="I90" s="309"/>
      <c r="J90" s="309"/>
      <c r="K90" s="309"/>
      <c r="L90" s="309"/>
    </row>
    <row r="91" spans="2:12">
      <c r="B91" s="309"/>
      <c r="C91" s="309"/>
      <c r="D91" s="309"/>
      <c r="E91" s="309"/>
      <c r="F91" s="309"/>
      <c r="G91" s="309"/>
      <c r="H91" s="309"/>
      <c r="I91" s="309"/>
      <c r="J91" s="309"/>
      <c r="K91" s="309"/>
      <c r="L91" s="309"/>
    </row>
    <row r="92" spans="2:12">
      <c r="B92" s="309"/>
      <c r="C92" s="309"/>
      <c r="D92" s="309"/>
      <c r="E92" s="309"/>
      <c r="F92" s="309"/>
      <c r="G92" s="309"/>
      <c r="H92" s="309"/>
      <c r="I92" s="309"/>
      <c r="J92" s="309"/>
      <c r="K92" s="309"/>
      <c r="L92" s="309"/>
    </row>
    <row r="93" spans="2:12">
      <c r="B93" s="309"/>
      <c r="C93" s="309"/>
      <c r="D93" s="309"/>
      <c r="E93" s="309"/>
      <c r="F93" s="309"/>
      <c r="G93" s="309"/>
      <c r="H93" s="309"/>
      <c r="I93" s="309"/>
      <c r="J93" s="309"/>
      <c r="K93" s="309"/>
      <c r="L93" s="309"/>
    </row>
    <row r="94" spans="2:12">
      <c r="B94" s="309"/>
      <c r="C94" s="309"/>
      <c r="D94" s="309"/>
      <c r="E94" s="309"/>
      <c r="F94" s="309"/>
      <c r="G94" s="309"/>
      <c r="H94" s="309"/>
      <c r="I94" s="309"/>
      <c r="J94" s="309"/>
      <c r="K94" s="309"/>
      <c r="L94" s="309"/>
    </row>
    <row r="95" spans="2:12">
      <c r="B95" s="309"/>
      <c r="C95" s="309"/>
      <c r="D95" s="309"/>
      <c r="E95" s="309"/>
      <c r="F95" s="309"/>
      <c r="G95" s="309"/>
      <c r="H95" s="309"/>
      <c r="I95" s="309"/>
      <c r="J95" s="309"/>
      <c r="K95" s="309"/>
      <c r="L95" s="309"/>
    </row>
    <row r="96" spans="2:12">
      <c r="B96" s="309"/>
      <c r="C96" s="309"/>
      <c r="D96" s="309"/>
      <c r="E96" s="309"/>
      <c r="F96" s="309"/>
      <c r="G96" s="309"/>
      <c r="H96" s="309"/>
      <c r="I96" s="309"/>
      <c r="J96" s="309"/>
      <c r="K96" s="309"/>
      <c r="L96" s="309"/>
    </row>
    <row r="97" spans="2:12">
      <c r="B97" s="309"/>
      <c r="C97" s="309"/>
      <c r="D97" s="309"/>
      <c r="E97" s="309"/>
      <c r="F97" s="309"/>
      <c r="G97" s="309"/>
      <c r="H97" s="309"/>
      <c r="I97" s="309"/>
      <c r="J97" s="309"/>
      <c r="K97" s="309"/>
      <c r="L97" s="309"/>
    </row>
    <row r="98" spans="2:12">
      <c r="B98" s="309"/>
      <c r="C98" s="309"/>
      <c r="D98" s="309"/>
      <c r="E98" s="309"/>
      <c r="F98" s="309"/>
      <c r="G98" s="309"/>
      <c r="H98" s="309"/>
      <c r="I98" s="309"/>
      <c r="J98" s="309"/>
      <c r="K98" s="309"/>
      <c r="L98" s="309"/>
    </row>
    <row r="99" spans="2:12">
      <c r="B99" s="309"/>
      <c r="C99" s="309"/>
      <c r="D99" s="309"/>
      <c r="E99" s="309"/>
      <c r="F99" s="309"/>
      <c r="G99" s="309"/>
      <c r="H99" s="309"/>
      <c r="I99" s="309"/>
      <c r="J99" s="309"/>
      <c r="K99" s="309"/>
      <c r="L99" s="309"/>
    </row>
    <row r="100" spans="2:12">
      <c r="B100" s="309"/>
      <c r="C100" s="309"/>
      <c r="D100" s="309"/>
      <c r="E100" s="309"/>
      <c r="F100" s="309"/>
      <c r="G100" s="309"/>
      <c r="H100" s="309"/>
      <c r="I100" s="309"/>
      <c r="J100" s="309"/>
      <c r="K100" s="309"/>
      <c r="L100" s="309"/>
    </row>
    <row r="101" spans="2:12">
      <c r="B101" s="309"/>
      <c r="C101" s="309"/>
      <c r="D101" s="309"/>
      <c r="E101" s="309"/>
      <c r="F101" s="309"/>
      <c r="G101" s="309"/>
      <c r="H101" s="309"/>
      <c r="I101" s="309"/>
      <c r="J101" s="309"/>
      <c r="K101" s="309"/>
      <c r="L101" s="309"/>
    </row>
    <row r="102" spans="2:12">
      <c r="B102" s="309"/>
      <c r="C102" s="309"/>
      <c r="D102" s="309"/>
      <c r="E102" s="309"/>
      <c r="F102" s="309"/>
      <c r="G102" s="309"/>
      <c r="H102" s="309"/>
      <c r="I102" s="309"/>
      <c r="J102" s="309"/>
      <c r="K102" s="309"/>
      <c r="L102" s="309"/>
    </row>
    <row r="103" spans="2:12">
      <c r="B103" s="309"/>
      <c r="C103" s="309"/>
      <c r="D103" s="309"/>
      <c r="E103" s="309"/>
      <c r="F103" s="309"/>
      <c r="G103" s="309"/>
      <c r="H103" s="309"/>
      <c r="I103" s="309"/>
      <c r="J103" s="309"/>
      <c r="K103" s="309"/>
      <c r="L103" s="309"/>
    </row>
    <row r="104" spans="2:12">
      <c r="B104" s="309"/>
      <c r="C104" s="309"/>
      <c r="D104" s="309"/>
      <c r="E104" s="309"/>
      <c r="F104" s="309"/>
      <c r="G104" s="309"/>
      <c r="H104" s="309"/>
      <c r="I104" s="309"/>
      <c r="J104" s="309"/>
      <c r="K104" s="309"/>
      <c r="L104" s="309"/>
    </row>
    <row r="105" spans="2:12">
      <c r="B105" s="309"/>
      <c r="C105" s="309"/>
      <c r="D105" s="309"/>
      <c r="E105" s="309"/>
      <c r="F105" s="309"/>
      <c r="G105" s="309"/>
      <c r="H105" s="309"/>
      <c r="I105" s="309"/>
      <c r="J105" s="309"/>
      <c r="K105" s="309"/>
      <c r="L105" s="309"/>
    </row>
    <row r="106" spans="2:12">
      <c r="B106" s="309"/>
      <c r="C106" s="309"/>
      <c r="D106" s="309"/>
      <c r="E106" s="309"/>
      <c r="F106" s="309"/>
      <c r="G106" s="309"/>
      <c r="H106" s="309"/>
      <c r="I106" s="309"/>
      <c r="J106" s="309"/>
      <c r="K106" s="309"/>
      <c r="L106" s="309"/>
    </row>
    <row r="107" spans="2:12">
      <c r="B107" s="309"/>
      <c r="C107" s="309"/>
      <c r="D107" s="309"/>
      <c r="E107" s="309"/>
      <c r="F107" s="309"/>
      <c r="G107" s="309"/>
      <c r="H107" s="309"/>
      <c r="I107" s="309"/>
      <c r="J107" s="309"/>
      <c r="K107" s="309"/>
      <c r="L107" s="309"/>
    </row>
    <row r="108" spans="2:12">
      <c r="B108" s="309"/>
      <c r="C108" s="309"/>
      <c r="D108" s="309"/>
      <c r="E108" s="309"/>
      <c r="F108" s="309"/>
      <c r="G108" s="309"/>
      <c r="H108" s="309"/>
      <c r="I108" s="309"/>
      <c r="J108" s="309"/>
      <c r="K108" s="309"/>
      <c r="L108" s="309"/>
    </row>
    <row r="109" spans="2:12">
      <c r="B109" s="309"/>
      <c r="C109" s="309"/>
      <c r="D109" s="309"/>
      <c r="E109" s="309"/>
      <c r="F109" s="309"/>
      <c r="G109" s="309"/>
      <c r="H109" s="309"/>
      <c r="I109" s="309"/>
      <c r="J109" s="309"/>
      <c r="K109" s="309"/>
      <c r="L109" s="309"/>
    </row>
    <row r="110" spans="2:12">
      <c r="B110" s="309"/>
      <c r="C110" s="309"/>
      <c r="D110" s="309"/>
      <c r="E110" s="309"/>
      <c r="F110" s="309"/>
      <c r="G110" s="309"/>
      <c r="H110" s="309"/>
      <c r="I110" s="309"/>
      <c r="J110" s="309"/>
      <c r="K110" s="309"/>
      <c r="L110" s="309"/>
    </row>
    <row r="111" spans="2:12">
      <c r="B111" s="309"/>
      <c r="C111" s="309"/>
      <c r="D111" s="309"/>
      <c r="E111" s="309"/>
      <c r="F111" s="309"/>
      <c r="G111" s="309"/>
      <c r="H111" s="309"/>
      <c r="I111" s="309"/>
      <c r="J111" s="309"/>
      <c r="K111" s="309"/>
      <c r="L111" s="309"/>
    </row>
    <row r="112" spans="2:12">
      <c r="B112" s="309"/>
      <c r="C112" s="309"/>
      <c r="D112" s="309"/>
      <c r="E112" s="309"/>
      <c r="F112" s="309"/>
      <c r="G112" s="309"/>
      <c r="H112" s="309"/>
      <c r="I112" s="309"/>
      <c r="J112" s="309"/>
      <c r="K112" s="309"/>
      <c r="L112" s="309"/>
    </row>
    <row r="113" spans="2:12">
      <c r="B113" s="309"/>
      <c r="C113" s="309"/>
      <c r="D113" s="309"/>
      <c r="E113" s="309"/>
      <c r="F113" s="309"/>
      <c r="G113" s="309"/>
      <c r="H113" s="309"/>
      <c r="I113" s="309"/>
      <c r="J113" s="309"/>
      <c r="K113" s="309"/>
      <c r="L113" s="309"/>
    </row>
    <row r="114" spans="2:12">
      <c r="B114" s="309"/>
      <c r="C114" s="309"/>
      <c r="D114" s="309"/>
      <c r="E114" s="309"/>
      <c r="F114" s="309"/>
      <c r="G114" s="309"/>
      <c r="H114" s="309"/>
      <c r="I114" s="309"/>
      <c r="J114" s="309"/>
      <c r="K114" s="309"/>
      <c r="L114" s="309"/>
    </row>
    <row r="115" spans="2:12">
      <c r="B115" s="309"/>
      <c r="C115" s="309"/>
      <c r="D115" s="309"/>
      <c r="E115" s="309"/>
      <c r="F115" s="309"/>
      <c r="G115" s="309"/>
      <c r="H115" s="309"/>
      <c r="I115" s="309"/>
      <c r="J115" s="309"/>
      <c r="K115" s="309"/>
      <c r="L115" s="309"/>
    </row>
    <row r="116" spans="2:12">
      <c r="B116" s="309"/>
      <c r="C116" s="309"/>
      <c r="D116" s="309"/>
      <c r="E116" s="309"/>
      <c r="F116" s="309"/>
      <c r="G116" s="309"/>
      <c r="H116" s="309"/>
      <c r="I116" s="309"/>
      <c r="J116" s="309"/>
      <c r="K116" s="309"/>
      <c r="L116" s="309"/>
    </row>
    <row r="117" spans="2:12">
      <c r="B117" s="309"/>
      <c r="C117" s="309"/>
      <c r="D117" s="309"/>
      <c r="E117" s="309"/>
      <c r="F117" s="309"/>
      <c r="G117" s="309"/>
      <c r="H117" s="309"/>
      <c r="I117" s="309"/>
      <c r="J117" s="309"/>
      <c r="K117" s="309"/>
      <c r="L117" s="309"/>
    </row>
    <row r="118" spans="2:12">
      <c r="B118" s="309"/>
      <c r="C118" s="309"/>
      <c r="D118" s="309"/>
      <c r="E118" s="309"/>
      <c r="F118" s="309"/>
      <c r="G118" s="309"/>
      <c r="H118" s="309"/>
      <c r="I118" s="309"/>
      <c r="J118" s="309"/>
      <c r="K118" s="309"/>
      <c r="L118" s="309"/>
    </row>
    <row r="119" spans="2:12">
      <c r="B119" s="309"/>
      <c r="C119" s="309"/>
      <c r="D119" s="309"/>
      <c r="E119" s="309"/>
      <c r="F119" s="309"/>
      <c r="G119" s="309"/>
      <c r="H119" s="309"/>
      <c r="I119" s="309"/>
      <c r="J119" s="309"/>
      <c r="K119" s="309"/>
      <c r="L119" s="309"/>
    </row>
    <row r="120" spans="2:12">
      <c r="B120" s="309"/>
      <c r="C120" s="309"/>
      <c r="D120" s="309"/>
      <c r="E120" s="309"/>
      <c r="F120" s="309"/>
      <c r="G120" s="309"/>
      <c r="H120" s="309"/>
      <c r="I120" s="309"/>
      <c r="J120" s="309"/>
      <c r="K120" s="309"/>
      <c r="L120" s="309"/>
    </row>
    <row r="121" spans="2:12">
      <c r="B121" s="309"/>
      <c r="C121" s="309"/>
      <c r="D121" s="309"/>
      <c r="E121" s="309"/>
      <c r="F121" s="309"/>
      <c r="G121" s="309"/>
      <c r="H121" s="309"/>
      <c r="I121" s="309"/>
      <c r="J121" s="309"/>
      <c r="K121" s="309"/>
      <c r="L121" s="309"/>
    </row>
    <row r="122" spans="2:12">
      <c r="B122" s="309"/>
      <c r="C122" s="309"/>
      <c r="D122" s="309"/>
      <c r="E122" s="309"/>
      <c r="F122" s="309"/>
      <c r="G122" s="309"/>
      <c r="H122" s="309"/>
      <c r="I122" s="309"/>
      <c r="J122" s="309"/>
      <c r="K122" s="309"/>
      <c r="L122" s="309"/>
    </row>
    <row r="123" spans="2:12">
      <c r="B123" s="309"/>
      <c r="C123" s="309"/>
      <c r="D123" s="309"/>
      <c r="E123" s="309"/>
      <c r="F123" s="309"/>
      <c r="G123" s="309"/>
      <c r="H123" s="309"/>
      <c r="I123" s="309"/>
      <c r="J123" s="309"/>
      <c r="K123" s="309"/>
      <c r="L123" s="309"/>
    </row>
    <row r="124" spans="2:12">
      <c r="B124" s="309"/>
      <c r="C124" s="309"/>
      <c r="D124" s="309"/>
      <c r="E124" s="309"/>
      <c r="F124" s="309"/>
      <c r="G124" s="309"/>
      <c r="H124" s="309"/>
      <c r="I124" s="309"/>
      <c r="J124" s="309"/>
      <c r="K124" s="309"/>
      <c r="L124" s="309"/>
    </row>
    <row r="125" spans="2:12">
      <c r="B125" s="309"/>
      <c r="C125" s="309"/>
      <c r="D125" s="309"/>
      <c r="E125" s="309"/>
      <c r="F125" s="309"/>
      <c r="G125" s="309"/>
      <c r="H125" s="309"/>
      <c r="I125" s="309"/>
      <c r="J125" s="309"/>
      <c r="K125" s="309"/>
      <c r="L125" s="309"/>
    </row>
    <row r="126" spans="2:12">
      <c r="B126" s="309"/>
      <c r="C126" s="309"/>
      <c r="D126" s="309"/>
      <c r="E126" s="309"/>
      <c r="F126" s="309"/>
      <c r="G126" s="309"/>
      <c r="H126" s="309"/>
      <c r="I126" s="309"/>
      <c r="J126" s="309"/>
      <c r="K126" s="309"/>
      <c r="L126" s="309"/>
    </row>
    <row r="127" spans="2:12">
      <c r="B127" s="309"/>
      <c r="C127" s="309"/>
      <c r="D127" s="309"/>
      <c r="E127" s="309"/>
      <c r="F127" s="309"/>
      <c r="G127" s="309"/>
      <c r="H127" s="309"/>
      <c r="I127" s="309"/>
      <c r="J127" s="309"/>
      <c r="K127" s="309"/>
      <c r="L127" s="309"/>
    </row>
    <row r="128" spans="2:12">
      <c r="B128" s="309"/>
      <c r="C128" s="309"/>
      <c r="D128" s="309"/>
      <c r="E128" s="309"/>
      <c r="F128" s="309"/>
      <c r="G128" s="309"/>
      <c r="H128" s="309"/>
      <c r="I128" s="309"/>
      <c r="J128" s="309"/>
      <c r="K128" s="309"/>
      <c r="L128" s="309"/>
    </row>
    <row r="129" spans="2:12">
      <c r="B129" s="309"/>
      <c r="C129" s="309"/>
      <c r="D129" s="309"/>
      <c r="E129" s="309"/>
      <c r="F129" s="309"/>
      <c r="G129" s="309"/>
      <c r="H129" s="309"/>
      <c r="I129" s="309"/>
      <c r="J129" s="309"/>
      <c r="K129" s="309"/>
      <c r="L129" s="309"/>
    </row>
    <row r="130" spans="2:12">
      <c r="B130" s="309"/>
      <c r="C130" s="309"/>
      <c r="D130" s="309"/>
      <c r="E130" s="309"/>
      <c r="F130" s="309"/>
      <c r="G130" s="309"/>
      <c r="H130" s="309"/>
      <c r="I130" s="309"/>
      <c r="J130" s="309"/>
      <c r="K130" s="309"/>
      <c r="L130" s="309"/>
    </row>
    <row r="131" spans="2:12">
      <c r="B131" s="309"/>
      <c r="C131" s="309"/>
      <c r="D131" s="309"/>
      <c r="E131" s="309"/>
      <c r="F131" s="309"/>
      <c r="G131" s="309"/>
      <c r="H131" s="309"/>
      <c r="I131" s="309"/>
      <c r="J131" s="309"/>
      <c r="K131" s="309"/>
      <c r="L131" s="309"/>
    </row>
    <row r="132" spans="2:12">
      <c r="B132" s="309"/>
      <c r="C132" s="309"/>
      <c r="D132" s="309"/>
      <c r="E132" s="309"/>
      <c r="F132" s="309"/>
      <c r="G132" s="309"/>
      <c r="H132" s="309"/>
      <c r="I132" s="309"/>
      <c r="J132" s="309"/>
      <c r="K132" s="309"/>
      <c r="L132" s="309"/>
    </row>
    <row r="133" spans="2:12">
      <c r="B133" s="309"/>
      <c r="C133" s="309"/>
      <c r="D133" s="309"/>
      <c r="E133" s="309"/>
      <c r="F133" s="309"/>
      <c r="G133" s="309"/>
      <c r="H133" s="309"/>
      <c r="I133" s="309"/>
      <c r="J133" s="309"/>
      <c r="K133" s="309"/>
      <c r="L133" s="309"/>
    </row>
    <row r="134" spans="2:12">
      <c r="B134" s="309"/>
      <c r="C134" s="309"/>
      <c r="D134" s="309"/>
      <c r="E134" s="309"/>
      <c r="F134" s="309"/>
      <c r="G134" s="309"/>
      <c r="H134" s="309"/>
      <c r="I134" s="309"/>
      <c r="J134" s="309"/>
      <c r="K134" s="309"/>
      <c r="L134" s="309"/>
    </row>
    <row r="135" spans="2:12">
      <c r="B135" s="309"/>
      <c r="C135" s="309"/>
      <c r="D135" s="309"/>
      <c r="E135" s="309"/>
      <c r="F135" s="309"/>
      <c r="G135" s="309"/>
      <c r="H135" s="309"/>
      <c r="I135" s="309"/>
      <c r="J135" s="309"/>
      <c r="K135" s="309"/>
      <c r="L135" s="309"/>
    </row>
    <row r="136" spans="2:12">
      <c r="B136" s="309"/>
      <c r="C136" s="309"/>
      <c r="D136" s="309"/>
      <c r="E136" s="309"/>
      <c r="F136" s="309"/>
      <c r="G136" s="309"/>
      <c r="H136" s="309"/>
      <c r="I136" s="309"/>
      <c r="J136" s="309"/>
      <c r="K136" s="309"/>
      <c r="L136" s="309"/>
    </row>
    <row r="137" spans="2:12">
      <c r="B137" s="309"/>
      <c r="C137" s="309"/>
      <c r="D137" s="309"/>
      <c r="E137" s="309"/>
      <c r="F137" s="309"/>
      <c r="G137" s="309"/>
      <c r="H137" s="309"/>
      <c r="I137" s="309"/>
      <c r="J137" s="309"/>
      <c r="K137" s="309"/>
      <c r="L137" s="309"/>
    </row>
    <row r="138" spans="2:12">
      <c r="B138" s="309"/>
      <c r="C138" s="309"/>
      <c r="D138" s="309"/>
      <c r="E138" s="309"/>
      <c r="F138" s="309"/>
      <c r="G138" s="309"/>
      <c r="H138" s="309"/>
      <c r="I138" s="309"/>
      <c r="J138" s="309"/>
      <c r="K138" s="309"/>
      <c r="L138" s="309"/>
    </row>
    <row r="139" spans="2:12">
      <c r="B139" s="309"/>
      <c r="C139" s="309"/>
      <c r="D139" s="309"/>
      <c r="E139" s="309"/>
      <c r="F139" s="309"/>
      <c r="G139" s="309"/>
      <c r="H139" s="309"/>
      <c r="I139" s="309"/>
      <c r="J139" s="309"/>
      <c r="K139" s="309"/>
      <c r="L139" s="309"/>
    </row>
    <row r="140" spans="2:12">
      <c r="B140" s="309"/>
      <c r="C140" s="309"/>
      <c r="D140" s="309"/>
      <c r="E140" s="309"/>
      <c r="F140" s="309"/>
      <c r="G140" s="309"/>
      <c r="H140" s="309"/>
      <c r="I140" s="309"/>
      <c r="J140" s="309"/>
      <c r="K140" s="309"/>
      <c r="L140" s="309"/>
    </row>
    <row r="141" spans="2:12">
      <c r="B141" s="309"/>
      <c r="C141" s="309"/>
      <c r="D141" s="309"/>
      <c r="E141" s="309"/>
      <c r="F141" s="309"/>
      <c r="G141" s="309"/>
      <c r="H141" s="309"/>
      <c r="I141" s="309"/>
      <c r="J141" s="309"/>
      <c r="K141" s="309"/>
      <c r="L141" s="309"/>
    </row>
    <row r="142" spans="2:12">
      <c r="B142" s="309"/>
      <c r="C142" s="309"/>
      <c r="D142" s="309"/>
      <c r="E142" s="309"/>
      <c r="F142" s="309"/>
      <c r="G142" s="309"/>
      <c r="H142" s="309"/>
      <c r="I142" s="309"/>
      <c r="J142" s="309"/>
      <c r="K142" s="309"/>
      <c r="L142" s="309"/>
    </row>
    <row r="143" spans="2:12">
      <c r="B143" s="309"/>
      <c r="C143" s="309"/>
      <c r="D143" s="309"/>
      <c r="E143" s="309"/>
      <c r="F143" s="309"/>
      <c r="G143" s="309"/>
      <c r="H143" s="309"/>
      <c r="I143" s="309"/>
      <c r="J143" s="309"/>
      <c r="K143" s="309"/>
      <c r="L143" s="309"/>
    </row>
    <row r="144" spans="2:12">
      <c r="B144" s="309"/>
      <c r="C144" s="309"/>
      <c r="D144" s="309"/>
      <c r="E144" s="309"/>
      <c r="F144" s="309"/>
      <c r="G144" s="309"/>
      <c r="H144" s="309"/>
      <c r="I144" s="309"/>
      <c r="J144" s="309"/>
      <c r="K144" s="309"/>
      <c r="L144" s="309"/>
    </row>
    <row r="145" spans="2:12">
      <c r="B145" s="309"/>
      <c r="C145" s="309"/>
      <c r="D145" s="309"/>
      <c r="E145" s="309"/>
      <c r="F145" s="309"/>
      <c r="G145" s="309"/>
      <c r="H145" s="309"/>
      <c r="I145" s="309"/>
      <c r="J145" s="309"/>
      <c r="K145" s="309"/>
      <c r="L145" s="309"/>
    </row>
    <row r="146" spans="2:12">
      <c r="B146" s="309"/>
      <c r="C146" s="309"/>
      <c r="D146" s="309"/>
      <c r="E146" s="309"/>
      <c r="F146" s="309"/>
      <c r="G146" s="309"/>
      <c r="H146" s="309"/>
      <c r="I146" s="309"/>
      <c r="J146" s="309"/>
      <c r="K146" s="309"/>
      <c r="L146" s="309"/>
    </row>
    <row r="147" spans="2:12">
      <c r="B147" s="309"/>
      <c r="C147" s="309"/>
      <c r="D147" s="309"/>
      <c r="E147" s="309"/>
      <c r="F147" s="309"/>
      <c r="G147" s="309"/>
      <c r="H147" s="309"/>
      <c r="I147" s="309"/>
      <c r="J147" s="309"/>
      <c r="K147" s="309"/>
      <c r="L147" s="309"/>
    </row>
    <row r="148" spans="2:12">
      <c r="B148" s="309"/>
      <c r="C148" s="309"/>
      <c r="D148" s="309"/>
      <c r="E148" s="309"/>
      <c r="F148" s="309"/>
      <c r="G148" s="309"/>
      <c r="H148" s="309"/>
      <c r="I148" s="309"/>
      <c r="J148" s="309"/>
      <c r="K148" s="309"/>
      <c r="L148" s="309"/>
    </row>
    <row r="149" spans="2:12">
      <c r="B149" s="309"/>
      <c r="C149" s="309"/>
      <c r="D149" s="309"/>
      <c r="E149" s="309"/>
      <c r="F149" s="309"/>
      <c r="G149" s="309"/>
      <c r="H149" s="309"/>
      <c r="I149" s="309"/>
      <c r="J149" s="309"/>
      <c r="K149" s="309"/>
      <c r="L149" s="309"/>
    </row>
    <row r="150" spans="2:12">
      <c r="B150" s="309"/>
      <c r="C150" s="309"/>
      <c r="D150" s="309"/>
      <c r="E150" s="309"/>
      <c r="F150" s="309"/>
      <c r="G150" s="309"/>
      <c r="H150" s="309"/>
      <c r="I150" s="309"/>
      <c r="J150" s="309"/>
      <c r="K150" s="309"/>
      <c r="L150" s="309"/>
    </row>
    <row r="151" spans="2:12">
      <c r="B151" s="309"/>
      <c r="C151" s="309"/>
      <c r="D151" s="309"/>
      <c r="E151" s="309"/>
      <c r="F151" s="309"/>
      <c r="G151" s="309"/>
      <c r="H151" s="309"/>
      <c r="I151" s="309"/>
      <c r="J151" s="309"/>
      <c r="K151" s="309"/>
      <c r="L151" s="309"/>
    </row>
    <row r="152" spans="2:12">
      <c r="B152" s="309"/>
      <c r="C152" s="309"/>
      <c r="D152" s="309"/>
      <c r="E152" s="309"/>
      <c r="F152" s="309"/>
      <c r="G152" s="309"/>
      <c r="H152" s="309"/>
      <c r="I152" s="309"/>
      <c r="J152" s="309"/>
      <c r="K152" s="309"/>
      <c r="L152" s="309"/>
    </row>
    <row r="153" spans="2:12">
      <c r="B153" s="309"/>
      <c r="C153" s="309"/>
      <c r="D153" s="309"/>
      <c r="E153" s="309"/>
      <c r="F153" s="309"/>
      <c r="G153" s="309"/>
      <c r="H153" s="309"/>
      <c r="I153" s="309"/>
      <c r="J153" s="309"/>
      <c r="K153" s="309"/>
      <c r="L153" s="309"/>
    </row>
    <row r="154" spans="2:12">
      <c r="B154" s="309"/>
      <c r="C154" s="309"/>
      <c r="D154" s="309"/>
      <c r="E154" s="309"/>
      <c r="F154" s="309"/>
      <c r="G154" s="309"/>
      <c r="H154" s="309"/>
      <c r="I154" s="309"/>
      <c r="J154" s="309"/>
      <c r="K154" s="309"/>
      <c r="L154" s="309"/>
    </row>
    <row r="155" spans="2:12">
      <c r="B155" s="309"/>
      <c r="C155" s="309"/>
      <c r="D155" s="309"/>
      <c r="E155" s="309"/>
      <c r="F155" s="309"/>
      <c r="G155" s="309"/>
      <c r="H155" s="309"/>
      <c r="I155" s="309"/>
      <c r="J155" s="309"/>
      <c r="K155" s="309"/>
      <c r="L155" s="309"/>
    </row>
    <row r="156" spans="2:12">
      <c r="B156" s="309"/>
      <c r="C156" s="309"/>
      <c r="D156" s="309"/>
      <c r="E156" s="309"/>
      <c r="F156" s="309"/>
      <c r="G156" s="309"/>
      <c r="H156" s="309"/>
      <c r="I156" s="309"/>
      <c r="J156" s="309"/>
      <c r="K156" s="309"/>
      <c r="L156" s="309"/>
    </row>
    <row r="157" spans="2:12">
      <c r="B157" s="309"/>
      <c r="C157" s="309"/>
      <c r="D157" s="309"/>
      <c r="E157" s="309"/>
      <c r="F157" s="309"/>
      <c r="G157" s="309"/>
      <c r="H157" s="309"/>
      <c r="I157" s="309"/>
      <c r="J157" s="309"/>
      <c r="K157" s="309"/>
      <c r="L157" s="309"/>
    </row>
    <row r="158" spans="2:12">
      <c r="B158" s="309"/>
      <c r="C158" s="309"/>
      <c r="D158" s="309"/>
      <c r="E158" s="309"/>
      <c r="F158" s="309"/>
      <c r="G158" s="309"/>
      <c r="H158" s="309"/>
      <c r="I158" s="309"/>
      <c r="J158" s="309"/>
      <c r="K158" s="309"/>
      <c r="L158" s="309"/>
    </row>
    <row r="159" spans="2:12">
      <c r="B159" s="309"/>
      <c r="C159" s="309"/>
      <c r="D159" s="309"/>
      <c r="E159" s="309"/>
      <c r="F159" s="309"/>
      <c r="G159" s="309"/>
      <c r="H159" s="309"/>
      <c r="I159" s="309"/>
      <c r="J159" s="309"/>
      <c r="K159" s="309"/>
      <c r="L159" s="309"/>
    </row>
    <row r="160" spans="2:12">
      <c r="B160" s="309"/>
      <c r="C160" s="309"/>
      <c r="D160" s="309"/>
      <c r="E160" s="309"/>
      <c r="F160" s="309"/>
      <c r="G160" s="309"/>
      <c r="H160" s="309"/>
      <c r="I160" s="309"/>
      <c r="J160" s="309"/>
      <c r="K160" s="309"/>
      <c r="L160" s="309"/>
    </row>
    <row r="161" spans="2:12">
      <c r="B161" s="309"/>
      <c r="C161" s="309"/>
      <c r="D161" s="309"/>
      <c r="E161" s="309"/>
      <c r="F161" s="309"/>
      <c r="G161" s="309"/>
      <c r="H161" s="309"/>
      <c r="I161" s="309"/>
      <c r="J161" s="309"/>
      <c r="K161" s="309"/>
      <c r="L161" s="309"/>
    </row>
    <row r="162" spans="2:12">
      <c r="B162" s="309"/>
      <c r="C162" s="309"/>
      <c r="D162" s="309"/>
      <c r="E162" s="309"/>
      <c r="F162" s="309"/>
      <c r="G162" s="309"/>
      <c r="H162" s="309"/>
      <c r="I162" s="309"/>
      <c r="J162" s="309"/>
      <c r="K162" s="309"/>
      <c r="L162" s="309"/>
    </row>
    <row r="163" spans="2:12">
      <c r="B163" s="309"/>
      <c r="C163" s="309"/>
      <c r="D163" s="309"/>
      <c r="E163" s="309"/>
      <c r="F163" s="309"/>
      <c r="G163" s="309"/>
      <c r="H163" s="309"/>
      <c r="I163" s="309"/>
      <c r="J163" s="309"/>
      <c r="K163" s="309"/>
      <c r="L163" s="309"/>
    </row>
    <row r="164" spans="2:12">
      <c r="B164" s="309"/>
      <c r="C164" s="309"/>
      <c r="D164" s="309"/>
      <c r="E164" s="309"/>
      <c r="F164" s="309"/>
      <c r="G164" s="309"/>
      <c r="H164" s="309"/>
      <c r="I164" s="309"/>
      <c r="J164" s="309"/>
      <c r="K164" s="309"/>
      <c r="L164" s="309"/>
    </row>
    <row r="165" spans="2:12">
      <c r="B165" s="309"/>
      <c r="C165" s="309"/>
      <c r="D165" s="309"/>
      <c r="E165" s="309"/>
      <c r="F165" s="309"/>
      <c r="G165" s="309"/>
      <c r="H165" s="309"/>
      <c r="I165" s="309"/>
      <c r="J165" s="309"/>
      <c r="K165" s="309"/>
      <c r="L165" s="309"/>
    </row>
    <row r="166" spans="2:12">
      <c r="B166" s="309"/>
      <c r="C166" s="309"/>
      <c r="D166" s="309"/>
      <c r="E166" s="309"/>
      <c r="F166" s="309"/>
      <c r="G166" s="309"/>
      <c r="H166" s="309"/>
      <c r="I166" s="309"/>
      <c r="J166" s="309"/>
      <c r="K166" s="309"/>
      <c r="L166" s="309"/>
    </row>
    <row r="167" spans="2:12">
      <c r="B167" s="309"/>
      <c r="C167" s="309"/>
      <c r="D167" s="309"/>
      <c r="E167" s="309"/>
      <c r="F167" s="309"/>
      <c r="G167" s="309"/>
      <c r="H167" s="309"/>
      <c r="I167" s="309"/>
      <c r="J167" s="309"/>
      <c r="K167" s="309"/>
      <c r="L167" s="309"/>
    </row>
    <row r="168" spans="2:12">
      <c r="B168" s="309"/>
      <c r="C168" s="309"/>
      <c r="D168" s="309"/>
      <c r="E168" s="309"/>
      <c r="F168" s="309"/>
      <c r="G168" s="309"/>
      <c r="H168" s="309"/>
      <c r="I168" s="309"/>
      <c r="J168" s="309"/>
      <c r="K168" s="309"/>
      <c r="L168" s="309"/>
    </row>
    <row r="169" spans="2:12">
      <c r="B169" s="309"/>
      <c r="C169" s="309"/>
      <c r="D169" s="309"/>
      <c r="E169" s="309"/>
      <c r="F169" s="309"/>
      <c r="G169" s="309"/>
      <c r="H169" s="309"/>
      <c r="I169" s="309"/>
      <c r="J169" s="309"/>
      <c r="K169" s="309"/>
      <c r="L169" s="309"/>
    </row>
    <row r="170" spans="2:12">
      <c r="B170" s="309"/>
      <c r="C170" s="309"/>
      <c r="D170" s="309"/>
      <c r="E170" s="309"/>
      <c r="F170" s="309"/>
      <c r="G170" s="309"/>
      <c r="H170" s="309"/>
      <c r="I170" s="309"/>
      <c r="J170" s="309"/>
      <c r="K170" s="309"/>
      <c r="L170" s="309"/>
    </row>
    <row r="171" spans="2:12">
      <c r="B171" s="309"/>
      <c r="C171" s="309"/>
      <c r="D171" s="309"/>
      <c r="E171" s="309"/>
      <c r="F171" s="309"/>
      <c r="G171" s="309"/>
      <c r="H171" s="309"/>
      <c r="I171" s="309"/>
      <c r="J171" s="309"/>
      <c r="K171" s="309"/>
      <c r="L171" s="309"/>
    </row>
    <row r="172" spans="2:12">
      <c r="B172" s="309"/>
      <c r="C172" s="309"/>
      <c r="D172" s="309"/>
      <c r="E172" s="309"/>
      <c r="F172" s="309"/>
      <c r="G172" s="309"/>
      <c r="H172" s="309"/>
      <c r="I172" s="309"/>
      <c r="J172" s="309"/>
      <c r="K172" s="309"/>
      <c r="L172" s="309"/>
    </row>
    <row r="173" spans="2:12">
      <c r="B173" s="309"/>
      <c r="C173" s="309"/>
      <c r="D173" s="309"/>
      <c r="E173" s="309"/>
      <c r="F173" s="309"/>
      <c r="G173" s="309"/>
      <c r="H173" s="309"/>
      <c r="I173" s="309"/>
      <c r="J173" s="309"/>
      <c r="K173" s="309"/>
      <c r="L173" s="309"/>
    </row>
    <row r="174" spans="2:12">
      <c r="B174" s="309"/>
      <c r="C174" s="309"/>
      <c r="D174" s="309"/>
      <c r="E174" s="309"/>
      <c r="F174" s="309"/>
      <c r="G174" s="309"/>
      <c r="H174" s="309"/>
      <c r="I174" s="309"/>
      <c r="J174" s="309"/>
      <c r="K174" s="309"/>
      <c r="L174" s="309"/>
    </row>
    <row r="175" spans="2:12">
      <c r="B175" s="309"/>
      <c r="C175" s="309"/>
      <c r="D175" s="309"/>
      <c r="E175" s="309"/>
      <c r="F175" s="309"/>
      <c r="G175" s="309"/>
      <c r="H175" s="309"/>
      <c r="I175" s="309"/>
      <c r="J175" s="309"/>
      <c r="K175" s="309"/>
      <c r="L175" s="309"/>
    </row>
    <row r="176" spans="2:12">
      <c r="B176" s="309"/>
      <c r="C176" s="309"/>
      <c r="D176" s="309"/>
      <c r="E176" s="309"/>
      <c r="F176" s="309"/>
      <c r="G176" s="309"/>
      <c r="H176" s="309"/>
      <c r="I176" s="309"/>
      <c r="J176" s="309"/>
      <c r="K176" s="309"/>
      <c r="L176" s="309"/>
    </row>
    <row r="177" spans="2:12">
      <c r="B177" s="309"/>
      <c r="C177" s="309"/>
      <c r="D177" s="309"/>
      <c r="E177" s="309"/>
      <c r="F177" s="309"/>
      <c r="G177" s="309"/>
      <c r="H177" s="309"/>
      <c r="I177" s="309"/>
      <c r="J177" s="309"/>
      <c r="K177" s="309"/>
      <c r="L177" s="309"/>
    </row>
    <row r="178" spans="2:12">
      <c r="B178" s="309"/>
      <c r="C178" s="309"/>
      <c r="D178" s="309"/>
      <c r="E178" s="309"/>
      <c r="F178" s="309"/>
      <c r="G178" s="309"/>
      <c r="H178" s="309"/>
      <c r="I178" s="309"/>
      <c r="J178" s="309"/>
      <c r="K178" s="309"/>
      <c r="L178" s="309"/>
    </row>
    <row r="179" spans="2:12">
      <c r="B179" s="309"/>
      <c r="C179" s="309"/>
      <c r="D179" s="309"/>
      <c r="E179" s="309"/>
      <c r="F179" s="309"/>
      <c r="G179" s="309"/>
      <c r="H179" s="309"/>
      <c r="I179" s="309"/>
      <c r="J179" s="309"/>
      <c r="K179" s="309"/>
      <c r="L179" s="309"/>
    </row>
    <row r="180" spans="2:12">
      <c r="B180" s="309"/>
      <c r="C180" s="309"/>
      <c r="D180" s="309"/>
      <c r="E180" s="309"/>
      <c r="F180" s="309"/>
      <c r="G180" s="309"/>
      <c r="H180" s="309"/>
      <c r="I180" s="309"/>
      <c r="J180" s="309"/>
      <c r="K180" s="309"/>
      <c r="L180" s="309"/>
    </row>
    <row r="181" spans="2:12">
      <c r="B181" s="309"/>
      <c r="C181" s="309"/>
      <c r="D181" s="309"/>
      <c r="E181" s="309"/>
      <c r="F181" s="309"/>
      <c r="G181" s="309"/>
      <c r="H181" s="309"/>
      <c r="I181" s="309"/>
      <c r="J181" s="309"/>
      <c r="K181" s="309"/>
      <c r="L181" s="309"/>
    </row>
    <row r="182" spans="2:12">
      <c r="B182" s="309"/>
      <c r="C182" s="309"/>
      <c r="D182" s="309"/>
      <c r="E182" s="309"/>
      <c r="F182" s="309"/>
      <c r="G182" s="309"/>
      <c r="H182" s="309"/>
      <c r="I182" s="309"/>
      <c r="J182" s="309"/>
      <c r="K182" s="309"/>
      <c r="L182" s="309"/>
    </row>
    <row r="183" spans="2:12">
      <c r="B183" s="309"/>
      <c r="C183" s="309"/>
      <c r="D183" s="309"/>
      <c r="E183" s="309"/>
      <c r="F183" s="309"/>
      <c r="G183" s="309"/>
      <c r="H183" s="309"/>
      <c r="I183" s="309"/>
      <c r="J183" s="309"/>
      <c r="K183" s="309"/>
      <c r="L183" s="309"/>
    </row>
    <row r="184" spans="2:12">
      <c r="B184" s="309"/>
      <c r="C184" s="309"/>
      <c r="D184" s="309"/>
      <c r="E184" s="309"/>
      <c r="F184" s="309"/>
      <c r="G184" s="309"/>
      <c r="H184" s="309"/>
      <c r="I184" s="309"/>
      <c r="J184" s="309"/>
      <c r="K184" s="309"/>
      <c r="L184" s="309"/>
    </row>
    <row r="185" spans="2:12">
      <c r="B185" s="309"/>
      <c r="C185" s="309"/>
      <c r="D185" s="309"/>
      <c r="E185" s="309"/>
      <c r="F185" s="309"/>
      <c r="G185" s="309"/>
      <c r="H185" s="309"/>
      <c r="I185" s="309"/>
      <c r="J185" s="309"/>
      <c r="K185" s="309"/>
      <c r="L185" s="309"/>
    </row>
    <row r="186" spans="2:12">
      <c r="B186" s="309"/>
      <c r="C186" s="309"/>
      <c r="D186" s="309"/>
      <c r="E186" s="309"/>
      <c r="F186" s="309"/>
      <c r="G186" s="309"/>
      <c r="H186" s="309"/>
      <c r="I186" s="309"/>
      <c r="J186" s="309"/>
      <c r="K186" s="309"/>
      <c r="L186" s="309"/>
    </row>
    <row r="187" spans="2:12">
      <c r="B187" s="309"/>
      <c r="C187" s="309"/>
      <c r="D187" s="309"/>
      <c r="E187" s="309"/>
      <c r="F187" s="309"/>
      <c r="G187" s="309"/>
      <c r="H187" s="309"/>
      <c r="I187" s="309"/>
      <c r="J187" s="309"/>
      <c r="K187" s="309"/>
      <c r="L187" s="309"/>
    </row>
    <row r="188" spans="2:12">
      <c r="B188" s="309"/>
      <c r="C188" s="309"/>
      <c r="D188" s="309"/>
      <c r="E188" s="309"/>
      <c r="F188" s="309"/>
      <c r="G188" s="309"/>
      <c r="H188" s="309"/>
      <c r="I188" s="309"/>
      <c r="J188" s="309"/>
      <c r="K188" s="309"/>
      <c r="L188" s="309"/>
    </row>
    <row r="189" spans="2:12">
      <c r="B189" s="309"/>
      <c r="C189" s="309"/>
      <c r="D189" s="309"/>
      <c r="E189" s="309"/>
      <c r="F189" s="309"/>
      <c r="G189" s="309"/>
      <c r="H189" s="309"/>
      <c r="I189" s="309"/>
      <c r="J189" s="309"/>
      <c r="K189" s="309"/>
      <c r="L189" s="309"/>
    </row>
    <row r="190" spans="2:12">
      <c r="B190" s="309"/>
      <c r="C190" s="309"/>
      <c r="D190" s="309"/>
      <c r="E190" s="309"/>
      <c r="F190" s="309"/>
      <c r="G190" s="309"/>
      <c r="H190" s="309"/>
      <c r="I190" s="309"/>
      <c r="J190" s="309"/>
      <c r="K190" s="309"/>
      <c r="L190" s="309"/>
    </row>
    <row r="191" spans="2:12">
      <c r="B191" s="309"/>
      <c r="C191" s="309"/>
      <c r="D191" s="309"/>
      <c r="E191" s="309"/>
      <c r="F191" s="309"/>
      <c r="G191" s="309"/>
      <c r="H191" s="309"/>
      <c r="I191" s="309"/>
      <c r="J191" s="309"/>
      <c r="K191" s="309"/>
      <c r="L191" s="309"/>
    </row>
    <row r="192" spans="2:12">
      <c r="B192" s="309"/>
      <c r="C192" s="309"/>
      <c r="D192" s="309"/>
      <c r="E192" s="309"/>
      <c r="F192" s="309"/>
      <c r="G192" s="309"/>
      <c r="H192" s="309"/>
      <c r="I192" s="309"/>
      <c r="J192" s="309"/>
      <c r="K192" s="309"/>
      <c r="L192" s="309"/>
    </row>
    <row r="193" spans="2:12">
      <c r="B193" s="309"/>
      <c r="C193" s="309"/>
      <c r="D193" s="309"/>
      <c r="E193" s="309"/>
      <c r="F193" s="309"/>
      <c r="G193" s="309"/>
      <c r="H193" s="309"/>
      <c r="I193" s="309"/>
      <c r="J193" s="309"/>
      <c r="K193" s="309"/>
      <c r="L193" s="309"/>
    </row>
    <row r="194" spans="2:12">
      <c r="B194" s="309"/>
      <c r="C194" s="309"/>
      <c r="D194" s="309"/>
      <c r="E194" s="309"/>
      <c r="F194" s="309"/>
      <c r="G194" s="309"/>
      <c r="H194" s="309"/>
      <c r="I194" s="309"/>
      <c r="J194" s="309"/>
      <c r="K194" s="309"/>
      <c r="L194" s="309"/>
    </row>
    <row r="195" spans="2:12">
      <c r="B195" s="309"/>
      <c r="C195" s="309"/>
      <c r="D195" s="309"/>
      <c r="E195" s="309"/>
      <c r="F195" s="309"/>
      <c r="G195" s="309"/>
      <c r="H195" s="309"/>
      <c r="I195" s="309"/>
      <c r="J195" s="309"/>
      <c r="K195" s="309"/>
      <c r="L195" s="309"/>
    </row>
    <row r="196" spans="2:12">
      <c r="B196" s="309"/>
      <c r="C196" s="309"/>
      <c r="D196" s="309"/>
      <c r="E196" s="309"/>
      <c r="F196" s="309"/>
      <c r="G196" s="309"/>
      <c r="H196" s="309"/>
      <c r="I196" s="309"/>
      <c r="J196" s="309"/>
      <c r="K196" s="309"/>
      <c r="L196" s="309"/>
    </row>
    <row r="197" spans="2:12">
      <c r="B197" s="309"/>
      <c r="C197" s="309"/>
      <c r="D197" s="309"/>
      <c r="E197" s="309"/>
      <c r="F197" s="309"/>
      <c r="G197" s="309"/>
      <c r="H197" s="309"/>
      <c r="I197" s="309"/>
      <c r="J197" s="309"/>
      <c r="K197" s="309"/>
      <c r="L197" s="309"/>
    </row>
    <row r="198" spans="2:12">
      <c r="B198" s="309"/>
      <c r="C198" s="309"/>
      <c r="D198" s="309"/>
      <c r="E198" s="309"/>
      <c r="F198" s="309"/>
      <c r="G198" s="309"/>
      <c r="H198" s="309"/>
      <c r="I198" s="309"/>
      <c r="J198" s="309"/>
      <c r="K198" s="309"/>
      <c r="L198" s="309"/>
    </row>
    <row r="199" spans="2:12">
      <c r="B199" s="309"/>
      <c r="C199" s="309"/>
      <c r="D199" s="309"/>
      <c r="E199" s="309"/>
      <c r="F199" s="309"/>
      <c r="G199" s="309"/>
      <c r="H199" s="309"/>
      <c r="I199" s="309"/>
      <c r="J199" s="309"/>
      <c r="K199" s="309"/>
      <c r="L199" s="309"/>
    </row>
    <row r="200" spans="2:12">
      <c r="B200" s="309"/>
      <c r="C200" s="309"/>
      <c r="D200" s="309"/>
      <c r="E200" s="309"/>
      <c r="F200" s="309"/>
      <c r="G200" s="309"/>
      <c r="H200" s="309"/>
      <c r="I200" s="309"/>
      <c r="J200" s="309"/>
      <c r="K200" s="309"/>
      <c r="L200" s="309"/>
    </row>
    <row r="201" spans="2:12">
      <c r="B201" s="309"/>
      <c r="C201" s="309"/>
      <c r="D201" s="309"/>
      <c r="E201" s="309"/>
      <c r="F201" s="309"/>
      <c r="G201" s="309"/>
      <c r="H201" s="309"/>
      <c r="I201" s="309"/>
      <c r="J201" s="309"/>
      <c r="K201" s="309"/>
      <c r="L201" s="309"/>
    </row>
    <row r="202" spans="2:12">
      <c r="B202" s="309"/>
      <c r="C202" s="309"/>
      <c r="D202" s="309"/>
      <c r="E202" s="309"/>
      <c r="F202" s="309"/>
      <c r="G202" s="309"/>
      <c r="H202" s="309"/>
      <c r="I202" s="309"/>
      <c r="J202" s="309"/>
      <c r="K202" s="309"/>
      <c r="L202" s="309"/>
    </row>
    <row r="203" spans="2:12">
      <c r="B203" s="309"/>
      <c r="C203" s="309"/>
      <c r="D203" s="309"/>
      <c r="E203" s="309"/>
      <c r="F203" s="309"/>
      <c r="G203" s="309"/>
      <c r="H203" s="309"/>
      <c r="I203" s="309"/>
      <c r="J203" s="309"/>
      <c r="K203" s="309"/>
      <c r="L203" s="309"/>
    </row>
    <row r="204" spans="2:12">
      <c r="B204" s="309"/>
      <c r="C204" s="309"/>
      <c r="D204" s="309"/>
      <c r="E204" s="309"/>
      <c r="F204" s="309"/>
      <c r="G204" s="309"/>
      <c r="H204" s="309"/>
      <c r="I204" s="309"/>
      <c r="J204" s="309"/>
      <c r="K204" s="309"/>
      <c r="L204" s="309"/>
    </row>
    <row r="205" spans="2:12">
      <c r="B205" s="309"/>
      <c r="C205" s="309"/>
      <c r="D205" s="309"/>
      <c r="E205" s="309"/>
      <c r="F205" s="309"/>
      <c r="G205" s="309"/>
      <c r="H205" s="309"/>
      <c r="I205" s="309"/>
      <c r="J205" s="309"/>
      <c r="K205" s="309"/>
      <c r="L205" s="309"/>
    </row>
    <row r="206" spans="2:12">
      <c r="B206" s="309"/>
      <c r="C206" s="309"/>
      <c r="D206" s="309"/>
      <c r="E206" s="309"/>
      <c r="F206" s="309"/>
      <c r="G206" s="309"/>
      <c r="H206" s="309"/>
      <c r="I206" s="309"/>
      <c r="J206" s="309"/>
      <c r="K206" s="309"/>
      <c r="L206" s="309"/>
    </row>
    <row r="207" spans="2:12">
      <c r="B207" s="309"/>
      <c r="C207" s="309"/>
      <c r="D207" s="309"/>
      <c r="E207" s="309"/>
      <c r="F207" s="309"/>
      <c r="G207" s="309"/>
      <c r="H207" s="309"/>
      <c r="I207" s="309"/>
      <c r="J207" s="309"/>
      <c r="K207" s="309"/>
      <c r="L207" s="309"/>
    </row>
    <row r="208" spans="2:12">
      <c r="B208" s="309"/>
      <c r="C208" s="309"/>
      <c r="D208" s="309"/>
      <c r="E208" s="309"/>
      <c r="F208" s="309"/>
      <c r="G208" s="309"/>
      <c r="H208" s="309"/>
      <c r="I208" s="309"/>
      <c r="J208" s="309"/>
      <c r="K208" s="309"/>
      <c r="L208" s="309"/>
    </row>
    <row r="209" spans="2:12">
      <c r="B209" s="309"/>
      <c r="C209" s="309"/>
      <c r="D209" s="309"/>
      <c r="E209" s="309"/>
      <c r="F209" s="309"/>
      <c r="G209" s="309"/>
      <c r="H209" s="309"/>
      <c r="I209" s="309"/>
      <c r="J209" s="309"/>
      <c r="K209" s="309"/>
      <c r="L209" s="309"/>
    </row>
    <row r="210" spans="2:12">
      <c r="B210" s="309"/>
      <c r="C210" s="309"/>
      <c r="D210" s="309"/>
      <c r="E210" s="309"/>
      <c r="F210" s="309"/>
      <c r="G210" s="309"/>
      <c r="H210" s="309"/>
      <c r="I210" s="309"/>
      <c r="J210" s="309"/>
      <c r="K210" s="309"/>
      <c r="L210" s="309"/>
    </row>
    <row r="211" spans="2:12">
      <c r="B211" s="309"/>
      <c r="C211" s="309"/>
      <c r="D211" s="309"/>
      <c r="E211" s="309"/>
      <c r="F211" s="309"/>
      <c r="G211" s="309"/>
      <c r="H211" s="309"/>
      <c r="I211" s="309"/>
      <c r="J211" s="309"/>
      <c r="K211" s="309"/>
      <c r="L211" s="309"/>
    </row>
    <row r="212" spans="2:12">
      <c r="B212" s="309"/>
      <c r="C212" s="309"/>
      <c r="D212" s="309"/>
      <c r="E212" s="309"/>
      <c r="F212" s="309"/>
      <c r="G212" s="309"/>
      <c r="H212" s="309"/>
      <c r="I212" s="309"/>
      <c r="J212" s="309"/>
      <c r="K212" s="309"/>
      <c r="L212" s="309"/>
    </row>
    <row r="213" spans="2:12">
      <c r="B213" s="309"/>
      <c r="C213" s="309"/>
      <c r="D213" s="309"/>
      <c r="E213" s="309"/>
      <c r="F213" s="309"/>
      <c r="G213" s="309"/>
      <c r="H213" s="309"/>
      <c r="I213" s="309"/>
      <c r="J213" s="309"/>
      <c r="K213" s="309"/>
      <c r="L213" s="309"/>
    </row>
    <row r="214" spans="2:12">
      <c r="B214" s="309"/>
      <c r="C214" s="309"/>
      <c r="D214" s="309"/>
      <c r="E214" s="309"/>
      <c r="F214" s="309"/>
      <c r="G214" s="309"/>
      <c r="H214" s="309"/>
      <c r="I214" s="309"/>
      <c r="J214" s="309"/>
      <c r="K214" s="309"/>
      <c r="L214" s="309"/>
    </row>
    <row r="215" spans="2:12">
      <c r="B215" s="309"/>
      <c r="C215" s="309"/>
      <c r="D215" s="309"/>
      <c r="E215" s="309"/>
      <c r="F215" s="309"/>
      <c r="G215" s="309"/>
      <c r="H215" s="309"/>
      <c r="I215" s="309"/>
      <c r="J215" s="309"/>
      <c r="K215" s="309"/>
      <c r="L215" s="309"/>
    </row>
    <row r="216" spans="2:12">
      <c r="B216" s="309"/>
      <c r="C216" s="309"/>
      <c r="D216" s="309"/>
      <c r="E216" s="309"/>
      <c r="F216" s="309"/>
      <c r="G216" s="309"/>
      <c r="H216" s="309"/>
      <c r="I216" s="309"/>
      <c r="J216" s="309"/>
      <c r="K216" s="309"/>
      <c r="L216" s="309"/>
    </row>
    <row r="217" spans="2:12">
      <c r="B217" s="309"/>
      <c r="C217" s="309"/>
      <c r="D217" s="309"/>
      <c r="E217" s="309"/>
      <c r="F217" s="309"/>
      <c r="G217" s="309"/>
      <c r="H217" s="309"/>
      <c r="I217" s="309"/>
      <c r="J217" s="309"/>
      <c r="K217" s="309"/>
      <c r="L217" s="309"/>
    </row>
    <row r="218" spans="2:12">
      <c r="B218" s="309"/>
      <c r="C218" s="309"/>
      <c r="D218" s="309"/>
      <c r="E218" s="309"/>
      <c r="F218" s="309"/>
      <c r="G218" s="309"/>
      <c r="H218" s="309"/>
      <c r="I218" s="309"/>
      <c r="J218" s="309"/>
      <c r="K218" s="309"/>
      <c r="L218" s="309"/>
    </row>
    <row r="219" spans="2:12">
      <c r="B219" s="309"/>
      <c r="C219" s="309"/>
      <c r="D219" s="309"/>
      <c r="E219" s="309"/>
      <c r="F219" s="309"/>
      <c r="G219" s="309"/>
      <c r="H219" s="309"/>
      <c r="I219" s="309"/>
      <c r="J219" s="309"/>
      <c r="K219" s="309"/>
      <c r="L219" s="309"/>
    </row>
    <row r="220" spans="2:12">
      <c r="B220" s="309"/>
      <c r="C220" s="309"/>
      <c r="D220" s="309"/>
      <c r="E220" s="309"/>
      <c r="F220" s="309"/>
      <c r="G220" s="309"/>
      <c r="H220" s="309"/>
      <c r="I220" s="309"/>
      <c r="J220" s="309"/>
      <c r="K220" s="309"/>
      <c r="L220" s="309"/>
    </row>
    <row r="221" spans="2:12">
      <c r="B221" s="309"/>
      <c r="C221" s="309"/>
      <c r="D221" s="309"/>
      <c r="E221" s="309"/>
      <c r="F221" s="309"/>
      <c r="G221" s="309"/>
      <c r="H221" s="309"/>
      <c r="I221" s="309"/>
      <c r="J221" s="309"/>
      <c r="K221" s="309"/>
      <c r="L221" s="309"/>
    </row>
    <row r="222" spans="2:12">
      <c r="B222" s="309"/>
      <c r="C222" s="309"/>
      <c r="D222" s="309"/>
      <c r="E222" s="309"/>
      <c r="F222" s="309"/>
      <c r="G222" s="309"/>
      <c r="H222" s="309"/>
      <c r="I222" s="309"/>
      <c r="J222" s="309"/>
      <c r="K222" s="309"/>
      <c r="L222" s="309"/>
    </row>
    <row r="223" spans="2:12">
      <c r="B223" s="309"/>
      <c r="C223" s="309"/>
      <c r="D223" s="309"/>
      <c r="E223" s="309"/>
      <c r="F223" s="309"/>
      <c r="G223" s="309"/>
      <c r="H223" s="309"/>
      <c r="I223" s="309"/>
      <c r="J223" s="309"/>
      <c r="K223" s="309"/>
      <c r="L223" s="309"/>
    </row>
    <row r="224" spans="2:12">
      <c r="B224" s="309"/>
      <c r="C224" s="309"/>
      <c r="D224" s="309"/>
      <c r="E224" s="309"/>
      <c r="F224" s="309"/>
      <c r="G224" s="309"/>
      <c r="H224" s="309"/>
      <c r="I224" s="309"/>
      <c r="J224" s="309"/>
      <c r="K224" s="309"/>
      <c r="L224" s="309"/>
    </row>
    <row r="225" spans="2:12">
      <c r="B225" s="309"/>
      <c r="C225" s="309"/>
      <c r="D225" s="309"/>
      <c r="E225" s="309"/>
      <c r="F225" s="309"/>
      <c r="G225" s="309"/>
      <c r="H225" s="309"/>
      <c r="I225" s="309"/>
      <c r="J225" s="309"/>
      <c r="K225" s="309"/>
      <c r="L225" s="309"/>
    </row>
    <row r="226" spans="2:12">
      <c r="B226" s="309"/>
      <c r="C226" s="309"/>
      <c r="D226" s="309"/>
      <c r="E226" s="309"/>
      <c r="F226" s="309"/>
      <c r="G226" s="309"/>
      <c r="H226" s="309"/>
      <c r="I226" s="309"/>
      <c r="J226" s="309"/>
      <c r="K226" s="309"/>
      <c r="L226" s="309"/>
    </row>
    <row r="227" spans="2:12">
      <c r="B227" s="309"/>
      <c r="C227" s="309"/>
      <c r="D227" s="309"/>
      <c r="E227" s="309"/>
      <c r="F227" s="309"/>
      <c r="G227" s="309"/>
      <c r="H227" s="309"/>
      <c r="I227" s="309"/>
      <c r="J227" s="309"/>
      <c r="K227" s="309"/>
      <c r="L227" s="309"/>
    </row>
    <row r="228" spans="2:12">
      <c r="B228" s="309"/>
      <c r="C228" s="309"/>
      <c r="D228" s="309"/>
      <c r="E228" s="309"/>
      <c r="F228" s="309"/>
      <c r="G228" s="309"/>
      <c r="H228" s="309"/>
      <c r="I228" s="309"/>
      <c r="J228" s="309"/>
      <c r="K228" s="309"/>
      <c r="L228" s="309"/>
    </row>
    <row r="229" spans="2:12">
      <c r="B229" s="309"/>
      <c r="C229" s="309"/>
      <c r="D229" s="309"/>
      <c r="E229" s="309"/>
      <c r="F229" s="309"/>
      <c r="G229" s="309"/>
      <c r="H229" s="309"/>
      <c r="I229" s="309"/>
      <c r="J229" s="309"/>
      <c r="K229" s="309"/>
      <c r="L229" s="309"/>
    </row>
    <row r="230" spans="2:12">
      <c r="B230" s="309"/>
      <c r="C230" s="309"/>
      <c r="D230" s="309"/>
      <c r="E230" s="309"/>
      <c r="F230" s="309"/>
      <c r="G230" s="309"/>
      <c r="H230" s="309"/>
      <c r="I230" s="309"/>
      <c r="J230" s="309"/>
      <c r="K230" s="309"/>
      <c r="L230" s="309"/>
    </row>
    <row r="231" spans="2:12">
      <c r="B231" s="309"/>
      <c r="C231" s="309"/>
      <c r="D231" s="309"/>
      <c r="E231" s="309"/>
      <c r="F231" s="309"/>
      <c r="G231" s="309"/>
      <c r="H231" s="309"/>
      <c r="I231" s="309"/>
      <c r="J231" s="309"/>
      <c r="K231" s="309"/>
      <c r="L231" s="309"/>
    </row>
    <row r="232" spans="2:12">
      <c r="B232" s="309"/>
      <c r="C232" s="309"/>
      <c r="D232" s="309"/>
      <c r="E232" s="309"/>
      <c r="F232" s="309"/>
      <c r="G232" s="309"/>
      <c r="H232" s="309"/>
      <c r="I232" s="309"/>
      <c r="J232" s="309"/>
      <c r="K232" s="309"/>
      <c r="L232" s="309"/>
    </row>
    <row r="233" spans="2:12">
      <c r="B233" s="309"/>
      <c r="C233" s="309"/>
      <c r="D233" s="309"/>
      <c r="E233" s="309"/>
      <c r="F233" s="309"/>
      <c r="G233" s="309"/>
      <c r="H233" s="309"/>
      <c r="I233" s="309"/>
      <c r="J233" s="309"/>
      <c r="K233" s="309"/>
      <c r="L233" s="309"/>
    </row>
    <row r="234" spans="2:12">
      <c r="B234" s="309"/>
      <c r="C234" s="309"/>
      <c r="D234" s="309"/>
      <c r="E234" s="309"/>
      <c r="F234" s="309"/>
      <c r="G234" s="309"/>
      <c r="H234" s="309"/>
      <c r="I234" s="309"/>
      <c r="J234" s="309"/>
      <c r="K234" s="309"/>
      <c r="L234" s="309"/>
    </row>
    <row r="235" spans="2:12">
      <c r="B235" s="309"/>
      <c r="C235" s="309"/>
      <c r="D235" s="309"/>
      <c r="E235" s="309"/>
      <c r="F235" s="309"/>
      <c r="G235" s="309"/>
      <c r="H235" s="309"/>
      <c r="I235" s="309"/>
      <c r="J235" s="309"/>
      <c r="K235" s="309"/>
      <c r="L235" s="309"/>
    </row>
    <row r="236" spans="2:12">
      <c r="B236" s="309"/>
      <c r="C236" s="309"/>
      <c r="D236" s="309"/>
      <c r="E236" s="309"/>
      <c r="F236" s="309"/>
      <c r="G236" s="309"/>
      <c r="H236" s="309"/>
      <c r="I236" s="309"/>
      <c r="J236" s="309"/>
      <c r="K236" s="309"/>
      <c r="L236" s="309"/>
    </row>
    <row r="237" spans="2:12">
      <c r="B237" s="309"/>
      <c r="C237" s="309"/>
      <c r="D237" s="309"/>
      <c r="E237" s="309"/>
      <c r="F237" s="309"/>
      <c r="G237" s="309"/>
      <c r="H237" s="309"/>
      <c r="I237" s="309"/>
      <c r="J237" s="309"/>
      <c r="K237" s="309"/>
      <c r="L237" s="309"/>
    </row>
    <row r="238" spans="2:12">
      <c r="B238" s="309"/>
      <c r="C238" s="309"/>
      <c r="D238" s="309"/>
      <c r="E238" s="309"/>
      <c r="F238" s="309"/>
      <c r="G238" s="309"/>
      <c r="H238" s="309"/>
      <c r="I238" s="309"/>
      <c r="J238" s="309"/>
      <c r="K238" s="309"/>
      <c r="L238" s="309"/>
    </row>
    <row r="239" spans="2:12">
      <c r="B239" s="309"/>
      <c r="C239" s="309"/>
      <c r="D239" s="309"/>
      <c r="E239" s="309"/>
      <c r="F239" s="309"/>
      <c r="G239" s="309"/>
      <c r="H239" s="309"/>
      <c r="I239" s="309"/>
      <c r="J239" s="309"/>
      <c r="K239" s="309"/>
      <c r="L239" s="309"/>
    </row>
    <row r="240" spans="2:12">
      <c r="B240" s="309"/>
      <c r="C240" s="309"/>
      <c r="D240" s="309"/>
      <c r="E240" s="309"/>
      <c r="F240" s="309"/>
      <c r="G240" s="309"/>
      <c r="H240" s="309"/>
      <c r="I240" s="309"/>
      <c r="J240" s="309"/>
      <c r="K240" s="309"/>
      <c r="L240" s="309"/>
    </row>
    <row r="241" spans="2:12">
      <c r="B241" s="309"/>
      <c r="C241" s="309"/>
      <c r="D241" s="309"/>
      <c r="E241" s="309"/>
      <c r="F241" s="309"/>
      <c r="G241" s="309"/>
      <c r="H241" s="309"/>
      <c r="I241" s="309"/>
      <c r="J241" s="309"/>
      <c r="K241" s="309"/>
      <c r="L241" s="309"/>
    </row>
    <row r="242" spans="2:12">
      <c r="B242" s="309"/>
      <c r="C242" s="309"/>
      <c r="D242" s="309"/>
      <c r="E242" s="309"/>
      <c r="F242" s="309"/>
      <c r="G242" s="309"/>
      <c r="H242" s="309"/>
      <c r="I242" s="309"/>
      <c r="J242" s="309"/>
      <c r="K242" s="309"/>
      <c r="L242" s="309"/>
    </row>
    <row r="243" spans="2:12">
      <c r="B243" s="309"/>
      <c r="C243" s="309"/>
      <c r="D243" s="309"/>
      <c r="E243" s="309"/>
      <c r="F243" s="309"/>
      <c r="G243" s="309"/>
      <c r="H243" s="309"/>
      <c r="I243" s="309"/>
      <c r="J243" s="309"/>
      <c r="K243" s="309"/>
      <c r="L243" s="309"/>
    </row>
    <row r="244" spans="2:12">
      <c r="B244" s="309"/>
      <c r="C244" s="309"/>
      <c r="D244" s="309"/>
      <c r="E244" s="309"/>
      <c r="F244" s="309"/>
      <c r="G244" s="309"/>
      <c r="H244" s="309"/>
      <c r="I244" s="309"/>
      <c r="J244" s="309"/>
      <c r="K244" s="309"/>
      <c r="L244" s="309"/>
    </row>
    <row r="245" spans="2:12">
      <c r="B245" s="309"/>
      <c r="C245" s="309"/>
      <c r="D245" s="309"/>
      <c r="E245" s="309"/>
      <c r="F245" s="309"/>
      <c r="G245" s="309"/>
      <c r="H245" s="309"/>
      <c r="I245" s="309"/>
      <c r="J245" s="309"/>
      <c r="K245" s="309"/>
      <c r="L245" s="309"/>
    </row>
    <row r="246" spans="2:12">
      <c r="B246" s="309"/>
      <c r="C246" s="309"/>
      <c r="D246" s="309"/>
      <c r="E246" s="309"/>
      <c r="F246" s="309"/>
      <c r="G246" s="309"/>
      <c r="H246" s="309"/>
      <c r="I246" s="309"/>
      <c r="J246" s="309"/>
      <c r="K246" s="309"/>
      <c r="L246" s="309"/>
    </row>
    <row r="247" spans="2:12">
      <c r="B247" s="309"/>
      <c r="C247" s="309"/>
      <c r="D247" s="309"/>
      <c r="E247" s="309"/>
      <c r="F247" s="309"/>
      <c r="G247" s="309"/>
      <c r="H247" s="309"/>
      <c r="I247" s="309"/>
      <c r="J247" s="309"/>
      <c r="K247" s="309"/>
      <c r="L247" s="309"/>
    </row>
    <row r="248" spans="2:12">
      <c r="B248" s="309"/>
      <c r="C248" s="309"/>
      <c r="D248" s="309"/>
      <c r="E248" s="309"/>
      <c r="F248" s="309"/>
      <c r="G248" s="309"/>
      <c r="H248" s="309"/>
      <c r="I248" s="309"/>
      <c r="J248" s="309"/>
      <c r="K248" s="309"/>
      <c r="L248" s="309"/>
    </row>
    <row r="249" spans="2:12">
      <c r="B249" s="309"/>
      <c r="C249" s="309"/>
      <c r="D249" s="309"/>
      <c r="E249" s="309"/>
      <c r="F249" s="309"/>
      <c r="G249" s="309"/>
      <c r="H249" s="309"/>
      <c r="I249" s="309"/>
      <c r="J249" s="309"/>
      <c r="K249" s="309"/>
      <c r="L249" s="309"/>
    </row>
    <row r="250" spans="2:12">
      <c r="B250" s="309"/>
      <c r="C250" s="309"/>
      <c r="D250" s="309"/>
      <c r="E250" s="309"/>
      <c r="F250" s="309"/>
      <c r="G250" s="309"/>
      <c r="H250" s="309"/>
      <c r="I250" s="309"/>
      <c r="J250" s="309"/>
      <c r="K250" s="309"/>
      <c r="L250" s="309"/>
    </row>
  </sheetData>
  <mergeCells count="12">
    <mergeCell ref="A55:J55"/>
    <mergeCell ref="A56:J56"/>
    <mergeCell ref="A35:C35"/>
    <mergeCell ref="A17:D17"/>
    <mergeCell ref="E17:J17"/>
    <mergeCell ref="A38:J38"/>
    <mergeCell ref="E35:J35"/>
    <mergeCell ref="A5:A6"/>
    <mergeCell ref="A2:J2"/>
    <mergeCell ref="A4:J4"/>
    <mergeCell ref="A15:J15"/>
    <mergeCell ref="A13:J13"/>
  </mergeCells>
  <pageMargins left="0.7" right="0.7" top="0.86956521739130432" bottom="0.61458333333333337" header="0.3" footer="0.3"/>
  <pageSetup orientation="portrait" r:id="rId1"/>
  <headerFooter>
    <oddHeader>&amp;R&amp;7Informe de la Operación Mensual - Abril 2018
INFSGI-MES-04-2018
10/05/2018
Versión: 01</oddHeader>
    <oddFooter>&amp;L&amp;7COES SINAC, 2018
&amp;C17&amp;R&amp;7Dirección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1735F-B667-4EC8-A3BD-6AC278BC6178}">
  <sheetPr>
    <tabColor theme="4"/>
  </sheetPr>
  <dimension ref="A1:P56"/>
  <sheetViews>
    <sheetView showGridLines="0" view="pageBreakPreview" zoomScaleNormal="130" zoomScaleSheetLayoutView="100" zoomScalePageLayoutView="130" workbookViewId="0">
      <selection activeCell="P17" sqref="P17"/>
    </sheetView>
  </sheetViews>
  <sheetFormatPr defaultRowHeight="11.25"/>
  <cols>
    <col min="1" max="7" width="9.33203125" style="3"/>
    <col min="8" max="10" width="11.1640625" style="3" customWidth="1"/>
    <col min="11" max="11" width="12.5" style="3" customWidth="1"/>
    <col min="12" max="12" width="9.33203125" style="3" customWidth="1"/>
    <col min="13" max="16384" width="9.33203125" style="3"/>
  </cols>
  <sheetData>
    <row r="1" spans="1:16">
      <c r="A1" s="160"/>
      <c r="B1" s="160"/>
      <c r="C1" s="160"/>
      <c r="D1" s="160"/>
      <c r="E1" s="160"/>
      <c r="F1" s="160"/>
      <c r="G1" s="160"/>
      <c r="H1" s="160"/>
      <c r="I1" s="160"/>
      <c r="J1" s="160"/>
      <c r="K1" s="160"/>
      <c r="L1" s="160"/>
    </row>
    <row r="2" spans="1:16">
      <c r="A2" s="160"/>
      <c r="B2" s="160"/>
      <c r="C2" s="160"/>
      <c r="D2" s="160"/>
      <c r="E2" s="160"/>
      <c r="F2" s="160"/>
      <c r="G2" s="160"/>
      <c r="H2" s="160"/>
      <c r="I2" s="160"/>
      <c r="J2" s="160"/>
      <c r="K2" s="160"/>
      <c r="L2" s="160"/>
      <c r="M2" s="160"/>
      <c r="N2" s="160"/>
      <c r="O2" s="160"/>
      <c r="P2" s="160"/>
    </row>
    <row r="3" spans="1:16">
      <c r="A3" s="854" t="s">
        <v>0</v>
      </c>
      <c r="B3" s="854"/>
      <c r="C3" s="854"/>
      <c r="D3" s="854"/>
      <c r="E3" s="854"/>
      <c r="F3" s="854"/>
      <c r="G3" s="854"/>
      <c r="H3" s="854"/>
      <c r="I3" s="854"/>
      <c r="J3" s="854"/>
      <c r="K3" s="854"/>
      <c r="L3" s="854"/>
    </row>
    <row r="4" spans="1:16">
      <c r="A4" s="854"/>
      <c r="B4" s="854"/>
      <c r="C4" s="854"/>
      <c r="D4" s="854"/>
      <c r="E4" s="854"/>
      <c r="F4" s="854"/>
      <c r="G4" s="854"/>
      <c r="H4" s="854"/>
      <c r="I4" s="854"/>
      <c r="J4" s="854"/>
      <c r="K4" s="854"/>
      <c r="L4" s="854"/>
    </row>
    <row r="5" spans="1:16" ht="12">
      <c r="A5" s="46"/>
      <c r="B5" s="310"/>
      <c r="C5" s="4"/>
      <c r="D5" s="4"/>
      <c r="E5" s="47"/>
      <c r="F5" s="4"/>
      <c r="G5" s="4"/>
      <c r="H5" s="4"/>
      <c r="I5" s="4"/>
      <c r="J5" s="4"/>
      <c r="K5" s="4"/>
      <c r="L5" s="10" t="s">
        <v>1</v>
      </c>
    </row>
    <row r="6" spans="1:16" ht="12">
      <c r="A6" s="46"/>
      <c r="B6" s="310"/>
      <c r="C6" s="4"/>
      <c r="D6" s="4"/>
      <c r="E6" s="47"/>
      <c r="F6" s="4"/>
      <c r="G6" s="4"/>
      <c r="H6" s="4"/>
      <c r="I6" s="4"/>
      <c r="J6" s="4"/>
      <c r="K6" s="4"/>
      <c r="L6" s="7"/>
    </row>
    <row r="7" spans="1:16" ht="19.5" customHeight="1">
      <c r="A7" s="27" t="s">
        <v>535</v>
      </c>
      <c r="B7" s="311"/>
      <c r="C7" s="32"/>
      <c r="D7" s="32"/>
      <c r="E7" s="32"/>
      <c r="F7" s="32"/>
      <c r="G7" s="32"/>
      <c r="H7" s="32"/>
      <c r="I7" s="32"/>
      <c r="J7" s="32"/>
      <c r="K7" s="32"/>
      <c r="L7" s="32"/>
    </row>
    <row r="8" spans="1:16" ht="17.25" customHeight="1">
      <c r="A8" s="312"/>
      <c r="B8" s="32" t="s">
        <v>613</v>
      </c>
      <c r="C8" s="30"/>
      <c r="D8" s="30"/>
      <c r="E8" s="30"/>
      <c r="F8" s="30"/>
      <c r="G8" s="30"/>
      <c r="H8" s="30"/>
      <c r="I8" s="30"/>
      <c r="J8" s="28"/>
      <c r="K8" s="28"/>
      <c r="L8" s="31">
        <v>1</v>
      </c>
    </row>
    <row r="9" spans="1:16" ht="9.75" customHeight="1">
      <c r="A9" s="312"/>
      <c r="B9" s="32"/>
      <c r="C9" s="30"/>
      <c r="D9" s="30"/>
      <c r="E9" s="30"/>
      <c r="F9" s="30"/>
      <c r="G9" s="30"/>
      <c r="H9" s="30"/>
      <c r="I9" s="30"/>
      <c r="J9" s="30"/>
      <c r="K9" s="30"/>
      <c r="L9" s="31"/>
    </row>
    <row r="10" spans="1:16" ht="19.5" customHeight="1">
      <c r="A10" s="27" t="s">
        <v>498</v>
      </c>
      <c r="B10" s="313"/>
      <c r="C10" s="32"/>
      <c r="D10" s="32"/>
      <c r="E10" s="32"/>
      <c r="F10" s="32"/>
      <c r="G10" s="32"/>
      <c r="H10" s="32"/>
      <c r="I10" s="32"/>
      <c r="J10" s="32"/>
      <c r="K10" s="32"/>
      <c r="L10" s="34"/>
    </row>
    <row r="11" spans="1:16" ht="19.5" customHeight="1">
      <c r="A11" s="35"/>
      <c r="B11" s="32" t="s">
        <v>257</v>
      </c>
      <c r="C11" s="32"/>
      <c r="D11" s="32"/>
      <c r="E11" s="32"/>
      <c r="F11" s="28"/>
      <c r="G11" s="28"/>
      <c r="H11" s="28"/>
      <c r="I11" s="28"/>
      <c r="J11" s="28"/>
      <c r="K11" s="28"/>
      <c r="L11" s="29" t="s">
        <v>2</v>
      </c>
    </row>
    <row r="12" spans="1:16" ht="19.5" customHeight="1">
      <c r="A12" s="35"/>
      <c r="B12" s="37" t="s">
        <v>510</v>
      </c>
      <c r="C12" s="32"/>
      <c r="D12" s="32"/>
      <c r="E12" s="28"/>
      <c r="F12" s="28"/>
      <c r="G12" s="28"/>
      <c r="H12" s="28"/>
      <c r="I12" s="28"/>
      <c r="J12" s="28"/>
      <c r="K12" s="28"/>
      <c r="L12" s="29" t="s">
        <v>2</v>
      </c>
    </row>
    <row r="13" spans="1:16" ht="10.5" customHeight="1">
      <c r="A13" s="312"/>
      <c r="B13" s="30"/>
      <c r="C13" s="30"/>
      <c r="D13" s="30"/>
      <c r="E13" s="30"/>
      <c r="F13" s="30"/>
      <c r="G13" s="30"/>
      <c r="H13" s="30"/>
      <c r="I13" s="30"/>
      <c r="J13" s="30"/>
      <c r="K13" s="30"/>
      <c r="L13" s="31"/>
    </row>
    <row r="14" spans="1:16" ht="19.5" customHeight="1">
      <c r="A14" s="27" t="s">
        <v>525</v>
      </c>
      <c r="B14" s="37"/>
      <c r="C14" s="32"/>
      <c r="D14" s="32"/>
      <c r="E14" s="32"/>
      <c r="F14" s="32"/>
      <c r="G14" s="32"/>
      <c r="H14" s="32"/>
      <c r="I14" s="32"/>
      <c r="J14" s="32"/>
      <c r="K14" s="32"/>
      <c r="L14" s="34"/>
    </row>
    <row r="15" spans="1:16" ht="19.5" customHeight="1">
      <c r="A15" s="35"/>
      <c r="B15" s="32" t="s">
        <v>499</v>
      </c>
      <c r="C15" s="32"/>
      <c r="D15" s="32"/>
      <c r="E15" s="32"/>
      <c r="F15" s="28"/>
      <c r="G15" s="28"/>
      <c r="H15" s="28"/>
      <c r="I15" s="28"/>
      <c r="J15" s="28"/>
      <c r="K15" s="28"/>
      <c r="L15" s="29" t="s">
        <v>3</v>
      </c>
    </row>
    <row r="16" spans="1:16" ht="19.5" customHeight="1">
      <c r="A16" s="35"/>
      <c r="B16" s="37" t="s">
        <v>508</v>
      </c>
      <c r="C16" s="32"/>
      <c r="D16" s="32"/>
      <c r="E16" s="32"/>
      <c r="F16" s="32"/>
      <c r="G16" s="28"/>
      <c r="H16" s="28"/>
      <c r="I16" s="28"/>
      <c r="J16" s="28"/>
      <c r="K16" s="28"/>
      <c r="L16" s="29" t="s">
        <v>4</v>
      </c>
    </row>
    <row r="17" spans="1:12" ht="19.5" customHeight="1">
      <c r="A17" s="35"/>
      <c r="B17" s="37" t="s">
        <v>500</v>
      </c>
      <c r="C17" s="32"/>
      <c r="D17" s="32"/>
      <c r="E17" s="32"/>
      <c r="F17" s="32"/>
      <c r="G17" s="28"/>
      <c r="H17" s="28"/>
      <c r="I17" s="28"/>
      <c r="J17" s="28"/>
      <c r="K17" s="28"/>
      <c r="L17" s="29" t="s">
        <v>5</v>
      </c>
    </row>
    <row r="18" spans="1:12" ht="19.5" customHeight="1">
      <c r="A18" s="35"/>
      <c r="B18" s="37" t="s">
        <v>501</v>
      </c>
      <c r="C18" s="32"/>
      <c r="D18" s="32"/>
      <c r="E18" s="32"/>
      <c r="F18" s="28"/>
      <c r="G18" s="28"/>
      <c r="H18" s="28"/>
      <c r="I18" s="28"/>
      <c r="J18" s="28"/>
      <c r="K18" s="28"/>
      <c r="L18" s="29" t="s">
        <v>6</v>
      </c>
    </row>
    <row r="19" spans="1:12" ht="19.5" customHeight="1">
      <c r="A19" s="35"/>
      <c r="B19" s="314" t="s">
        <v>502</v>
      </c>
      <c r="C19" s="32"/>
      <c r="D19" s="32"/>
      <c r="E19" s="32"/>
      <c r="F19" s="32"/>
      <c r="G19" s="32"/>
      <c r="H19" s="28"/>
      <c r="I19" s="28"/>
      <c r="J19" s="28"/>
      <c r="K19" s="28"/>
      <c r="L19" s="29" t="s">
        <v>7</v>
      </c>
    </row>
    <row r="20" spans="1:12" ht="10.5" customHeight="1">
      <c r="A20" s="35"/>
      <c r="B20" s="37"/>
      <c r="C20" s="32"/>
      <c r="D20" s="32"/>
      <c r="E20" s="32"/>
      <c r="F20" s="32"/>
      <c r="G20" s="32"/>
      <c r="H20" s="32"/>
      <c r="I20" s="32"/>
      <c r="J20" s="32"/>
      <c r="K20" s="32"/>
      <c r="L20" s="29"/>
    </row>
    <row r="21" spans="1:12" ht="19.5" customHeight="1">
      <c r="A21" s="27" t="s">
        <v>524</v>
      </c>
      <c r="B21" s="312"/>
      <c r="C21" s="37"/>
      <c r="D21" s="32"/>
      <c r="E21" s="32"/>
      <c r="F21" s="32"/>
      <c r="G21" s="32"/>
      <c r="H21" s="32"/>
      <c r="I21" s="32"/>
      <c r="J21" s="32"/>
      <c r="K21" s="32"/>
      <c r="L21" s="39"/>
    </row>
    <row r="22" spans="1:12" ht="19.5" customHeight="1">
      <c r="A22" s="312"/>
      <c r="B22" s="32" t="s">
        <v>526</v>
      </c>
      <c r="C22" s="32"/>
      <c r="D22" s="32"/>
      <c r="E22" s="32"/>
      <c r="F22" s="32"/>
      <c r="G22" s="28"/>
      <c r="H22" s="28"/>
      <c r="I22" s="28"/>
      <c r="J22" s="28"/>
      <c r="K22" s="28"/>
      <c r="L22" s="29" t="s">
        <v>9</v>
      </c>
    </row>
    <row r="23" spans="1:12" ht="19.5" customHeight="1">
      <c r="A23" s="40"/>
      <c r="B23" s="32" t="s">
        <v>527</v>
      </c>
      <c r="C23" s="32"/>
      <c r="D23" s="32"/>
      <c r="E23" s="32"/>
      <c r="F23" s="32"/>
      <c r="G23" s="32"/>
      <c r="H23" s="32"/>
      <c r="I23" s="28"/>
      <c r="J23" s="28"/>
      <c r="K23" s="28"/>
      <c r="L23" s="29" t="s">
        <v>10</v>
      </c>
    </row>
    <row r="24" spans="1:12" ht="10.5" customHeight="1">
      <c r="A24" s="40"/>
      <c r="B24" s="33"/>
      <c r="C24" s="41"/>
      <c r="D24" s="33"/>
      <c r="E24" s="33"/>
      <c r="F24" s="33"/>
      <c r="G24" s="33"/>
      <c r="H24" s="33"/>
      <c r="I24" s="33"/>
      <c r="J24" s="33"/>
      <c r="K24" s="33"/>
      <c r="L24" s="29"/>
    </row>
    <row r="25" spans="1:12" ht="19.5" customHeight="1">
      <c r="A25" s="27" t="s">
        <v>297</v>
      </c>
      <c r="B25" s="312"/>
      <c r="C25" s="37"/>
      <c r="D25" s="32"/>
      <c r="E25" s="32"/>
      <c r="F25" s="32"/>
      <c r="G25" s="32"/>
      <c r="H25" s="32"/>
      <c r="I25" s="32"/>
      <c r="J25" s="32"/>
      <c r="K25" s="32"/>
      <c r="L25" s="39"/>
    </row>
    <row r="26" spans="1:12" ht="19.5" customHeight="1">
      <c r="A26" s="312"/>
      <c r="B26" s="32" t="s">
        <v>529</v>
      </c>
      <c r="C26" s="32"/>
      <c r="D26" s="32"/>
      <c r="E26" s="32"/>
      <c r="F26" s="28"/>
      <c r="G26" s="28"/>
      <c r="H26" s="28"/>
      <c r="I26" s="28"/>
      <c r="J26" s="28"/>
      <c r="K26" s="42"/>
      <c r="L26" s="29" t="s">
        <v>11</v>
      </c>
    </row>
    <row r="27" spans="1:12" ht="19.5" customHeight="1">
      <c r="A27" s="312"/>
      <c r="B27" s="32" t="s">
        <v>503</v>
      </c>
      <c r="C27" s="32"/>
      <c r="D27" s="32"/>
      <c r="E27" s="32"/>
      <c r="F27" s="32"/>
      <c r="G27" s="28"/>
      <c r="H27" s="28"/>
      <c r="I27" s="28"/>
      <c r="J27" s="28"/>
      <c r="K27" s="42"/>
      <c r="L27" s="29" t="s">
        <v>11</v>
      </c>
    </row>
    <row r="28" spans="1:12" ht="19.5" customHeight="1">
      <c r="A28" s="40"/>
      <c r="B28" s="32" t="s">
        <v>528</v>
      </c>
      <c r="C28" s="32"/>
      <c r="D28" s="32"/>
      <c r="E28" s="32"/>
      <c r="F28" s="28"/>
      <c r="G28" s="28"/>
      <c r="H28" s="42"/>
      <c r="I28" s="42"/>
      <c r="J28" s="42"/>
      <c r="K28" s="42"/>
      <c r="L28" s="29" t="s">
        <v>12</v>
      </c>
    </row>
    <row r="29" spans="1:12" ht="19.5" customHeight="1">
      <c r="A29" s="40"/>
      <c r="B29" s="32" t="s">
        <v>509</v>
      </c>
      <c r="C29" s="32"/>
      <c r="D29" s="32"/>
      <c r="E29" s="28"/>
      <c r="F29" s="42"/>
      <c r="G29" s="42"/>
      <c r="H29" s="42"/>
      <c r="I29" s="42"/>
      <c r="J29" s="42"/>
      <c r="K29" s="42"/>
      <c r="L29" s="29" t="s">
        <v>12</v>
      </c>
    </row>
    <row r="30" spans="1:12" ht="10.5" customHeight="1">
      <c r="A30" s="40"/>
      <c r="B30" s="32"/>
      <c r="C30" s="32"/>
      <c r="D30" s="32"/>
      <c r="E30" s="32"/>
      <c r="F30" s="32"/>
      <c r="G30" s="32"/>
      <c r="H30" s="32"/>
      <c r="I30" s="32"/>
      <c r="J30" s="32"/>
      <c r="K30" s="32"/>
      <c r="L30" s="29"/>
    </row>
    <row r="31" spans="1:12" ht="19.5" customHeight="1">
      <c r="A31" s="27" t="s">
        <v>516</v>
      </c>
      <c r="B31" s="32"/>
      <c r="C31" s="32"/>
      <c r="D31" s="32"/>
      <c r="E31" s="32"/>
      <c r="F31" s="32"/>
      <c r="G31" s="32"/>
      <c r="H31" s="32"/>
      <c r="I31" s="32"/>
      <c r="J31" s="32"/>
      <c r="K31" s="32"/>
      <c r="L31" s="29"/>
    </row>
    <row r="32" spans="1:12" ht="19.5" customHeight="1">
      <c r="A32" s="40"/>
      <c r="B32" s="32" t="s">
        <v>530</v>
      </c>
      <c r="C32" s="32"/>
      <c r="D32" s="32"/>
      <c r="E32" s="32"/>
      <c r="F32" s="32"/>
      <c r="G32" s="28"/>
      <c r="H32" s="28"/>
      <c r="I32" s="28"/>
      <c r="J32" s="28"/>
      <c r="K32" s="28"/>
      <c r="L32" s="29" t="s">
        <v>13</v>
      </c>
    </row>
    <row r="33" spans="1:12" ht="19.5" customHeight="1">
      <c r="A33" s="40"/>
      <c r="B33" s="32" t="s">
        <v>504</v>
      </c>
      <c r="C33" s="32"/>
      <c r="D33" s="32"/>
      <c r="E33" s="32"/>
      <c r="F33" s="32"/>
      <c r="G33" s="32"/>
      <c r="H33" s="28"/>
      <c r="I33" s="28"/>
      <c r="J33" s="28"/>
      <c r="K33" s="28"/>
      <c r="L33" s="29" t="s">
        <v>14</v>
      </c>
    </row>
    <row r="34" spans="1:12" ht="10.5" customHeight="1">
      <c r="A34" s="40"/>
      <c r="B34" s="32"/>
      <c r="C34" s="32"/>
      <c r="D34" s="32"/>
      <c r="E34" s="32"/>
      <c r="F34" s="32"/>
      <c r="G34" s="32"/>
      <c r="H34" s="32"/>
      <c r="I34" s="32"/>
      <c r="J34" s="32"/>
      <c r="K34" s="32"/>
      <c r="L34" s="29"/>
    </row>
    <row r="35" spans="1:12" ht="19.5" customHeight="1">
      <c r="A35" s="27" t="s">
        <v>505</v>
      </c>
      <c r="B35" s="33"/>
      <c r="C35" s="41"/>
      <c r="D35" s="33"/>
      <c r="E35" s="33"/>
      <c r="F35" s="33"/>
      <c r="G35" s="33"/>
      <c r="H35" s="33"/>
      <c r="I35" s="33"/>
      <c r="J35" s="33"/>
      <c r="K35" s="33"/>
      <c r="L35" s="29"/>
    </row>
    <row r="36" spans="1:12" ht="19.5" customHeight="1">
      <c r="A36" s="35"/>
      <c r="B36" s="32" t="s">
        <v>531</v>
      </c>
      <c r="C36" s="32"/>
      <c r="D36" s="32"/>
      <c r="E36" s="32"/>
      <c r="F36" s="28"/>
      <c r="G36" s="28"/>
      <c r="H36" s="28"/>
      <c r="I36" s="28"/>
      <c r="J36" s="28"/>
      <c r="K36" s="28"/>
      <c r="L36" s="29" t="s">
        <v>15</v>
      </c>
    </row>
    <row r="37" spans="1:12" ht="10.5" customHeight="1">
      <c r="A37" s="35"/>
      <c r="B37" s="32"/>
      <c r="C37" s="32"/>
      <c r="D37" s="32"/>
      <c r="E37" s="32"/>
      <c r="F37" s="32"/>
      <c r="G37" s="32"/>
      <c r="H37" s="32"/>
      <c r="I37" s="32"/>
      <c r="J37" s="32"/>
      <c r="K37" s="32"/>
      <c r="L37" s="29"/>
    </row>
    <row r="38" spans="1:12" ht="19.5" customHeight="1">
      <c r="A38" s="27" t="s">
        <v>506</v>
      </c>
      <c r="B38" s="44"/>
      <c r="C38" s="32"/>
      <c r="D38" s="32"/>
      <c r="E38" s="32"/>
      <c r="F38" s="32"/>
      <c r="G38" s="32"/>
      <c r="H38" s="32"/>
      <c r="I38" s="32"/>
      <c r="J38" s="32"/>
      <c r="K38" s="32"/>
      <c r="L38" s="48"/>
    </row>
    <row r="39" spans="1:12" ht="19.5" customHeight="1">
      <c r="A39" s="35"/>
      <c r="B39" s="32" t="s">
        <v>507</v>
      </c>
      <c r="C39" s="32"/>
      <c r="D39" s="32"/>
      <c r="E39" s="32"/>
      <c r="F39" s="32"/>
      <c r="G39" s="32"/>
      <c r="H39" s="28"/>
      <c r="I39" s="28"/>
      <c r="J39" s="28"/>
      <c r="K39" s="28"/>
      <c r="L39" s="29" t="s">
        <v>16</v>
      </c>
    </row>
    <row r="40" spans="1:12" ht="10.5" customHeight="1">
      <c r="A40" s="312"/>
      <c r="B40" s="32"/>
      <c r="C40" s="32"/>
      <c r="D40" s="32"/>
      <c r="E40" s="32"/>
      <c r="F40" s="32"/>
      <c r="G40" s="32"/>
      <c r="H40" s="32"/>
      <c r="I40" s="32"/>
      <c r="J40" s="32"/>
      <c r="K40" s="32"/>
      <c r="L40" s="29"/>
    </row>
    <row r="41" spans="1:12" ht="19.5" customHeight="1">
      <c r="A41" s="27" t="s">
        <v>232</v>
      </c>
      <c r="B41" s="32"/>
      <c r="C41" s="32"/>
      <c r="D41" s="32"/>
      <c r="E41" s="32"/>
      <c r="F41" s="32"/>
      <c r="G41" s="32"/>
      <c r="H41" s="32"/>
      <c r="I41" s="32"/>
      <c r="J41" s="32"/>
      <c r="K41" s="32"/>
      <c r="L41" s="29"/>
    </row>
    <row r="42" spans="1:12" ht="19.5" customHeight="1">
      <c r="A42" s="27" t="s">
        <v>17</v>
      </c>
      <c r="B42" s="32"/>
      <c r="C42" s="32"/>
      <c r="D42" s="32"/>
      <c r="E42" s="32"/>
      <c r="F42" s="32"/>
      <c r="G42" s="32"/>
      <c r="H42" s="32"/>
      <c r="I42" s="36"/>
      <c r="J42" s="36"/>
      <c r="K42" s="36"/>
      <c r="L42" s="29" t="s">
        <v>18</v>
      </c>
    </row>
    <row r="43" spans="1:12" ht="19.5" customHeight="1">
      <c r="A43" s="27" t="s">
        <v>532</v>
      </c>
      <c r="B43" s="32"/>
      <c r="C43" s="32"/>
      <c r="D43" s="32"/>
      <c r="E43" s="32"/>
      <c r="F43" s="28"/>
      <c r="G43" s="28"/>
      <c r="H43" s="28"/>
      <c r="I43" s="28"/>
      <c r="J43" s="28"/>
      <c r="K43" s="28"/>
      <c r="L43" s="29" t="s">
        <v>19</v>
      </c>
    </row>
    <row r="44" spans="1:12" ht="19.5" customHeight="1">
      <c r="A44" s="27" t="s">
        <v>20</v>
      </c>
      <c r="B44" s="32"/>
      <c r="C44" s="32"/>
      <c r="D44" s="32"/>
      <c r="E44" s="28"/>
      <c r="F44" s="28"/>
      <c r="G44" s="28"/>
      <c r="H44" s="28"/>
      <c r="I44" s="28"/>
      <c r="J44" s="28"/>
      <c r="K44" s="28"/>
      <c r="L44" s="29" t="s">
        <v>21</v>
      </c>
    </row>
    <row r="45" spans="1:12">
      <c r="A45" s="160"/>
      <c r="B45" s="160"/>
      <c r="C45" s="160"/>
      <c r="D45" s="160"/>
      <c r="E45" s="160"/>
      <c r="F45" s="160"/>
      <c r="G45" s="160"/>
      <c r="H45" s="160"/>
      <c r="I45" s="160"/>
      <c r="J45" s="160"/>
      <c r="K45" s="160"/>
      <c r="L45" s="160"/>
    </row>
    <row r="47" spans="1:12" ht="12">
      <c r="A47" s="14"/>
      <c r="B47" s="14"/>
      <c r="C47" s="14"/>
      <c r="D47" s="14"/>
      <c r="E47" s="14"/>
      <c r="F47" s="14"/>
      <c r="G47" s="14"/>
      <c r="H47" s="14"/>
      <c r="I47" s="14"/>
      <c r="J47" s="14"/>
      <c r="K47" s="14"/>
      <c r="L47" s="14"/>
    </row>
    <row r="48" spans="1:12" ht="12">
      <c r="A48" s="14"/>
      <c r="B48" s="14"/>
      <c r="C48" s="14"/>
      <c r="D48" s="14"/>
      <c r="E48" s="14"/>
      <c r="F48" s="14"/>
      <c r="G48" s="14"/>
      <c r="H48" s="14"/>
      <c r="I48" s="14"/>
      <c r="J48" s="14"/>
      <c r="K48" s="14"/>
      <c r="L48" s="14"/>
    </row>
    <row r="49" spans="1:12" ht="12">
      <c r="A49" s="14"/>
      <c r="B49" s="14"/>
      <c r="C49" s="14"/>
      <c r="D49" s="14"/>
      <c r="E49" s="14"/>
      <c r="F49" s="14"/>
      <c r="G49" s="14"/>
      <c r="H49" s="14"/>
      <c r="I49" s="14"/>
      <c r="J49" s="14"/>
      <c r="K49" s="14"/>
      <c r="L49" s="14"/>
    </row>
    <row r="50" spans="1:12" ht="12">
      <c r="A50" s="14"/>
      <c r="B50" s="14"/>
      <c r="C50" s="14"/>
      <c r="D50" s="14"/>
      <c r="E50" s="14"/>
      <c r="F50" s="14"/>
      <c r="G50" s="14"/>
      <c r="H50" s="14"/>
      <c r="I50" s="14"/>
      <c r="J50" s="14"/>
      <c r="K50" s="14"/>
      <c r="L50" s="14"/>
    </row>
    <row r="51" spans="1:12" ht="12">
      <c r="A51" s="14"/>
      <c r="B51" s="14"/>
      <c r="C51" s="14"/>
      <c r="D51" s="14"/>
      <c r="E51" s="14"/>
      <c r="F51" s="14"/>
      <c r="G51" s="14"/>
      <c r="H51" s="14"/>
      <c r="I51" s="14"/>
      <c r="J51" s="14"/>
      <c r="K51" s="14"/>
      <c r="L51" s="14"/>
    </row>
    <row r="52" spans="1:12" ht="12">
      <c r="A52" s="14"/>
      <c r="B52" s="14"/>
      <c r="C52" s="14"/>
      <c r="D52" s="14"/>
      <c r="E52" s="14"/>
      <c r="F52" s="14"/>
      <c r="G52" s="14"/>
      <c r="H52" s="14"/>
      <c r="I52" s="14"/>
      <c r="J52" s="14"/>
      <c r="K52" s="14"/>
      <c r="L52" s="14"/>
    </row>
    <row r="53" spans="1:12" ht="12">
      <c r="A53" s="14"/>
      <c r="B53" s="14"/>
      <c r="C53" s="14"/>
      <c r="D53" s="14"/>
      <c r="E53" s="14"/>
      <c r="F53" s="14"/>
      <c r="G53" s="14"/>
      <c r="H53" s="14"/>
      <c r="I53" s="14"/>
      <c r="J53" s="14"/>
      <c r="K53" s="14"/>
      <c r="L53" s="14"/>
    </row>
    <row r="54" spans="1:12" ht="12">
      <c r="A54" s="14"/>
      <c r="B54" s="14"/>
      <c r="C54" s="14"/>
      <c r="D54" s="14"/>
      <c r="E54" s="14"/>
      <c r="F54" s="14"/>
      <c r="G54" s="14"/>
      <c r="H54" s="14"/>
      <c r="I54" s="14"/>
      <c r="J54" s="14"/>
      <c r="K54" s="14"/>
      <c r="L54" s="14"/>
    </row>
    <row r="55" spans="1:12" ht="12">
      <c r="A55" s="14"/>
      <c r="B55" s="14"/>
      <c r="C55" s="14"/>
      <c r="D55" s="14"/>
      <c r="E55" s="14"/>
      <c r="F55" s="14"/>
      <c r="G55" s="14"/>
      <c r="H55" s="14"/>
      <c r="I55" s="14"/>
      <c r="J55" s="14"/>
      <c r="K55" s="14"/>
      <c r="L55" s="14"/>
    </row>
    <row r="56" spans="1:12" ht="12">
      <c r="A56" s="14"/>
      <c r="B56" s="14"/>
      <c r="C56" s="14"/>
      <c r="D56" s="14"/>
      <c r="E56" s="14"/>
      <c r="F56" s="14"/>
      <c r="G56" s="14"/>
      <c r="H56" s="14"/>
      <c r="I56" s="14"/>
      <c r="J56" s="14"/>
      <c r="K56" s="14"/>
      <c r="L56" s="14"/>
    </row>
  </sheetData>
  <mergeCells count="1">
    <mergeCell ref="A3:L4"/>
  </mergeCells>
  <hyperlinks>
    <hyperlink ref="L15" location="Table1!A1" display="Table1!A1" xr:uid="{EF7A307D-331A-4A98-B391-D9F2CB5EDE46}"/>
    <hyperlink ref="L16" location="Table2!A1" display="Table2!A1" xr:uid="{E6404FB7-85D2-44E2-83F2-EB5669C2CE33}"/>
    <hyperlink ref="L17" location="Table3!A1" display="Table3!A1" xr:uid="{1055BEB9-DD65-4A9F-A258-94C852444247}"/>
    <hyperlink ref="L19" location="Table4!A1" display="Table4!A1" xr:uid="{31C7E96D-1FAA-4F57-B83B-2F9F2D3CB828}"/>
    <hyperlink ref="L22" location="Table5!A1" display="Table5!A1" xr:uid="{35469B94-C409-44E7-A2E1-28A0A6F74E7D}"/>
    <hyperlink ref="L36" location="Table6!A1" display="Table6!A1" xr:uid="{77E25608-FFD3-4595-90A5-D9F3FC8CA19B}"/>
    <hyperlink ref="L23" location="Table5!A1" display="Table5!A1" xr:uid="{E03211D1-9663-4A00-A814-4753AF68170E}"/>
    <hyperlink ref="L26" location="Table5!A1" display="Table5!A1" xr:uid="{A333BB67-48E0-4C19-A204-535D64526A98}"/>
    <hyperlink ref="L28" location="Table5!A1" display="Table5!A1" xr:uid="{5D321501-6A96-4765-9594-5B1A16DA2887}"/>
    <hyperlink ref="L32" location="Table5!A1" display="Table5!A1" xr:uid="{069EA9F3-8D1E-4C06-B121-F310E280745B}"/>
    <hyperlink ref="L11" location="Table1!A1" display="Table1!A1" xr:uid="{C9FD1813-F1F4-4CDD-BF1D-7C6D0CB34064}"/>
    <hyperlink ref="L42" location="'Principles and Definitions'!A1" display="ii" xr:uid="{DC72B0F8-7BED-4535-A37F-C990FED4BF9D}"/>
    <hyperlink ref="L43" location="'Principles and Definitions'!A1" display="ii" xr:uid="{5A0D0925-BBB5-4C94-BADF-B95E1BEC5180}"/>
    <hyperlink ref="L44" location="'Principles and Definitions'!A1" display="ii" xr:uid="{BB884647-44F1-4A41-8415-1FE4771FBFE5}"/>
    <hyperlink ref="L29" location="Table5!A1" display="Table5!A1" xr:uid="{D85DFFEB-8369-4901-908E-1250AAE3ACA6}"/>
    <hyperlink ref="L33" location="Table5!A1" display="Table5!A1" xr:uid="{0DA2B7B7-5DAE-4265-9065-9297344895AE}"/>
  </hyperlinks>
  <pageMargins left="0.5803571428571429" right="0.38690476190476192" top="0.5803571428571429" bottom="0.52083333333333337" header="0.3" footer="0.3"/>
  <pageSetup orientation="portrait" r:id="rId1"/>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BED6-562D-4B0B-8226-D6E91D4875EB}">
  <sheetPr>
    <tabColor theme="4"/>
  </sheetPr>
  <dimension ref="A1:M165"/>
  <sheetViews>
    <sheetView showGridLines="0" view="pageBreakPreview" zoomScale="130" zoomScaleNormal="100" zoomScaleSheetLayoutView="130" zoomScalePageLayoutView="145" workbookViewId="0">
      <selection activeCell="P17" sqref="P17"/>
    </sheetView>
  </sheetViews>
  <sheetFormatPr defaultRowHeight="11.25"/>
  <cols>
    <col min="1" max="1" width="21.83203125" style="50" customWidth="1"/>
    <col min="2" max="2" width="20.83203125" style="50" customWidth="1"/>
    <col min="3" max="3" width="15.83203125" style="50" customWidth="1"/>
    <col min="4" max="4" width="17" style="50" customWidth="1"/>
    <col min="5" max="5" width="13.5" style="50" customWidth="1"/>
    <col min="6" max="6" width="13.83203125" style="50" customWidth="1"/>
    <col min="7" max="7" width="14.5" style="50" customWidth="1"/>
    <col min="8" max="9" width="9.33203125" style="50"/>
    <col min="10" max="11" width="9.33203125" style="50" customWidth="1"/>
    <col min="12" max="13" width="9.33203125" style="50"/>
    <col min="14" max="16384" width="9.33203125" style="3"/>
  </cols>
  <sheetData>
    <row r="1" spans="1:12" ht="11.25" customHeight="1">
      <c r="A1" s="454" t="s">
        <v>325</v>
      </c>
      <c r="B1" s="439"/>
      <c r="C1" s="439"/>
      <c r="D1" s="439"/>
      <c r="E1" s="439"/>
      <c r="F1" s="439"/>
      <c r="G1" s="439"/>
    </row>
    <row r="2" spans="1:12" ht="14.25" customHeight="1">
      <c r="A2" s="953" t="s">
        <v>294</v>
      </c>
      <c r="B2" s="956" t="s">
        <v>57</v>
      </c>
      <c r="C2" s="959" t="str">
        <f>"ENERGÍA PRODUCIDA "&amp;UPPER('1. Resumen'!Q4)&amp;" "&amp;'1. Resumen'!Q5</f>
        <v>ENERGÍA PRODUCIDA ABRIL 2018</v>
      </c>
      <c r="D2" s="959"/>
      <c r="E2" s="959"/>
      <c r="F2" s="959"/>
      <c r="G2" s="455" t="s">
        <v>326</v>
      </c>
      <c r="H2" s="280"/>
      <c r="I2" s="280"/>
      <c r="J2" s="280"/>
      <c r="K2" s="280"/>
    </row>
    <row r="3" spans="1:12" ht="11.25" customHeight="1">
      <c r="A3" s="954"/>
      <c r="B3" s="957"/>
      <c r="C3" s="960" t="s">
        <v>327</v>
      </c>
      <c r="D3" s="960"/>
      <c r="E3" s="960"/>
      <c r="F3" s="961" t="str">
        <f>"TOTAL 
"&amp;UPPER('1. Resumen'!Q4)</f>
        <v>TOTAL 
ABRIL</v>
      </c>
      <c r="G3" s="456" t="s">
        <v>328</v>
      </c>
      <c r="H3" s="269"/>
      <c r="I3" s="269"/>
      <c r="J3" s="269"/>
      <c r="K3" s="269"/>
      <c r="L3" s="270"/>
    </row>
    <row r="4" spans="1:12" ht="12.75" customHeight="1">
      <c r="A4" s="954"/>
      <c r="B4" s="957"/>
      <c r="C4" s="440" t="s">
        <v>246</v>
      </c>
      <c r="D4" s="440" t="s">
        <v>247</v>
      </c>
      <c r="E4" s="440" t="s">
        <v>329</v>
      </c>
      <c r="F4" s="962"/>
      <c r="G4" s="456">
        <v>2018</v>
      </c>
      <c r="H4" s="272"/>
      <c r="I4" s="271"/>
      <c r="J4" s="271"/>
      <c r="K4" s="271"/>
      <c r="L4" s="270"/>
    </row>
    <row r="5" spans="1:12" ht="11.25" customHeight="1">
      <c r="A5" s="955"/>
      <c r="B5" s="958"/>
      <c r="C5" s="457" t="s">
        <v>330</v>
      </c>
      <c r="D5" s="457" t="s">
        <v>330</v>
      </c>
      <c r="E5" s="457" t="s">
        <v>330</v>
      </c>
      <c r="F5" s="457" t="s">
        <v>330</v>
      </c>
      <c r="G5" s="458" t="s">
        <v>229</v>
      </c>
      <c r="H5" s="272"/>
      <c r="I5" s="272"/>
      <c r="J5" s="272"/>
      <c r="K5" s="272"/>
      <c r="L5" s="12"/>
    </row>
    <row r="6" spans="1:12" ht="11.25" customHeight="1">
      <c r="A6" s="449" t="s">
        <v>131</v>
      </c>
      <c r="B6" s="441" t="s">
        <v>93</v>
      </c>
      <c r="C6" s="681"/>
      <c r="D6" s="681"/>
      <c r="E6" s="681">
        <v>0</v>
      </c>
      <c r="F6" s="442">
        <v>0</v>
      </c>
      <c r="G6" s="443">
        <v>0</v>
      </c>
      <c r="H6" s="272"/>
      <c r="I6" s="272"/>
      <c r="J6" s="272"/>
      <c r="K6" s="272"/>
      <c r="L6" s="7"/>
    </row>
    <row r="7" spans="1:12" ht="11.25" customHeight="1">
      <c r="A7" s="450" t="s">
        <v>331</v>
      </c>
      <c r="B7" s="451"/>
      <c r="C7" s="682"/>
      <c r="D7" s="682"/>
      <c r="E7" s="682">
        <v>0</v>
      </c>
      <c r="F7" s="452">
        <v>0</v>
      </c>
      <c r="G7" s="453">
        <v>0</v>
      </c>
      <c r="H7" s="272"/>
      <c r="I7" s="272"/>
      <c r="J7" s="272"/>
      <c r="K7" s="272"/>
      <c r="L7" s="20"/>
    </row>
    <row r="8" spans="1:12" ht="11.25" customHeight="1">
      <c r="A8" s="444" t="s">
        <v>130</v>
      </c>
      <c r="B8" s="445" t="s">
        <v>67</v>
      </c>
      <c r="C8" s="683"/>
      <c r="D8" s="683"/>
      <c r="E8" s="683">
        <v>13241.4003125</v>
      </c>
      <c r="F8" s="446">
        <v>13241.4003125</v>
      </c>
      <c r="G8" s="447">
        <v>46292.642402500001</v>
      </c>
      <c r="H8" s="272"/>
      <c r="I8" s="272"/>
      <c r="J8" s="272"/>
      <c r="K8" s="272"/>
      <c r="L8" s="16"/>
    </row>
    <row r="9" spans="1:12" ht="11.25" customHeight="1">
      <c r="A9" s="450" t="s">
        <v>332</v>
      </c>
      <c r="B9" s="451"/>
      <c r="C9" s="682"/>
      <c r="D9" s="682"/>
      <c r="E9" s="682">
        <v>13241.4003125</v>
      </c>
      <c r="F9" s="452">
        <v>13241.4003125</v>
      </c>
      <c r="G9" s="453">
        <v>46292.642402500001</v>
      </c>
      <c r="H9" s="272"/>
      <c r="I9" s="272"/>
      <c r="J9" s="272"/>
      <c r="K9" s="273"/>
      <c r="L9" s="29"/>
    </row>
    <row r="10" spans="1:12" ht="11.25" customHeight="1">
      <c r="A10" s="444" t="s">
        <v>114</v>
      </c>
      <c r="B10" s="445" t="s">
        <v>90</v>
      </c>
      <c r="C10" s="683"/>
      <c r="D10" s="683"/>
      <c r="E10" s="683">
        <v>7468.8760849999999</v>
      </c>
      <c r="F10" s="446">
        <v>7468.8760849999999</v>
      </c>
      <c r="G10" s="447">
        <v>27996.226652500001</v>
      </c>
      <c r="H10" s="272"/>
      <c r="I10" s="272"/>
      <c r="J10" s="272"/>
      <c r="K10" s="273"/>
      <c r="L10" s="29"/>
    </row>
    <row r="11" spans="1:12" ht="11.25" customHeight="1">
      <c r="A11" s="450" t="s">
        <v>333</v>
      </c>
      <c r="B11" s="451"/>
      <c r="C11" s="682"/>
      <c r="D11" s="682"/>
      <c r="E11" s="682">
        <v>7468.8760849999999</v>
      </c>
      <c r="F11" s="452">
        <v>7468.8760849999999</v>
      </c>
      <c r="G11" s="453">
        <v>27996.226652500001</v>
      </c>
      <c r="H11" s="272"/>
      <c r="I11" s="272"/>
      <c r="J11" s="272"/>
      <c r="K11" s="273"/>
      <c r="L11" s="29"/>
    </row>
    <row r="12" spans="1:12" ht="11.25" customHeight="1">
      <c r="A12" s="444" t="s">
        <v>101</v>
      </c>
      <c r="B12" s="445" t="s">
        <v>334</v>
      </c>
      <c r="C12" s="683">
        <v>150484.92308500002</v>
      </c>
      <c r="D12" s="683"/>
      <c r="E12" s="683"/>
      <c r="F12" s="446">
        <v>150484.92308500002</v>
      </c>
      <c r="G12" s="447">
        <v>594171.39963250002</v>
      </c>
      <c r="H12" s="272"/>
      <c r="I12" s="272"/>
      <c r="J12" s="272"/>
      <c r="K12" s="273"/>
      <c r="L12" s="29"/>
    </row>
    <row r="13" spans="1:12" ht="11.25" customHeight="1">
      <c r="A13" s="450" t="s">
        <v>335</v>
      </c>
      <c r="B13" s="451"/>
      <c r="C13" s="682">
        <v>150484.92308500002</v>
      </c>
      <c r="D13" s="682"/>
      <c r="E13" s="682"/>
      <c r="F13" s="452">
        <v>150484.92308500002</v>
      </c>
      <c r="G13" s="453">
        <v>594171.39963250002</v>
      </c>
      <c r="H13" s="272"/>
      <c r="I13" s="272"/>
      <c r="J13" s="272"/>
      <c r="K13" s="273"/>
      <c r="L13" s="31"/>
    </row>
    <row r="14" spans="1:12" ht="11.25" customHeight="1">
      <c r="A14" s="448" t="s">
        <v>275</v>
      </c>
      <c r="B14" s="445" t="s">
        <v>336</v>
      </c>
      <c r="C14" s="683"/>
      <c r="D14" s="683">
        <v>0</v>
      </c>
      <c r="E14" s="683"/>
      <c r="F14" s="446">
        <v>0</v>
      </c>
      <c r="G14" s="447">
        <v>424.58525250000002</v>
      </c>
      <c r="H14" s="272"/>
      <c r="I14" s="272"/>
      <c r="J14" s="272"/>
      <c r="K14" s="273"/>
      <c r="L14" s="29"/>
    </row>
    <row r="15" spans="1:12" ht="11.25" customHeight="1">
      <c r="A15" s="450" t="s">
        <v>337</v>
      </c>
      <c r="B15" s="451"/>
      <c r="C15" s="682"/>
      <c r="D15" s="682">
        <v>0</v>
      </c>
      <c r="E15" s="682"/>
      <c r="F15" s="452">
        <v>0</v>
      </c>
      <c r="G15" s="453">
        <v>424.58525250000002</v>
      </c>
      <c r="H15" s="272"/>
      <c r="I15" s="272"/>
      <c r="J15" s="272"/>
      <c r="K15" s="273"/>
      <c r="L15" s="29"/>
    </row>
    <row r="16" spans="1:12" ht="11.25" customHeight="1">
      <c r="A16" s="448" t="s">
        <v>100</v>
      </c>
      <c r="B16" s="445" t="s">
        <v>338</v>
      </c>
      <c r="C16" s="683">
        <v>100219.50833750001</v>
      </c>
      <c r="D16" s="683"/>
      <c r="E16" s="683"/>
      <c r="F16" s="446">
        <v>100219.50833750001</v>
      </c>
      <c r="G16" s="447">
        <v>399058.81892750005</v>
      </c>
      <c r="H16" s="272"/>
      <c r="I16" s="272"/>
      <c r="J16" s="272"/>
      <c r="K16" s="273"/>
      <c r="L16" s="29"/>
    </row>
    <row r="17" spans="1:12" ht="11.25" customHeight="1">
      <c r="A17" s="448"/>
      <c r="B17" s="445" t="s">
        <v>339</v>
      </c>
      <c r="C17" s="683">
        <v>29745.187445</v>
      </c>
      <c r="D17" s="683"/>
      <c r="E17" s="683"/>
      <c r="F17" s="446">
        <v>29745.187445</v>
      </c>
      <c r="G17" s="447">
        <v>112805.6967225</v>
      </c>
      <c r="H17" s="272"/>
      <c r="I17" s="272"/>
      <c r="J17" s="272"/>
      <c r="K17" s="273"/>
      <c r="L17" s="29"/>
    </row>
    <row r="18" spans="1:12" ht="11.25" customHeight="1">
      <c r="A18" s="450" t="s">
        <v>340</v>
      </c>
      <c r="B18" s="451"/>
      <c r="C18" s="682">
        <v>129964.69578250001</v>
      </c>
      <c r="D18" s="682"/>
      <c r="E18" s="682"/>
      <c r="F18" s="452">
        <v>129964.69578250001</v>
      </c>
      <c r="G18" s="453">
        <v>511864.51565000007</v>
      </c>
      <c r="H18" s="272"/>
      <c r="I18" s="272"/>
      <c r="J18" s="272"/>
      <c r="K18" s="273"/>
      <c r="L18" s="29"/>
    </row>
    <row r="19" spans="1:12" ht="11.25" customHeight="1">
      <c r="A19" s="448" t="s">
        <v>126</v>
      </c>
      <c r="B19" s="445" t="s">
        <v>92</v>
      </c>
      <c r="C19" s="683"/>
      <c r="D19" s="683"/>
      <c r="E19" s="683"/>
      <c r="F19" s="446"/>
      <c r="G19" s="447">
        <v>1218.9493975</v>
      </c>
      <c r="H19" s="272"/>
      <c r="I19" s="272"/>
      <c r="J19" s="272"/>
      <c r="K19" s="273"/>
      <c r="L19" s="39"/>
    </row>
    <row r="20" spans="1:12" ht="11.25" customHeight="1">
      <c r="A20" s="450" t="s">
        <v>459</v>
      </c>
      <c r="B20" s="451"/>
      <c r="C20" s="682"/>
      <c r="D20" s="682"/>
      <c r="E20" s="682"/>
      <c r="F20" s="452"/>
      <c r="G20" s="453">
        <v>1218.9493975</v>
      </c>
      <c r="H20" s="272"/>
      <c r="I20" s="272"/>
      <c r="J20" s="272"/>
      <c r="K20" s="273"/>
      <c r="L20" s="29"/>
    </row>
    <row r="21" spans="1:12" ht="11.25" customHeight="1">
      <c r="A21" s="448" t="s">
        <v>98</v>
      </c>
      <c r="B21" s="445" t="s">
        <v>341</v>
      </c>
      <c r="C21" s="683">
        <v>1197.3585499999999</v>
      </c>
      <c r="D21" s="683"/>
      <c r="E21" s="683"/>
      <c r="F21" s="446">
        <v>1197.3585499999999</v>
      </c>
      <c r="G21" s="447">
        <v>4274.8619975000001</v>
      </c>
      <c r="H21" s="272"/>
      <c r="I21" s="272"/>
      <c r="J21" s="272"/>
      <c r="K21" s="273"/>
      <c r="L21" s="29"/>
    </row>
    <row r="22" spans="1:12" ht="11.25" customHeight="1">
      <c r="A22" s="448"/>
      <c r="B22" s="445" t="s">
        <v>342</v>
      </c>
      <c r="C22" s="683">
        <v>408.40699749999999</v>
      </c>
      <c r="D22" s="683"/>
      <c r="E22" s="683"/>
      <c r="F22" s="446">
        <v>408.40699749999999</v>
      </c>
      <c r="G22" s="447">
        <v>1619.4003425000001</v>
      </c>
      <c r="H22" s="272"/>
      <c r="I22" s="272"/>
      <c r="J22" s="272"/>
      <c r="K22" s="272"/>
      <c r="L22" s="20"/>
    </row>
    <row r="23" spans="1:12" ht="11.25" customHeight="1">
      <c r="A23" s="448"/>
      <c r="B23" s="445" t="s">
        <v>343</v>
      </c>
      <c r="C23" s="683">
        <v>3267.6025074999998</v>
      </c>
      <c r="D23" s="683"/>
      <c r="E23" s="683"/>
      <c r="F23" s="446">
        <v>3267.6025074999998</v>
      </c>
      <c r="G23" s="447">
        <v>12875.007749999999</v>
      </c>
      <c r="H23" s="272"/>
      <c r="I23" s="272"/>
      <c r="J23" s="272"/>
      <c r="K23" s="272"/>
      <c r="L23" s="22"/>
    </row>
    <row r="24" spans="1:12" ht="11.25" customHeight="1">
      <c r="A24" s="448"/>
      <c r="B24" s="445" t="s">
        <v>344</v>
      </c>
      <c r="C24" s="683">
        <v>9620.4484150000008</v>
      </c>
      <c r="D24" s="683"/>
      <c r="E24" s="683"/>
      <c r="F24" s="446">
        <v>9620.4484150000008</v>
      </c>
      <c r="G24" s="447">
        <v>39894.96789</v>
      </c>
      <c r="H24" s="272"/>
      <c r="I24" s="272"/>
      <c r="J24" s="272"/>
      <c r="K24" s="272"/>
      <c r="L24" s="20"/>
    </row>
    <row r="25" spans="1:12" ht="11.25" customHeight="1">
      <c r="A25" s="448"/>
      <c r="B25" s="445" t="s">
        <v>345</v>
      </c>
      <c r="C25" s="683">
        <v>62141.1003375</v>
      </c>
      <c r="D25" s="683"/>
      <c r="E25" s="683"/>
      <c r="F25" s="446">
        <v>62141.1003375</v>
      </c>
      <c r="G25" s="447">
        <v>289820.55489000003</v>
      </c>
      <c r="H25" s="272"/>
      <c r="I25" s="272"/>
      <c r="J25" s="272"/>
      <c r="K25" s="272"/>
      <c r="L25" s="20"/>
    </row>
    <row r="26" spans="1:12" ht="11.25" customHeight="1">
      <c r="A26" s="448"/>
      <c r="B26" s="445" t="s">
        <v>346</v>
      </c>
      <c r="C26" s="683">
        <v>5762.8927750000003</v>
      </c>
      <c r="D26" s="683"/>
      <c r="E26" s="683"/>
      <c r="F26" s="446">
        <v>5762.8927750000003</v>
      </c>
      <c r="G26" s="447">
        <v>23401.3352725</v>
      </c>
      <c r="H26" s="272"/>
      <c r="I26" s="272"/>
      <c r="J26" s="272"/>
      <c r="K26" s="273"/>
      <c r="L26" s="29"/>
    </row>
    <row r="27" spans="1:12" ht="11.25" customHeight="1">
      <c r="A27" s="448"/>
      <c r="B27" s="445" t="s">
        <v>347</v>
      </c>
      <c r="C27" s="683"/>
      <c r="D27" s="683">
        <v>0</v>
      </c>
      <c r="E27" s="683"/>
      <c r="F27" s="446">
        <v>0</v>
      </c>
      <c r="G27" s="447">
        <v>584.87037750000002</v>
      </c>
      <c r="H27" s="272"/>
      <c r="I27" s="272"/>
      <c r="J27" s="272"/>
      <c r="K27" s="273"/>
      <c r="L27" s="29"/>
    </row>
    <row r="28" spans="1:12" ht="11.25" customHeight="1">
      <c r="A28" s="448"/>
      <c r="B28" s="445" t="s">
        <v>348</v>
      </c>
      <c r="C28" s="683"/>
      <c r="D28" s="683">
        <v>20.534105</v>
      </c>
      <c r="E28" s="683"/>
      <c r="F28" s="446">
        <v>20.534105</v>
      </c>
      <c r="G28" s="447">
        <v>231.23671000000002</v>
      </c>
      <c r="H28" s="272"/>
      <c r="I28" s="272"/>
      <c r="J28" s="272"/>
      <c r="K28" s="273"/>
      <c r="L28" s="29"/>
    </row>
    <row r="29" spans="1:12" ht="11.25" customHeight="1">
      <c r="A29" s="448"/>
      <c r="B29" s="445" t="s">
        <v>349</v>
      </c>
      <c r="C29" s="683"/>
      <c r="D29" s="683">
        <v>4028.4454699999997</v>
      </c>
      <c r="E29" s="683"/>
      <c r="F29" s="446">
        <v>4028.4454699999997</v>
      </c>
      <c r="G29" s="447">
        <v>48185.560874999996</v>
      </c>
      <c r="H29" s="272"/>
      <c r="I29" s="272"/>
      <c r="J29" s="272"/>
      <c r="K29" s="274"/>
      <c r="L29" s="29"/>
    </row>
    <row r="30" spans="1:12" ht="11.25" customHeight="1">
      <c r="A30" s="450" t="s">
        <v>350</v>
      </c>
      <c r="B30" s="451"/>
      <c r="C30" s="682">
        <v>82397.809582500005</v>
      </c>
      <c r="D30" s="682">
        <v>4048.9795749999998</v>
      </c>
      <c r="E30" s="682"/>
      <c r="F30" s="452">
        <v>86446.78915750001</v>
      </c>
      <c r="G30" s="453">
        <v>420887.79610500007</v>
      </c>
      <c r="H30" s="272"/>
      <c r="I30" s="272"/>
      <c r="J30" s="272"/>
      <c r="K30" s="274"/>
      <c r="L30" s="29"/>
    </row>
    <row r="31" spans="1:12" ht="11.25" customHeight="1">
      <c r="A31" s="448" t="s">
        <v>122</v>
      </c>
      <c r="B31" s="445" t="s">
        <v>74</v>
      </c>
      <c r="C31" s="683"/>
      <c r="D31" s="683"/>
      <c r="E31" s="683">
        <v>3522.0720000000001</v>
      </c>
      <c r="F31" s="446">
        <v>3522.0720000000001</v>
      </c>
      <c r="G31" s="447">
        <v>13137.697250000001</v>
      </c>
      <c r="H31" s="272"/>
      <c r="I31" s="272"/>
      <c r="J31" s="272"/>
      <c r="K31" s="274"/>
      <c r="L31" s="29"/>
    </row>
    <row r="32" spans="1:12" ht="11.25" customHeight="1">
      <c r="A32" s="450" t="s">
        <v>351</v>
      </c>
      <c r="B32" s="451"/>
      <c r="C32" s="682"/>
      <c r="D32" s="682"/>
      <c r="E32" s="682">
        <v>3522.0720000000001</v>
      </c>
      <c r="F32" s="452">
        <v>3522.0720000000001</v>
      </c>
      <c r="G32" s="453">
        <v>13137.697250000001</v>
      </c>
      <c r="H32" s="272"/>
      <c r="I32" s="272"/>
      <c r="J32" s="272"/>
      <c r="K32" s="274"/>
      <c r="L32" s="29"/>
    </row>
    <row r="33" spans="1:12" ht="11.25" customHeight="1">
      <c r="A33" s="448" t="s">
        <v>99</v>
      </c>
      <c r="B33" s="445" t="s">
        <v>352</v>
      </c>
      <c r="C33" s="683">
        <v>116819.96091250001</v>
      </c>
      <c r="D33" s="683"/>
      <c r="E33" s="683"/>
      <c r="F33" s="446">
        <v>116819.96091250001</v>
      </c>
      <c r="G33" s="447">
        <v>470348.44771500002</v>
      </c>
      <c r="H33" s="272"/>
      <c r="I33" s="272"/>
      <c r="J33" s="272"/>
      <c r="K33" s="274"/>
      <c r="L33" s="29"/>
    </row>
    <row r="34" spans="1:12" ht="11.25" customHeight="1">
      <c r="A34" s="450" t="s">
        <v>353</v>
      </c>
      <c r="B34" s="451"/>
      <c r="C34" s="682">
        <v>116819.96091250001</v>
      </c>
      <c r="D34" s="682"/>
      <c r="E34" s="682"/>
      <c r="F34" s="452">
        <v>116819.96091250001</v>
      </c>
      <c r="G34" s="453">
        <v>470348.44771500002</v>
      </c>
      <c r="H34" s="272"/>
      <c r="I34" s="272"/>
      <c r="J34" s="272"/>
      <c r="K34" s="274"/>
      <c r="L34" s="29"/>
    </row>
    <row r="35" spans="1:12" ht="11.25" customHeight="1">
      <c r="A35" s="448" t="s">
        <v>108</v>
      </c>
      <c r="B35" s="445" t="s">
        <v>354</v>
      </c>
      <c r="C35" s="683">
        <v>5532.9164999999994</v>
      </c>
      <c r="D35" s="683"/>
      <c r="E35" s="683"/>
      <c r="F35" s="446">
        <v>5532.9164999999994</v>
      </c>
      <c r="G35" s="447">
        <v>21988.969499999999</v>
      </c>
      <c r="H35" s="272"/>
      <c r="I35" s="272"/>
      <c r="J35" s="272"/>
      <c r="K35" s="274"/>
      <c r="L35" s="29"/>
    </row>
    <row r="36" spans="1:12" ht="11.25" customHeight="1">
      <c r="A36" s="448"/>
      <c r="B36" s="445" t="s">
        <v>355</v>
      </c>
      <c r="C36" s="683">
        <v>3777.636</v>
      </c>
      <c r="D36" s="683"/>
      <c r="E36" s="683"/>
      <c r="F36" s="446">
        <v>3777.636</v>
      </c>
      <c r="G36" s="447">
        <v>14680.6523125</v>
      </c>
      <c r="H36" s="272"/>
      <c r="I36" s="272"/>
      <c r="J36" s="272"/>
      <c r="K36" s="274"/>
      <c r="L36" s="275"/>
    </row>
    <row r="37" spans="1:12" ht="11.25" customHeight="1">
      <c r="A37" s="448"/>
      <c r="B37" s="445" t="s">
        <v>356</v>
      </c>
      <c r="C37" s="683"/>
      <c r="D37" s="683">
        <v>8495.4051949999994</v>
      </c>
      <c r="E37" s="683"/>
      <c r="F37" s="446">
        <v>8495.4051949999994</v>
      </c>
      <c r="G37" s="447">
        <v>37368.088315000001</v>
      </c>
      <c r="H37" s="272"/>
      <c r="I37" s="272"/>
      <c r="J37" s="272"/>
      <c r="K37" s="274"/>
      <c r="L37" s="29"/>
    </row>
    <row r="38" spans="1:12" ht="11.25" customHeight="1">
      <c r="A38" s="450" t="s">
        <v>357</v>
      </c>
      <c r="B38" s="451"/>
      <c r="C38" s="682">
        <v>9310.5524999999998</v>
      </c>
      <c r="D38" s="682">
        <v>8495.4051949999994</v>
      </c>
      <c r="E38" s="682"/>
      <c r="F38" s="452">
        <v>17805.957694999997</v>
      </c>
      <c r="G38" s="453">
        <v>74037.710127500002</v>
      </c>
      <c r="H38" s="272"/>
      <c r="I38" s="272"/>
      <c r="J38" s="272"/>
      <c r="K38" s="274"/>
      <c r="L38" s="29"/>
    </row>
    <row r="39" spans="1:12" ht="11.25" customHeight="1">
      <c r="A39" s="448" t="s">
        <v>128</v>
      </c>
      <c r="B39" s="445" t="s">
        <v>79</v>
      </c>
      <c r="C39" s="683"/>
      <c r="D39" s="683"/>
      <c r="E39" s="683">
        <v>227.59108749999999</v>
      </c>
      <c r="F39" s="446">
        <v>227.59108749999999</v>
      </c>
      <c r="G39" s="447">
        <v>989.1878825</v>
      </c>
      <c r="H39" s="272"/>
      <c r="I39" s="272"/>
      <c r="J39" s="272"/>
      <c r="K39" s="274"/>
      <c r="L39" s="29"/>
    </row>
    <row r="40" spans="1:12" ht="11.25" customHeight="1">
      <c r="A40" s="450" t="s">
        <v>358</v>
      </c>
      <c r="B40" s="451"/>
      <c r="C40" s="682"/>
      <c r="D40" s="682"/>
      <c r="E40" s="682">
        <v>227.59108749999999</v>
      </c>
      <c r="F40" s="452">
        <v>227.59108749999999</v>
      </c>
      <c r="G40" s="453">
        <v>989.1878825</v>
      </c>
      <c r="H40" s="272"/>
      <c r="I40" s="272"/>
      <c r="J40" s="272"/>
      <c r="K40" s="274"/>
      <c r="L40" s="29"/>
    </row>
    <row r="41" spans="1:12" ht="11.25" customHeight="1">
      <c r="A41" s="448" t="s">
        <v>123</v>
      </c>
      <c r="B41" s="445" t="s">
        <v>77</v>
      </c>
      <c r="C41" s="683"/>
      <c r="D41" s="683"/>
      <c r="E41" s="683">
        <v>2428.0124125000002</v>
      </c>
      <c r="F41" s="446">
        <v>2428.0124125000002</v>
      </c>
      <c r="G41" s="447">
        <v>9507.8969625000009</v>
      </c>
      <c r="H41" s="272"/>
      <c r="I41" s="272"/>
      <c r="J41" s="272"/>
      <c r="K41" s="274"/>
      <c r="L41" s="29"/>
    </row>
    <row r="42" spans="1:12" ht="11.25" customHeight="1">
      <c r="A42" s="450" t="s">
        <v>359</v>
      </c>
      <c r="B42" s="451"/>
      <c r="C42" s="682"/>
      <c r="D42" s="682"/>
      <c r="E42" s="682">
        <v>2428.0124125000002</v>
      </c>
      <c r="F42" s="452">
        <v>2428.0124125000002</v>
      </c>
      <c r="G42" s="453">
        <v>9507.8969625000009</v>
      </c>
      <c r="H42" s="272"/>
      <c r="I42" s="272"/>
      <c r="J42" s="272"/>
      <c r="K42" s="274"/>
      <c r="L42" s="29"/>
    </row>
    <row r="43" spans="1:12" ht="11.25" customHeight="1">
      <c r="A43" s="448" t="s">
        <v>96</v>
      </c>
      <c r="B43" s="445" t="s">
        <v>360</v>
      </c>
      <c r="C43" s="683">
        <v>452482.51439999999</v>
      </c>
      <c r="D43" s="683"/>
      <c r="E43" s="683"/>
      <c r="F43" s="446">
        <v>452482.51439999999</v>
      </c>
      <c r="G43" s="447">
        <v>1651642.6776000001</v>
      </c>
      <c r="H43" s="272"/>
      <c r="I43" s="272"/>
      <c r="J43" s="272"/>
      <c r="K43" s="276"/>
      <c r="L43" s="58"/>
    </row>
    <row r="44" spans="1:12" ht="11.25" customHeight="1">
      <c r="A44" s="448"/>
      <c r="B44" s="445" t="s">
        <v>361</v>
      </c>
      <c r="C44" s="683">
        <v>143712.18432</v>
      </c>
      <c r="D44" s="683"/>
      <c r="E44" s="683"/>
      <c r="F44" s="446">
        <v>143712.18432</v>
      </c>
      <c r="G44" s="447">
        <v>507913.97904000001</v>
      </c>
      <c r="H44" s="272"/>
      <c r="I44" s="272"/>
      <c r="J44" s="272"/>
      <c r="K44" s="276"/>
      <c r="L44" s="59"/>
    </row>
    <row r="45" spans="1:12" ht="11.25" customHeight="1">
      <c r="A45" s="448"/>
      <c r="B45" s="445" t="s">
        <v>362</v>
      </c>
      <c r="C45" s="683"/>
      <c r="D45" s="683">
        <v>10.751157500000001</v>
      </c>
      <c r="E45" s="683"/>
      <c r="F45" s="446">
        <v>10.751157500000001</v>
      </c>
      <c r="G45" s="447">
        <v>1404.825155</v>
      </c>
      <c r="H45" s="272"/>
      <c r="I45" s="272"/>
      <c r="J45" s="272"/>
      <c r="K45" s="276"/>
      <c r="L45" s="59"/>
    </row>
    <row r="46" spans="1:12" ht="11.25" customHeight="1">
      <c r="A46" s="450" t="s">
        <v>363</v>
      </c>
      <c r="B46" s="451"/>
      <c r="C46" s="682">
        <v>596194.69871999999</v>
      </c>
      <c r="D46" s="682">
        <v>10.751157500000001</v>
      </c>
      <c r="E46" s="682"/>
      <c r="F46" s="452">
        <v>596205.44987749995</v>
      </c>
      <c r="G46" s="453">
        <v>2160961.4817950004</v>
      </c>
      <c r="H46" s="272"/>
      <c r="I46" s="272"/>
      <c r="J46" s="272"/>
      <c r="K46" s="274"/>
    </row>
    <row r="47" spans="1:12" ht="11.25" customHeight="1">
      <c r="A47" s="448" t="s">
        <v>276</v>
      </c>
      <c r="B47" s="445" t="s">
        <v>364</v>
      </c>
      <c r="C47" s="683">
        <v>302523.26571750001</v>
      </c>
      <c r="D47" s="683"/>
      <c r="E47" s="683"/>
      <c r="F47" s="446">
        <v>302523.26571750001</v>
      </c>
      <c r="G47" s="447">
        <v>1173790.3515725001</v>
      </c>
      <c r="H47" s="272"/>
      <c r="I47" s="272"/>
      <c r="J47" s="272"/>
      <c r="K47" s="274"/>
    </row>
    <row r="48" spans="1:12" ht="12.75">
      <c r="A48" s="448"/>
      <c r="B48" s="445" t="s">
        <v>365</v>
      </c>
      <c r="C48" s="683">
        <v>4438.0620550000003</v>
      </c>
      <c r="D48" s="683"/>
      <c r="E48" s="683"/>
      <c r="F48" s="446">
        <v>4438.0620550000003</v>
      </c>
      <c r="G48" s="447">
        <v>11962.508235000001</v>
      </c>
      <c r="H48" s="272"/>
      <c r="I48" s="272"/>
      <c r="J48" s="272"/>
      <c r="K48" s="274"/>
    </row>
    <row r="49" spans="1:11" ht="12.75">
      <c r="A49" s="450" t="s">
        <v>366</v>
      </c>
      <c r="B49" s="451"/>
      <c r="C49" s="682">
        <v>306961.32777249999</v>
      </c>
      <c r="D49" s="682"/>
      <c r="E49" s="682"/>
      <c r="F49" s="452">
        <v>306961.32777249999</v>
      </c>
      <c r="G49" s="453">
        <v>1185752.8598075002</v>
      </c>
      <c r="H49" s="272"/>
      <c r="I49" s="272"/>
      <c r="J49" s="272"/>
      <c r="K49" s="274"/>
    </row>
    <row r="50" spans="1:11" ht="12.75">
      <c r="A50" s="448" t="s">
        <v>277</v>
      </c>
      <c r="B50" s="445" t="s">
        <v>367</v>
      </c>
      <c r="C50" s="683">
        <v>35745.426982500001</v>
      </c>
      <c r="D50" s="683"/>
      <c r="E50" s="683"/>
      <c r="F50" s="446">
        <v>35745.426982500001</v>
      </c>
      <c r="G50" s="447">
        <v>116068.94698749999</v>
      </c>
      <c r="H50" s="272"/>
      <c r="I50" s="272"/>
      <c r="J50" s="272"/>
      <c r="K50" s="274"/>
    </row>
    <row r="51" spans="1:11" ht="12.75">
      <c r="A51" s="450" t="s">
        <v>368</v>
      </c>
      <c r="B51" s="451"/>
      <c r="C51" s="682">
        <v>35745.426982500001</v>
      </c>
      <c r="D51" s="682"/>
      <c r="E51" s="682"/>
      <c r="F51" s="452">
        <v>35745.426982500001</v>
      </c>
      <c r="G51" s="453">
        <v>116068.94698749999</v>
      </c>
      <c r="H51" s="272"/>
      <c r="I51" s="272"/>
      <c r="J51" s="272"/>
      <c r="K51" s="274"/>
    </row>
    <row r="52" spans="1:11" ht="12.75">
      <c r="A52" s="448" t="s">
        <v>278</v>
      </c>
      <c r="B52" s="445" t="s">
        <v>64</v>
      </c>
      <c r="C52" s="683"/>
      <c r="D52" s="683"/>
      <c r="E52" s="683">
        <v>11898.897762500001</v>
      </c>
      <c r="F52" s="446">
        <v>11898.897762500001</v>
      </c>
      <c r="G52" s="447">
        <v>47936.501282500001</v>
      </c>
      <c r="H52" s="272"/>
      <c r="I52" s="272"/>
      <c r="J52" s="272"/>
      <c r="K52" s="274"/>
    </row>
    <row r="53" spans="1:11">
      <c r="A53" s="448"/>
      <c r="B53" s="445" t="s">
        <v>61</v>
      </c>
      <c r="C53" s="683"/>
      <c r="D53" s="683"/>
      <c r="E53" s="683">
        <v>14456.16005</v>
      </c>
      <c r="F53" s="446">
        <v>14456.16005</v>
      </c>
      <c r="G53" s="447">
        <v>57102.52031</v>
      </c>
      <c r="H53" s="132"/>
      <c r="I53" s="132"/>
      <c r="J53" s="132"/>
      <c r="K53" s="274"/>
    </row>
    <row r="54" spans="1:11">
      <c r="A54" s="450" t="s">
        <v>369</v>
      </c>
      <c r="B54" s="451"/>
      <c r="C54" s="682"/>
      <c r="D54" s="682"/>
      <c r="E54" s="682">
        <v>26355.057812500003</v>
      </c>
      <c r="F54" s="452">
        <v>26355.057812500003</v>
      </c>
      <c r="G54" s="453">
        <v>105039.02159250001</v>
      </c>
      <c r="H54" s="132"/>
      <c r="I54" s="132"/>
      <c r="J54" s="132"/>
      <c r="K54" s="274"/>
    </row>
    <row r="55" spans="1:11">
      <c r="A55" s="448" t="s">
        <v>95</v>
      </c>
      <c r="B55" s="445" t="s">
        <v>370</v>
      </c>
      <c r="C55" s="683">
        <v>19573.705742500002</v>
      </c>
      <c r="D55" s="683"/>
      <c r="E55" s="683"/>
      <c r="F55" s="446">
        <v>19573.705742500002</v>
      </c>
      <c r="G55" s="447">
        <v>78706.205925000002</v>
      </c>
      <c r="H55" s="132"/>
      <c r="I55" s="132"/>
      <c r="J55" s="132"/>
      <c r="K55" s="274"/>
    </row>
    <row r="56" spans="1:11">
      <c r="A56" s="448"/>
      <c r="B56" s="445" t="s">
        <v>371</v>
      </c>
      <c r="C56" s="683">
        <v>127245.77086749999</v>
      </c>
      <c r="D56" s="683"/>
      <c r="E56" s="683"/>
      <c r="F56" s="446">
        <v>127245.77086749999</v>
      </c>
      <c r="G56" s="447">
        <v>451036.38593999995</v>
      </c>
      <c r="H56" s="132"/>
      <c r="I56" s="132"/>
      <c r="J56" s="132"/>
      <c r="K56" s="274"/>
    </row>
    <row r="57" spans="1:11">
      <c r="A57" s="448"/>
      <c r="B57" s="445" t="s">
        <v>372</v>
      </c>
      <c r="C57" s="683">
        <v>82112.837807500007</v>
      </c>
      <c r="D57" s="683"/>
      <c r="E57" s="683"/>
      <c r="F57" s="446">
        <v>82112.837807500007</v>
      </c>
      <c r="G57" s="447">
        <v>341070.78664249997</v>
      </c>
      <c r="H57" s="132"/>
      <c r="I57" s="132"/>
      <c r="J57" s="132"/>
      <c r="K57" s="274"/>
    </row>
    <row r="58" spans="1:11">
      <c r="A58" s="448"/>
      <c r="B58" s="445" t="s">
        <v>373</v>
      </c>
      <c r="C58" s="683">
        <v>44202.876607500002</v>
      </c>
      <c r="D58" s="683"/>
      <c r="E58" s="683"/>
      <c r="F58" s="446">
        <v>44202.876607500002</v>
      </c>
      <c r="G58" s="447">
        <v>151090.05495250001</v>
      </c>
      <c r="H58" s="273"/>
      <c r="I58" s="273"/>
      <c r="J58" s="273"/>
      <c r="K58" s="274"/>
    </row>
    <row r="59" spans="1:11">
      <c r="A59" s="448"/>
      <c r="B59" s="445" t="s">
        <v>374</v>
      </c>
      <c r="C59" s="683"/>
      <c r="D59" s="683">
        <v>3082.2489774999999</v>
      </c>
      <c r="E59" s="683"/>
      <c r="F59" s="446">
        <v>3082.2489774999999</v>
      </c>
      <c r="G59" s="447">
        <v>49787.678329999995</v>
      </c>
      <c r="H59" s="273"/>
      <c r="I59" s="273"/>
      <c r="J59" s="273"/>
      <c r="K59" s="274"/>
    </row>
    <row r="60" spans="1:11">
      <c r="A60" s="448"/>
      <c r="B60" s="445" t="s">
        <v>375</v>
      </c>
      <c r="C60" s="683"/>
      <c r="D60" s="683">
        <v>29766.90424</v>
      </c>
      <c r="E60" s="683"/>
      <c r="F60" s="446">
        <v>29766.90424</v>
      </c>
      <c r="G60" s="447">
        <v>173728.72885249997</v>
      </c>
      <c r="H60" s="273"/>
      <c r="I60" s="273"/>
      <c r="J60" s="273"/>
      <c r="K60" s="274"/>
    </row>
    <row r="61" spans="1:11">
      <c r="A61" s="448"/>
      <c r="B61" s="445" t="s">
        <v>376</v>
      </c>
      <c r="C61" s="683"/>
      <c r="D61" s="683">
        <v>127168.897835</v>
      </c>
      <c r="E61" s="683"/>
      <c r="F61" s="446">
        <v>127168.897835</v>
      </c>
      <c r="G61" s="447">
        <v>847511.96490749996</v>
      </c>
      <c r="H61" s="273"/>
      <c r="I61" s="273"/>
      <c r="J61" s="273"/>
      <c r="K61" s="274"/>
    </row>
    <row r="62" spans="1:11">
      <c r="A62" s="450" t="s">
        <v>377</v>
      </c>
      <c r="B62" s="451"/>
      <c r="C62" s="682">
        <v>273135.19102500001</v>
      </c>
      <c r="D62" s="682">
        <v>160018.0510525</v>
      </c>
      <c r="E62" s="682"/>
      <c r="F62" s="452">
        <v>433153.24207750004</v>
      </c>
      <c r="G62" s="453">
        <v>2092931.8055499999</v>
      </c>
      <c r="H62" s="273"/>
      <c r="I62" s="273"/>
      <c r="J62" s="273"/>
      <c r="K62" s="273"/>
    </row>
    <row r="63" spans="1:11">
      <c r="A63" s="685"/>
      <c r="B63" s="685"/>
      <c r="C63" s="685"/>
      <c r="D63" s="685"/>
      <c r="E63" s="685"/>
      <c r="F63" s="685"/>
      <c r="G63" s="685"/>
      <c r="H63" s="273"/>
      <c r="I63" s="273"/>
      <c r="J63" s="273"/>
      <c r="K63" s="273"/>
    </row>
    <row r="64" spans="1:11">
      <c r="A64" s="686"/>
      <c r="B64" s="445"/>
      <c r="C64" s="683"/>
      <c r="D64" s="683"/>
      <c r="E64" s="683"/>
      <c r="F64" s="446"/>
      <c r="G64" s="446"/>
    </row>
    <row r="65" spans="3:5">
      <c r="C65" s="684"/>
      <c r="D65" s="684"/>
      <c r="E65" s="684"/>
    </row>
    <row r="66" spans="3:5">
      <c r="C66" s="684"/>
      <c r="D66" s="684"/>
      <c r="E66" s="684"/>
    </row>
    <row r="67" spans="3:5">
      <c r="C67" s="684"/>
      <c r="D67" s="684"/>
      <c r="E67" s="684"/>
    </row>
    <row r="68" spans="3:5">
      <c r="C68" s="684"/>
      <c r="D68" s="684"/>
      <c r="E68" s="684"/>
    </row>
    <row r="69" spans="3:5">
      <c r="C69" s="684"/>
      <c r="D69" s="684"/>
      <c r="E69" s="684"/>
    </row>
    <row r="70" spans="3:5">
      <c r="C70" s="684"/>
      <c r="D70" s="684"/>
      <c r="E70" s="684"/>
    </row>
    <row r="71" spans="3:5">
      <c r="C71" s="684"/>
      <c r="D71" s="684"/>
      <c r="E71" s="684"/>
    </row>
    <row r="72" spans="3:5">
      <c r="C72" s="684"/>
      <c r="D72" s="684"/>
      <c r="E72" s="684"/>
    </row>
    <row r="73" spans="3:5">
      <c r="C73" s="684"/>
      <c r="D73" s="684"/>
      <c r="E73" s="684"/>
    </row>
    <row r="74" spans="3:5">
      <c r="C74" s="684"/>
      <c r="D74" s="684"/>
      <c r="E74" s="684"/>
    </row>
    <row r="75" spans="3:5">
      <c r="C75" s="684"/>
      <c r="D75" s="684"/>
      <c r="E75" s="684"/>
    </row>
    <row r="76" spans="3:5">
      <c r="C76" s="684"/>
      <c r="D76" s="684"/>
      <c r="E76" s="684"/>
    </row>
    <row r="77" spans="3:5">
      <c r="C77" s="684"/>
      <c r="D77" s="684"/>
      <c r="E77" s="684"/>
    </row>
    <row r="78" spans="3:5">
      <c r="C78" s="684"/>
      <c r="D78" s="684"/>
      <c r="E78" s="684"/>
    </row>
    <row r="79" spans="3:5">
      <c r="C79" s="684"/>
      <c r="D79" s="684"/>
      <c r="E79" s="684"/>
    </row>
    <row r="80" spans="3:5">
      <c r="C80" s="684"/>
      <c r="D80" s="684"/>
      <c r="E80" s="684"/>
    </row>
    <row r="81" spans="3:5">
      <c r="C81" s="684"/>
      <c r="D81" s="684"/>
      <c r="E81" s="684"/>
    </row>
    <row r="82" spans="3:5">
      <c r="C82" s="684"/>
      <c r="D82" s="684"/>
      <c r="E82" s="684"/>
    </row>
    <row r="83" spans="3:5">
      <c r="C83" s="684"/>
      <c r="D83" s="684"/>
      <c r="E83" s="684"/>
    </row>
    <row r="84" spans="3:5">
      <c r="C84" s="684"/>
      <c r="D84" s="684"/>
      <c r="E84" s="684"/>
    </row>
    <row r="85" spans="3:5">
      <c r="C85" s="684"/>
      <c r="D85" s="684"/>
      <c r="E85" s="684"/>
    </row>
    <row r="86" spans="3:5">
      <c r="C86" s="684"/>
      <c r="D86" s="684"/>
      <c r="E86" s="684"/>
    </row>
    <row r="87" spans="3:5">
      <c r="C87" s="684"/>
      <c r="D87" s="684"/>
      <c r="E87" s="684"/>
    </row>
    <row r="88" spans="3:5">
      <c r="C88" s="684"/>
      <c r="D88" s="684"/>
      <c r="E88" s="684"/>
    </row>
    <row r="89" spans="3:5">
      <c r="C89" s="684"/>
      <c r="D89" s="684"/>
      <c r="E89" s="684"/>
    </row>
    <row r="90" spans="3:5">
      <c r="C90" s="684"/>
      <c r="D90" s="684"/>
      <c r="E90" s="684"/>
    </row>
    <row r="91" spans="3:5">
      <c r="C91" s="684"/>
      <c r="D91" s="684"/>
      <c r="E91" s="684"/>
    </row>
    <row r="92" spans="3:5">
      <c r="C92" s="684"/>
      <c r="D92" s="684"/>
      <c r="E92" s="684"/>
    </row>
    <row r="93" spans="3:5">
      <c r="C93" s="684"/>
      <c r="D93" s="684"/>
      <c r="E93" s="684"/>
    </row>
    <row r="94" spans="3:5">
      <c r="C94" s="684"/>
      <c r="D94" s="684"/>
      <c r="E94" s="684"/>
    </row>
    <row r="95" spans="3:5">
      <c r="C95" s="684"/>
      <c r="D95" s="684"/>
      <c r="E95" s="684"/>
    </row>
    <row r="96" spans="3:5">
      <c r="C96" s="684"/>
      <c r="D96" s="684"/>
      <c r="E96" s="684"/>
    </row>
    <row r="97" spans="3:5">
      <c r="C97" s="684"/>
      <c r="D97" s="684"/>
      <c r="E97" s="684"/>
    </row>
    <row r="98" spans="3:5">
      <c r="C98" s="684"/>
      <c r="D98" s="684"/>
      <c r="E98" s="684"/>
    </row>
    <row r="99" spans="3:5">
      <c r="C99" s="684"/>
      <c r="D99" s="684"/>
      <c r="E99" s="684"/>
    </row>
    <row r="100" spans="3:5">
      <c r="C100" s="684"/>
      <c r="D100" s="684"/>
      <c r="E100" s="684"/>
    </row>
    <row r="101" spans="3:5">
      <c r="C101" s="684"/>
      <c r="D101" s="684"/>
      <c r="E101" s="684"/>
    </row>
    <row r="102" spans="3:5">
      <c r="C102" s="684"/>
      <c r="D102" s="684"/>
      <c r="E102" s="684"/>
    </row>
    <row r="103" spans="3:5">
      <c r="C103" s="684"/>
      <c r="D103" s="684"/>
      <c r="E103" s="684"/>
    </row>
    <row r="104" spans="3:5">
      <c r="C104" s="684"/>
      <c r="D104" s="684"/>
      <c r="E104" s="684"/>
    </row>
    <row r="105" spans="3:5">
      <c r="C105" s="684"/>
      <c r="D105" s="684"/>
      <c r="E105" s="684"/>
    </row>
    <row r="106" spans="3:5">
      <c r="C106" s="684"/>
      <c r="D106" s="684"/>
      <c r="E106" s="684"/>
    </row>
    <row r="107" spans="3:5">
      <c r="C107" s="684"/>
      <c r="D107" s="684"/>
      <c r="E107" s="684"/>
    </row>
    <row r="108" spans="3:5">
      <c r="C108" s="684"/>
      <c r="D108" s="684"/>
      <c r="E108" s="684"/>
    </row>
    <row r="109" spans="3:5">
      <c r="C109" s="684"/>
      <c r="D109" s="684"/>
      <c r="E109" s="684"/>
    </row>
    <row r="110" spans="3:5">
      <c r="C110" s="684"/>
      <c r="D110" s="684"/>
      <c r="E110" s="684"/>
    </row>
    <row r="111" spans="3:5">
      <c r="C111" s="684"/>
      <c r="D111" s="684"/>
      <c r="E111" s="684"/>
    </row>
    <row r="112" spans="3:5">
      <c r="C112" s="684"/>
      <c r="D112" s="684"/>
      <c r="E112" s="684"/>
    </row>
    <row r="113" spans="3:5">
      <c r="C113" s="684"/>
      <c r="D113" s="684"/>
      <c r="E113" s="684"/>
    </row>
    <row r="114" spans="3:5">
      <c r="C114" s="684"/>
      <c r="D114" s="684"/>
      <c r="E114" s="684"/>
    </row>
    <row r="115" spans="3:5">
      <c r="C115" s="684"/>
      <c r="D115" s="684"/>
      <c r="E115" s="684"/>
    </row>
    <row r="116" spans="3:5">
      <c r="C116" s="684"/>
      <c r="D116" s="684"/>
      <c r="E116" s="684"/>
    </row>
    <row r="117" spans="3:5">
      <c r="C117" s="684"/>
      <c r="D117" s="684"/>
      <c r="E117" s="684"/>
    </row>
    <row r="118" spans="3:5">
      <c r="C118" s="684"/>
      <c r="D118" s="684"/>
      <c r="E118" s="684"/>
    </row>
    <row r="119" spans="3:5">
      <c r="C119" s="684"/>
      <c r="D119" s="684"/>
      <c r="E119" s="684"/>
    </row>
    <row r="120" spans="3:5">
      <c r="C120" s="684"/>
      <c r="D120" s="684"/>
      <c r="E120" s="684"/>
    </row>
    <row r="121" spans="3:5">
      <c r="C121" s="684"/>
      <c r="D121" s="684"/>
      <c r="E121" s="684"/>
    </row>
    <row r="122" spans="3:5">
      <c r="C122" s="684"/>
      <c r="D122" s="684"/>
      <c r="E122" s="684"/>
    </row>
    <row r="123" spans="3:5">
      <c r="C123" s="684"/>
      <c r="D123" s="684"/>
      <c r="E123" s="684"/>
    </row>
    <row r="124" spans="3:5">
      <c r="C124" s="684"/>
      <c r="D124" s="684"/>
      <c r="E124" s="684"/>
    </row>
    <row r="125" spans="3:5">
      <c r="C125" s="684"/>
      <c r="D125" s="684"/>
      <c r="E125" s="684"/>
    </row>
    <row r="126" spans="3:5">
      <c r="C126" s="684"/>
      <c r="D126" s="684"/>
      <c r="E126" s="684"/>
    </row>
    <row r="127" spans="3:5">
      <c r="C127" s="684"/>
      <c r="D127" s="684"/>
      <c r="E127" s="684"/>
    </row>
    <row r="128" spans="3:5">
      <c r="C128" s="684"/>
      <c r="D128" s="684"/>
      <c r="E128" s="684"/>
    </row>
    <row r="129" spans="3:5">
      <c r="C129" s="684"/>
      <c r="D129" s="684"/>
      <c r="E129" s="684"/>
    </row>
    <row r="130" spans="3:5">
      <c r="C130" s="684"/>
      <c r="D130" s="684"/>
      <c r="E130" s="684"/>
    </row>
    <row r="131" spans="3:5">
      <c r="C131" s="684"/>
      <c r="D131" s="684"/>
      <c r="E131" s="684"/>
    </row>
    <row r="132" spans="3:5">
      <c r="C132" s="684"/>
      <c r="D132" s="684"/>
      <c r="E132" s="684"/>
    </row>
    <row r="133" spans="3:5">
      <c r="C133" s="684"/>
      <c r="D133" s="684"/>
      <c r="E133" s="684"/>
    </row>
    <row r="134" spans="3:5">
      <c r="C134" s="684"/>
      <c r="D134" s="684"/>
      <c r="E134" s="684"/>
    </row>
    <row r="135" spans="3:5">
      <c r="C135" s="684"/>
      <c r="D135" s="684"/>
      <c r="E135" s="684"/>
    </row>
    <row r="136" spans="3:5">
      <c r="C136" s="684"/>
      <c r="D136" s="684"/>
      <c r="E136" s="684"/>
    </row>
    <row r="137" spans="3:5">
      <c r="C137" s="684"/>
      <c r="D137" s="684"/>
      <c r="E137" s="684"/>
    </row>
    <row r="138" spans="3:5">
      <c r="C138" s="684"/>
      <c r="D138" s="684"/>
      <c r="E138" s="684"/>
    </row>
    <row r="139" spans="3:5">
      <c r="C139" s="684"/>
      <c r="D139" s="684"/>
      <c r="E139" s="684"/>
    </row>
    <row r="140" spans="3:5">
      <c r="C140" s="684"/>
      <c r="D140" s="684"/>
      <c r="E140" s="684"/>
    </row>
    <row r="141" spans="3:5">
      <c r="C141" s="684"/>
      <c r="D141" s="684"/>
      <c r="E141" s="684"/>
    </row>
    <row r="142" spans="3:5">
      <c r="C142" s="684"/>
      <c r="D142" s="684"/>
      <c r="E142" s="684"/>
    </row>
    <row r="143" spans="3:5">
      <c r="C143" s="684"/>
      <c r="D143" s="684"/>
      <c r="E143" s="684"/>
    </row>
    <row r="144" spans="3:5">
      <c r="C144" s="684"/>
      <c r="D144" s="684"/>
      <c r="E144" s="684"/>
    </row>
    <row r="145" spans="3:5">
      <c r="C145" s="684"/>
      <c r="D145" s="684"/>
      <c r="E145" s="684"/>
    </row>
    <row r="146" spans="3:5">
      <c r="C146" s="684"/>
      <c r="D146" s="684"/>
      <c r="E146" s="684"/>
    </row>
    <row r="147" spans="3:5">
      <c r="C147" s="684"/>
      <c r="D147" s="684"/>
      <c r="E147" s="684"/>
    </row>
    <row r="148" spans="3:5">
      <c r="C148" s="684"/>
      <c r="D148" s="684"/>
      <c r="E148" s="684"/>
    </row>
    <row r="149" spans="3:5">
      <c r="C149" s="684"/>
      <c r="D149" s="684"/>
      <c r="E149" s="684"/>
    </row>
    <row r="150" spans="3:5">
      <c r="C150" s="684"/>
      <c r="D150" s="684"/>
      <c r="E150" s="684"/>
    </row>
    <row r="151" spans="3:5">
      <c r="C151" s="684"/>
      <c r="D151" s="684"/>
      <c r="E151" s="684"/>
    </row>
    <row r="152" spans="3:5">
      <c r="C152" s="684"/>
      <c r="D152" s="684"/>
      <c r="E152" s="684"/>
    </row>
    <row r="153" spans="3:5">
      <c r="C153" s="684"/>
      <c r="D153" s="684"/>
      <c r="E153" s="684"/>
    </row>
    <row r="154" spans="3:5">
      <c r="C154" s="684"/>
      <c r="D154" s="684"/>
      <c r="E154" s="684"/>
    </row>
    <row r="155" spans="3:5">
      <c r="C155" s="684"/>
      <c r="D155" s="684"/>
      <c r="E155" s="684"/>
    </row>
    <row r="156" spans="3:5">
      <c r="C156" s="684"/>
      <c r="D156" s="684"/>
      <c r="E156" s="684"/>
    </row>
    <row r="157" spans="3:5">
      <c r="C157" s="684"/>
      <c r="D157" s="684"/>
      <c r="E157" s="684"/>
    </row>
    <row r="158" spans="3:5">
      <c r="C158" s="684"/>
      <c r="D158" s="684"/>
      <c r="E158" s="684"/>
    </row>
    <row r="159" spans="3:5">
      <c r="C159" s="684"/>
      <c r="D159" s="684"/>
      <c r="E159" s="684"/>
    </row>
    <row r="160" spans="3:5">
      <c r="C160" s="684"/>
      <c r="D160" s="684"/>
      <c r="E160" s="684"/>
    </row>
    <row r="161" spans="3:5">
      <c r="C161" s="684"/>
      <c r="D161" s="684"/>
      <c r="E161" s="684"/>
    </row>
    <row r="162" spans="3:5">
      <c r="C162" s="684"/>
      <c r="D162" s="684"/>
      <c r="E162" s="684"/>
    </row>
    <row r="163" spans="3:5">
      <c r="C163" s="684"/>
      <c r="D163" s="684"/>
      <c r="E163" s="684"/>
    </row>
    <row r="164" spans="3:5">
      <c r="C164" s="684"/>
      <c r="D164" s="684"/>
      <c r="E164" s="684"/>
    </row>
    <row r="165" spans="3:5">
      <c r="C165" s="684"/>
      <c r="D165" s="684"/>
      <c r="E165" s="684"/>
    </row>
  </sheetData>
  <mergeCells count="5">
    <mergeCell ref="A2:A5"/>
    <mergeCell ref="B2:B5"/>
    <mergeCell ref="C2:F2"/>
    <mergeCell ref="C3:E3"/>
    <mergeCell ref="F3:F4"/>
  </mergeCells>
  <pageMargins left="0.7" right="0.46474358974358976" top="0.86956521739130432" bottom="0.61458333333333337" header="0.3" footer="0.3"/>
  <pageSetup orientation="portrait" r:id="rId1"/>
  <headerFooter>
    <oddHeader>&amp;R&amp;7Informe de la Operación Mensual - Abril 2018
INFSGI-MES-04-2018
10/05/2018
Versión: 01</oddHeader>
    <oddFooter>&amp;L&amp;7COES SINAC, 2018
&amp;C18&amp;R&amp;7Dirección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78F8B-1C83-4883-828A-C7183A3F3068}">
  <sheetPr>
    <tabColor theme="4"/>
  </sheetPr>
  <dimension ref="A1:M67"/>
  <sheetViews>
    <sheetView showGridLines="0" view="pageBreakPreview" zoomScale="115" zoomScaleNormal="100" zoomScaleSheetLayoutView="115" zoomScalePageLayoutView="160" workbookViewId="0">
      <selection activeCell="P17" sqref="P17"/>
    </sheetView>
  </sheetViews>
  <sheetFormatPr defaultRowHeight="11.25"/>
  <cols>
    <col min="1" max="1" width="21.83203125" style="50" customWidth="1"/>
    <col min="2" max="2" width="20.83203125" style="50" customWidth="1"/>
    <col min="3" max="3" width="16.5" style="50" customWidth="1"/>
    <col min="4" max="4" width="18.5" style="50" customWidth="1"/>
    <col min="5" max="5" width="10.33203125" style="50" customWidth="1"/>
    <col min="6" max="6" width="12.5" style="50" customWidth="1"/>
    <col min="7" max="7" width="16.1640625" style="50" bestFit="1" customWidth="1"/>
    <col min="8" max="8" width="13" style="50" bestFit="1" customWidth="1"/>
    <col min="9" max="9" width="9.33203125" style="50"/>
    <col min="10" max="11" width="9.33203125" style="50" customWidth="1"/>
    <col min="12" max="13" width="9.33203125" style="50"/>
    <col min="14" max="16384" width="9.33203125" style="3"/>
  </cols>
  <sheetData>
    <row r="1" spans="1:12" s="50" customFormat="1" ht="17.25" customHeight="1">
      <c r="A1" s="963" t="s">
        <v>294</v>
      </c>
      <c r="B1" s="957" t="s">
        <v>57</v>
      </c>
      <c r="C1" s="959" t="str">
        <f>+'18. ANEXOI-1'!C2:F2</f>
        <v>ENERGÍA PRODUCIDA ABRIL 2018</v>
      </c>
      <c r="D1" s="959"/>
      <c r="E1" s="959"/>
      <c r="F1" s="959"/>
      <c r="G1" s="455" t="s">
        <v>326</v>
      </c>
      <c r="H1" s="280"/>
      <c r="I1" s="280"/>
      <c r="J1" s="280"/>
      <c r="K1" s="280"/>
    </row>
    <row r="2" spans="1:12" s="50" customFormat="1" ht="11.25" customHeight="1">
      <c r="A2" s="963"/>
      <c r="B2" s="957"/>
      <c r="C2" s="960" t="s">
        <v>327</v>
      </c>
      <c r="D2" s="960"/>
      <c r="E2" s="960"/>
      <c r="F2" s="961" t="str">
        <f>"TOTAL 
"&amp;UPPER('1. Resumen'!Q4)</f>
        <v>TOTAL 
ABRIL</v>
      </c>
      <c r="G2" s="456" t="s">
        <v>328</v>
      </c>
      <c r="H2" s="269"/>
      <c r="I2" s="269"/>
      <c r="J2" s="269"/>
      <c r="K2" s="269"/>
      <c r="L2" s="270"/>
    </row>
    <row r="3" spans="1:12" s="50" customFormat="1" ht="11.25" customHeight="1">
      <c r="A3" s="963"/>
      <c r="B3" s="957"/>
      <c r="C3" s="440" t="s">
        <v>246</v>
      </c>
      <c r="D3" s="440" t="s">
        <v>247</v>
      </c>
      <c r="E3" s="440" t="s">
        <v>329</v>
      </c>
      <c r="F3" s="962"/>
      <c r="G3" s="456">
        <v>2018</v>
      </c>
      <c r="H3" s="272"/>
      <c r="I3" s="271"/>
      <c r="J3" s="271"/>
      <c r="K3" s="271"/>
      <c r="L3" s="270"/>
    </row>
    <row r="4" spans="1:12" s="50" customFormat="1" ht="11.25" customHeight="1">
      <c r="A4" s="964"/>
      <c r="B4" s="965"/>
      <c r="C4" s="457" t="s">
        <v>330</v>
      </c>
      <c r="D4" s="457" t="s">
        <v>330</v>
      </c>
      <c r="E4" s="457" t="s">
        <v>330</v>
      </c>
      <c r="F4" s="457" t="s">
        <v>330</v>
      </c>
      <c r="G4" s="458" t="s">
        <v>229</v>
      </c>
      <c r="H4" s="272"/>
      <c r="I4" s="272"/>
      <c r="J4" s="272"/>
      <c r="K4" s="272"/>
      <c r="L4" s="12"/>
    </row>
    <row r="5" spans="1:12">
      <c r="A5" s="448" t="s">
        <v>103</v>
      </c>
      <c r="B5" s="445" t="s">
        <v>378</v>
      </c>
      <c r="C5" s="446"/>
      <c r="D5" s="446">
        <v>23649.382702499999</v>
      </c>
      <c r="E5" s="446"/>
      <c r="F5" s="446">
        <v>23649.382702499999</v>
      </c>
      <c r="G5" s="447">
        <v>84918.471417499997</v>
      </c>
    </row>
    <row r="6" spans="1:12">
      <c r="A6" s="448"/>
      <c r="B6" s="445" t="s">
        <v>379</v>
      </c>
      <c r="C6" s="446"/>
      <c r="D6" s="446">
        <v>0</v>
      </c>
      <c r="E6" s="446"/>
      <c r="F6" s="446">
        <v>0</v>
      </c>
      <c r="G6" s="447">
        <v>24375.911365</v>
      </c>
    </row>
    <row r="7" spans="1:12">
      <c r="A7" s="448"/>
      <c r="B7" s="445" t="s">
        <v>380</v>
      </c>
      <c r="C7" s="446"/>
      <c r="D7" s="446">
        <v>3110.2808049999999</v>
      </c>
      <c r="E7" s="446"/>
      <c r="F7" s="446">
        <v>3110.2808049999999</v>
      </c>
      <c r="G7" s="447">
        <v>32890.880739999993</v>
      </c>
    </row>
    <row r="8" spans="1:12">
      <c r="A8" s="450" t="s">
        <v>381</v>
      </c>
      <c r="B8" s="451"/>
      <c r="C8" s="452"/>
      <c r="D8" s="452">
        <v>26759.663507499998</v>
      </c>
      <c r="E8" s="452"/>
      <c r="F8" s="452">
        <v>26759.663507499998</v>
      </c>
      <c r="G8" s="453">
        <v>142185.2635225</v>
      </c>
    </row>
    <row r="9" spans="1:12">
      <c r="A9" s="448" t="s">
        <v>105</v>
      </c>
      <c r="B9" s="445" t="s">
        <v>567</v>
      </c>
      <c r="C9" s="446"/>
      <c r="D9" s="446"/>
      <c r="E9" s="446">
        <v>31835.126852499998</v>
      </c>
      <c r="F9" s="446">
        <v>31835.126852499998</v>
      </c>
      <c r="G9" s="447">
        <v>134877.44467499998</v>
      </c>
    </row>
    <row r="10" spans="1:12">
      <c r="A10" s="448"/>
      <c r="B10" s="445" t="s">
        <v>568</v>
      </c>
      <c r="C10" s="446"/>
      <c r="D10" s="446"/>
      <c r="E10" s="446">
        <v>36654.650585000003</v>
      </c>
      <c r="F10" s="446">
        <v>36654.650585000003</v>
      </c>
      <c r="G10" s="447">
        <v>70798.855372499995</v>
      </c>
    </row>
    <row r="11" spans="1:12">
      <c r="A11" s="450" t="s">
        <v>382</v>
      </c>
      <c r="B11" s="451"/>
      <c r="C11" s="452"/>
      <c r="D11" s="452"/>
      <c r="E11" s="452">
        <v>68489.777437500001</v>
      </c>
      <c r="F11" s="452">
        <v>68489.777437500001</v>
      </c>
      <c r="G11" s="453">
        <v>205676.30004749997</v>
      </c>
    </row>
    <row r="12" spans="1:12">
      <c r="A12" s="448" t="s">
        <v>104</v>
      </c>
      <c r="B12" s="445" t="s">
        <v>82</v>
      </c>
      <c r="C12" s="446"/>
      <c r="D12" s="446"/>
      <c r="E12" s="446">
        <v>23047.152227499999</v>
      </c>
      <c r="F12" s="446">
        <v>23047.152227499999</v>
      </c>
      <c r="G12" s="447">
        <v>92415.267870000011</v>
      </c>
    </row>
    <row r="13" spans="1:12">
      <c r="A13" s="448"/>
      <c r="B13" s="445" t="s">
        <v>84</v>
      </c>
      <c r="C13" s="446"/>
      <c r="D13" s="446"/>
      <c r="E13" s="446">
        <v>7762.1449224999997</v>
      </c>
      <c r="F13" s="446">
        <v>7762.1449224999997</v>
      </c>
      <c r="G13" s="447">
        <v>26878.107572500001</v>
      </c>
    </row>
    <row r="14" spans="1:12">
      <c r="A14" s="450" t="s">
        <v>383</v>
      </c>
      <c r="B14" s="451"/>
      <c r="C14" s="452"/>
      <c r="D14" s="452"/>
      <c r="E14" s="452">
        <v>30809.297149999999</v>
      </c>
      <c r="F14" s="452">
        <v>30809.297149999999</v>
      </c>
      <c r="G14" s="453">
        <v>119293.37544250001</v>
      </c>
    </row>
    <row r="15" spans="1:12">
      <c r="A15" s="448" t="s">
        <v>94</v>
      </c>
      <c r="B15" s="445" t="s">
        <v>384</v>
      </c>
      <c r="C15" s="446">
        <v>57277.472385000001</v>
      </c>
      <c r="D15" s="446"/>
      <c r="E15" s="446"/>
      <c r="F15" s="446">
        <v>57277.472385000001</v>
      </c>
      <c r="G15" s="447">
        <v>246273.15386750002</v>
      </c>
    </row>
    <row r="16" spans="1:12">
      <c r="A16" s="448"/>
      <c r="B16" s="445" t="s">
        <v>385</v>
      </c>
      <c r="C16" s="446">
        <v>93930.805160000004</v>
      </c>
      <c r="D16" s="446"/>
      <c r="E16" s="446"/>
      <c r="F16" s="446">
        <v>93930.805160000004</v>
      </c>
      <c r="G16" s="447">
        <v>368098.9325775</v>
      </c>
    </row>
    <row r="17" spans="1:7">
      <c r="A17" s="448"/>
      <c r="B17" s="445" t="s">
        <v>386</v>
      </c>
      <c r="C17" s="446"/>
      <c r="D17" s="446">
        <v>27060.481390000001</v>
      </c>
      <c r="E17" s="446"/>
      <c r="F17" s="446">
        <v>27060.481390000001</v>
      </c>
      <c r="G17" s="447">
        <v>249392.47873249999</v>
      </c>
    </row>
    <row r="18" spans="1:7">
      <c r="A18" s="448"/>
      <c r="B18" s="445" t="s">
        <v>387</v>
      </c>
      <c r="C18" s="446"/>
      <c r="D18" s="446">
        <v>494.03057749999999</v>
      </c>
      <c r="E18" s="446"/>
      <c r="F18" s="446">
        <v>494.03057749999999</v>
      </c>
      <c r="G18" s="447">
        <v>13907.381542499999</v>
      </c>
    </row>
    <row r="19" spans="1:7">
      <c r="A19" s="448"/>
      <c r="B19" s="445" t="s">
        <v>388</v>
      </c>
      <c r="C19" s="446"/>
      <c r="D19" s="446">
        <v>6666.5021175000002</v>
      </c>
      <c r="E19" s="446"/>
      <c r="F19" s="446">
        <v>6666.5021175000002</v>
      </c>
      <c r="G19" s="447">
        <v>26901.512962500001</v>
      </c>
    </row>
    <row r="20" spans="1:7">
      <c r="A20" s="448"/>
      <c r="B20" s="445" t="s">
        <v>389</v>
      </c>
      <c r="C20" s="446"/>
      <c r="D20" s="446">
        <v>2576.4459900000002</v>
      </c>
      <c r="E20" s="446"/>
      <c r="F20" s="446">
        <v>2576.4459900000002</v>
      </c>
      <c r="G20" s="447">
        <v>8885.7323775000004</v>
      </c>
    </row>
    <row r="21" spans="1:7">
      <c r="A21" s="448"/>
      <c r="B21" s="445" t="s">
        <v>390</v>
      </c>
      <c r="C21" s="446"/>
      <c r="D21" s="446">
        <v>0</v>
      </c>
      <c r="E21" s="446"/>
      <c r="F21" s="446">
        <v>0</v>
      </c>
      <c r="G21" s="447">
        <v>1442.7697075000001</v>
      </c>
    </row>
    <row r="22" spans="1:7">
      <c r="A22" s="448"/>
      <c r="B22" s="445" t="s">
        <v>577</v>
      </c>
      <c r="C22" s="446"/>
      <c r="D22" s="446"/>
      <c r="E22" s="446">
        <v>8117.0165424999996</v>
      </c>
      <c r="F22" s="446">
        <v>8117.0165424999996</v>
      </c>
      <c r="G22" s="447">
        <v>14472.6275425</v>
      </c>
    </row>
    <row r="23" spans="1:7">
      <c r="A23" s="450" t="s">
        <v>391</v>
      </c>
      <c r="B23" s="451"/>
      <c r="C23" s="452">
        <v>151208.27754500002</v>
      </c>
      <c r="D23" s="452">
        <v>36797.460075000003</v>
      </c>
      <c r="E23" s="452">
        <v>8117.0165424999996</v>
      </c>
      <c r="F23" s="452">
        <v>196122.75416250003</v>
      </c>
      <c r="G23" s="453">
        <v>929374.58931000007</v>
      </c>
    </row>
    <row r="24" spans="1:7">
      <c r="A24" s="448" t="s">
        <v>279</v>
      </c>
      <c r="B24" s="445" t="s">
        <v>392</v>
      </c>
      <c r="C24" s="446"/>
      <c r="D24" s="446">
        <v>338993.15323250002</v>
      </c>
      <c r="E24" s="446"/>
      <c r="F24" s="446">
        <v>338993.15323250002</v>
      </c>
      <c r="G24" s="447">
        <v>943508.11164249992</v>
      </c>
    </row>
    <row r="25" spans="1:7">
      <c r="A25" s="450" t="s">
        <v>393</v>
      </c>
      <c r="B25" s="451"/>
      <c r="C25" s="452"/>
      <c r="D25" s="452">
        <v>338993.15323250002</v>
      </c>
      <c r="E25" s="452"/>
      <c r="F25" s="452">
        <v>338993.15323250002</v>
      </c>
      <c r="G25" s="453">
        <v>943508.11164249992</v>
      </c>
    </row>
    <row r="26" spans="1:7">
      <c r="A26" s="448" t="s">
        <v>116</v>
      </c>
      <c r="B26" s="445" t="s">
        <v>70</v>
      </c>
      <c r="C26" s="446"/>
      <c r="D26" s="446"/>
      <c r="E26" s="446">
        <v>4424.4818374999995</v>
      </c>
      <c r="F26" s="446">
        <v>4424.4818374999995</v>
      </c>
      <c r="G26" s="447">
        <v>18517.048062499998</v>
      </c>
    </row>
    <row r="27" spans="1:7">
      <c r="A27" s="450" t="s">
        <v>394</v>
      </c>
      <c r="B27" s="451"/>
      <c r="C27" s="452"/>
      <c r="D27" s="452"/>
      <c r="E27" s="452">
        <v>4424.4818374999995</v>
      </c>
      <c r="F27" s="452">
        <v>4424.4818374999995</v>
      </c>
      <c r="G27" s="453">
        <v>18517.048062499998</v>
      </c>
    </row>
    <row r="28" spans="1:7">
      <c r="A28" s="448" t="s">
        <v>119</v>
      </c>
      <c r="B28" s="445" t="s">
        <v>271</v>
      </c>
      <c r="C28" s="446"/>
      <c r="D28" s="446"/>
      <c r="E28" s="446">
        <v>3232.2990749999999</v>
      </c>
      <c r="F28" s="446">
        <v>3232.2990749999999</v>
      </c>
      <c r="G28" s="447">
        <v>14222.772125</v>
      </c>
    </row>
    <row r="29" spans="1:7">
      <c r="A29" s="450" t="s">
        <v>395</v>
      </c>
      <c r="B29" s="451"/>
      <c r="C29" s="452"/>
      <c r="D29" s="452"/>
      <c r="E29" s="452">
        <v>3232.2990749999999</v>
      </c>
      <c r="F29" s="452">
        <v>3232.2990749999999</v>
      </c>
      <c r="G29" s="453">
        <v>14222.772125</v>
      </c>
    </row>
    <row r="30" spans="1:7">
      <c r="A30" s="448" t="s">
        <v>120</v>
      </c>
      <c r="B30" s="445" t="s">
        <v>89</v>
      </c>
      <c r="C30" s="446"/>
      <c r="D30" s="446"/>
      <c r="E30" s="446">
        <v>3207.6275074999999</v>
      </c>
      <c r="F30" s="446">
        <v>3207.6275074999999</v>
      </c>
      <c r="G30" s="447">
        <v>11879.054337500002</v>
      </c>
    </row>
    <row r="31" spans="1:7">
      <c r="A31" s="450" t="s">
        <v>396</v>
      </c>
      <c r="B31" s="451"/>
      <c r="C31" s="452"/>
      <c r="D31" s="452"/>
      <c r="E31" s="452">
        <v>3207.6275074999999</v>
      </c>
      <c r="F31" s="452">
        <v>3207.6275074999999</v>
      </c>
      <c r="G31" s="453">
        <v>11879.054337500002</v>
      </c>
    </row>
    <row r="32" spans="1:7">
      <c r="A32" s="448" t="s">
        <v>124</v>
      </c>
      <c r="B32" s="445" t="s">
        <v>78</v>
      </c>
      <c r="C32" s="446"/>
      <c r="D32" s="446"/>
      <c r="E32" s="446">
        <v>1721.4</v>
      </c>
      <c r="F32" s="446">
        <v>1721.4</v>
      </c>
      <c r="G32" s="447">
        <v>7748.9999999999991</v>
      </c>
    </row>
    <row r="33" spans="1:8">
      <c r="A33" s="450" t="s">
        <v>397</v>
      </c>
      <c r="B33" s="451"/>
      <c r="C33" s="452"/>
      <c r="D33" s="452"/>
      <c r="E33" s="452">
        <v>1721.4</v>
      </c>
      <c r="F33" s="452">
        <v>1721.4</v>
      </c>
      <c r="G33" s="453">
        <v>7748.9999999999991</v>
      </c>
    </row>
    <row r="34" spans="1:8">
      <c r="A34" s="448" t="s">
        <v>110</v>
      </c>
      <c r="B34" s="445" t="s">
        <v>398</v>
      </c>
      <c r="C34" s="446">
        <v>13344.036</v>
      </c>
      <c r="D34" s="446"/>
      <c r="E34" s="446"/>
      <c r="F34" s="446">
        <v>13344.036</v>
      </c>
      <c r="G34" s="447">
        <v>54877.840999999993</v>
      </c>
    </row>
    <row r="35" spans="1:8">
      <c r="A35" s="450" t="s">
        <v>399</v>
      </c>
      <c r="B35" s="451"/>
      <c r="C35" s="452">
        <v>13344.036</v>
      </c>
      <c r="D35" s="452"/>
      <c r="E35" s="452"/>
      <c r="F35" s="452">
        <v>13344.036</v>
      </c>
      <c r="G35" s="453">
        <v>54877.840999999993</v>
      </c>
    </row>
    <row r="36" spans="1:8">
      <c r="A36" s="448" t="s">
        <v>280</v>
      </c>
      <c r="B36" s="445" t="s">
        <v>63</v>
      </c>
      <c r="C36" s="446"/>
      <c r="D36" s="446"/>
      <c r="E36" s="446">
        <v>7693.9949725000006</v>
      </c>
      <c r="F36" s="446">
        <v>7693.9949725000006</v>
      </c>
      <c r="G36" s="447">
        <v>43948.821612500004</v>
      </c>
    </row>
    <row r="37" spans="1:8">
      <c r="A37" s="450" t="s">
        <v>401</v>
      </c>
      <c r="B37" s="451"/>
      <c r="C37" s="452"/>
      <c r="D37" s="452"/>
      <c r="E37" s="452">
        <v>7693.9949725000006</v>
      </c>
      <c r="F37" s="452">
        <v>7693.9949725000006</v>
      </c>
      <c r="G37" s="453">
        <v>43948.821612500004</v>
      </c>
    </row>
    <row r="38" spans="1:8">
      <c r="A38" s="448" t="s">
        <v>127</v>
      </c>
      <c r="B38" s="445" t="s">
        <v>402</v>
      </c>
      <c r="C38" s="446"/>
      <c r="D38" s="446">
        <v>3.2124999999999999</v>
      </c>
      <c r="E38" s="446"/>
      <c r="F38" s="446">
        <v>3.2124999999999999</v>
      </c>
      <c r="G38" s="447">
        <v>376.43010499999997</v>
      </c>
    </row>
    <row r="39" spans="1:8">
      <c r="A39" s="448"/>
      <c r="B39" s="445" t="s">
        <v>403</v>
      </c>
      <c r="C39" s="446"/>
      <c r="D39" s="446">
        <v>3554.9621674999999</v>
      </c>
      <c r="E39" s="446"/>
      <c r="F39" s="446">
        <v>3554.9621674999999</v>
      </c>
      <c r="G39" s="447">
        <v>3578.2805399999997</v>
      </c>
    </row>
    <row r="40" spans="1:8">
      <c r="A40" s="450" t="s">
        <v>404</v>
      </c>
      <c r="B40" s="451"/>
      <c r="C40" s="452"/>
      <c r="D40" s="452">
        <v>3558.1746674999999</v>
      </c>
      <c r="E40" s="452"/>
      <c r="F40" s="452">
        <v>3558.1746674999999</v>
      </c>
      <c r="G40" s="453">
        <v>3954.7106449999997</v>
      </c>
    </row>
    <row r="41" spans="1:8">
      <c r="A41" s="448" t="s">
        <v>281</v>
      </c>
      <c r="B41" s="445" t="s">
        <v>406</v>
      </c>
      <c r="C41" s="446"/>
      <c r="D41" s="446">
        <v>253597.75200499999</v>
      </c>
      <c r="E41" s="446"/>
      <c r="F41" s="446">
        <v>253597.75200499999</v>
      </c>
      <c r="G41" s="447">
        <v>1324223.5033125002</v>
      </c>
    </row>
    <row r="42" spans="1:8">
      <c r="A42" s="448"/>
      <c r="B42" s="445" t="s">
        <v>407</v>
      </c>
      <c r="C42" s="446"/>
      <c r="D42" s="446">
        <v>30590.418519999999</v>
      </c>
      <c r="E42" s="446"/>
      <c r="F42" s="446">
        <v>30590.418519999999</v>
      </c>
      <c r="G42" s="447">
        <v>170807.04328499999</v>
      </c>
    </row>
    <row r="43" spans="1:8">
      <c r="A43" s="448"/>
      <c r="B43" s="445" t="s">
        <v>405</v>
      </c>
      <c r="C43" s="446">
        <v>364892.02773249999</v>
      </c>
      <c r="D43" s="446"/>
      <c r="E43" s="446"/>
      <c r="F43" s="446">
        <v>364892.02773249999</v>
      </c>
      <c r="G43" s="447">
        <v>1403208.6782275001</v>
      </c>
    </row>
    <row r="44" spans="1:8">
      <c r="A44" s="448"/>
      <c r="B44" s="445" t="s">
        <v>408</v>
      </c>
      <c r="C44" s="446">
        <v>7176.8776374999998</v>
      </c>
      <c r="D44" s="446"/>
      <c r="E44" s="446"/>
      <c r="F44" s="446">
        <v>7176.8776374999998</v>
      </c>
      <c r="G44" s="447">
        <v>27747.738082499996</v>
      </c>
    </row>
    <row r="45" spans="1:8">
      <c r="A45" s="450" t="s">
        <v>409</v>
      </c>
      <c r="B45" s="451"/>
      <c r="C45" s="452">
        <v>372068.90536999999</v>
      </c>
      <c r="D45" s="452">
        <v>284188.17052499996</v>
      </c>
      <c r="E45" s="452"/>
      <c r="F45" s="452">
        <v>656257.0758949999</v>
      </c>
      <c r="G45" s="453">
        <v>2925986.9629075006</v>
      </c>
    </row>
    <row r="46" spans="1:8">
      <c r="A46" s="448" t="s">
        <v>727</v>
      </c>
      <c r="B46" s="445" t="s">
        <v>725</v>
      </c>
      <c r="C46" s="446">
        <v>62536.225502500005</v>
      </c>
      <c r="D46" s="446"/>
      <c r="E46" s="446"/>
      <c r="F46" s="446">
        <v>62536.225502500005</v>
      </c>
      <c r="G46" s="447">
        <v>254516.08507999999</v>
      </c>
      <c r="H46" s="684"/>
    </row>
    <row r="47" spans="1:8">
      <c r="A47" s="450" t="s">
        <v>548</v>
      </c>
      <c r="B47" s="451"/>
      <c r="C47" s="452">
        <v>62536.225502500005</v>
      </c>
      <c r="D47" s="452"/>
      <c r="E47" s="452"/>
      <c r="F47" s="452">
        <v>62536.225502500005</v>
      </c>
      <c r="G47" s="453">
        <v>254516.08507999999</v>
      </c>
    </row>
    <row r="48" spans="1:8">
      <c r="A48" s="448" t="s">
        <v>125</v>
      </c>
      <c r="B48" s="445" t="s">
        <v>76</v>
      </c>
      <c r="C48" s="446"/>
      <c r="D48" s="446"/>
      <c r="E48" s="446">
        <v>2555.72775</v>
      </c>
      <c r="F48" s="446">
        <v>2555.72775</v>
      </c>
      <c r="G48" s="447">
        <v>10082.9933</v>
      </c>
    </row>
    <row r="49" spans="1:7">
      <c r="A49" s="450" t="s">
        <v>410</v>
      </c>
      <c r="B49" s="451"/>
      <c r="C49" s="452"/>
      <c r="D49" s="452"/>
      <c r="E49" s="452">
        <v>2555.72775</v>
      </c>
      <c r="F49" s="452">
        <v>2555.72775</v>
      </c>
      <c r="G49" s="453">
        <v>10082.9933</v>
      </c>
    </row>
    <row r="50" spans="1:7">
      <c r="A50" s="448" t="s">
        <v>118</v>
      </c>
      <c r="B50" s="445" t="s">
        <v>87</v>
      </c>
      <c r="C50" s="446"/>
      <c r="D50" s="446"/>
      <c r="E50" s="446">
        <v>3716.1225949999998</v>
      </c>
      <c r="F50" s="446">
        <v>3716.1225949999998</v>
      </c>
      <c r="G50" s="447">
        <v>15667.63255</v>
      </c>
    </row>
    <row r="51" spans="1:7">
      <c r="A51" s="450" t="s">
        <v>411</v>
      </c>
      <c r="B51" s="451"/>
      <c r="C51" s="452"/>
      <c r="D51" s="452"/>
      <c r="E51" s="452">
        <v>3716.1225949999998</v>
      </c>
      <c r="F51" s="452">
        <v>3716.1225949999998</v>
      </c>
      <c r="G51" s="453">
        <v>15667.63255</v>
      </c>
    </row>
    <row r="52" spans="1:7">
      <c r="A52" s="448" t="s">
        <v>282</v>
      </c>
      <c r="B52" s="445" t="s">
        <v>75</v>
      </c>
      <c r="C52" s="446"/>
      <c r="D52" s="446"/>
      <c r="E52" s="446">
        <v>3372.1646325000002</v>
      </c>
      <c r="F52" s="446">
        <v>3372.1646325000002</v>
      </c>
      <c r="G52" s="447">
        <v>12192.858535000001</v>
      </c>
    </row>
    <row r="53" spans="1:7">
      <c r="A53" s="448"/>
      <c r="B53" s="445" t="s">
        <v>412</v>
      </c>
      <c r="C53" s="446">
        <v>172941.72106749998</v>
      </c>
      <c r="D53" s="446"/>
      <c r="E53" s="446"/>
      <c r="F53" s="446">
        <v>172941.72106749998</v>
      </c>
      <c r="G53" s="447">
        <v>681604.58863500005</v>
      </c>
    </row>
    <row r="54" spans="1:7">
      <c r="A54" s="448"/>
      <c r="B54" s="445" t="s">
        <v>413</v>
      </c>
      <c r="C54" s="446">
        <v>62333.614119999998</v>
      </c>
      <c r="D54" s="446"/>
      <c r="E54" s="446"/>
      <c r="F54" s="446">
        <v>62333.614119999998</v>
      </c>
      <c r="G54" s="447">
        <v>243360.470875</v>
      </c>
    </row>
    <row r="55" spans="1:7">
      <c r="A55" s="448"/>
      <c r="B55" s="445" t="s">
        <v>66</v>
      </c>
      <c r="C55" s="446"/>
      <c r="D55" s="446"/>
      <c r="E55" s="446">
        <v>6879.4483650000002</v>
      </c>
      <c r="F55" s="446">
        <v>6879.4483650000002</v>
      </c>
      <c r="G55" s="447">
        <v>28207.846302500002</v>
      </c>
    </row>
    <row r="56" spans="1:7">
      <c r="A56" s="450" t="s">
        <v>414</v>
      </c>
      <c r="B56" s="451"/>
      <c r="C56" s="452">
        <v>235275.33518749999</v>
      </c>
      <c r="D56" s="452"/>
      <c r="E56" s="452">
        <v>10251.6129975</v>
      </c>
      <c r="F56" s="452">
        <v>245526.94818499996</v>
      </c>
      <c r="G56" s="453">
        <v>965365.76434750005</v>
      </c>
    </row>
    <row r="57" spans="1:7">
      <c r="A57" s="448" t="s">
        <v>283</v>
      </c>
      <c r="B57" s="445" t="s">
        <v>83</v>
      </c>
      <c r="C57" s="446"/>
      <c r="D57" s="446"/>
      <c r="E57" s="446">
        <v>11094.47503</v>
      </c>
      <c r="F57" s="446">
        <v>11094.47503</v>
      </c>
      <c r="G57" s="447">
        <v>46141.947704999999</v>
      </c>
    </row>
    <row r="58" spans="1:7">
      <c r="A58" s="450" t="s">
        <v>415</v>
      </c>
      <c r="B58" s="451"/>
      <c r="C58" s="452"/>
      <c r="D58" s="452"/>
      <c r="E58" s="452">
        <v>11094.47503</v>
      </c>
      <c r="F58" s="452">
        <v>11094.47503</v>
      </c>
      <c r="G58" s="453">
        <v>46141.947704999999</v>
      </c>
    </row>
    <row r="59" spans="1:7">
      <c r="A59" s="448" t="s">
        <v>106</v>
      </c>
      <c r="B59" s="445" t="s">
        <v>80</v>
      </c>
      <c r="C59" s="446"/>
      <c r="D59" s="446"/>
      <c r="E59" s="446">
        <v>36452.785259999997</v>
      </c>
      <c r="F59" s="446">
        <v>36452.785259999997</v>
      </c>
      <c r="G59" s="447">
        <v>150454.92548999999</v>
      </c>
    </row>
    <row r="60" spans="1:7">
      <c r="A60" s="450" t="s">
        <v>416</v>
      </c>
      <c r="B60" s="451"/>
      <c r="C60" s="452"/>
      <c r="D60" s="452"/>
      <c r="E60" s="452">
        <v>36452.785259999997</v>
      </c>
      <c r="F60" s="452">
        <v>36452.785259999997</v>
      </c>
      <c r="G60" s="453">
        <v>150454.92548999999</v>
      </c>
    </row>
    <row r="61" spans="1:7">
      <c r="A61" s="448" t="s">
        <v>115</v>
      </c>
      <c r="B61" s="445" t="s">
        <v>270</v>
      </c>
      <c r="C61" s="446"/>
      <c r="D61" s="446"/>
      <c r="E61" s="446">
        <v>4005.6565000000001</v>
      </c>
      <c r="F61" s="446">
        <v>4005.6565000000001</v>
      </c>
      <c r="G61" s="447">
        <v>17142.635215000002</v>
      </c>
    </row>
    <row r="62" spans="1:7">
      <c r="A62" s="450" t="s">
        <v>417</v>
      </c>
      <c r="B62" s="451"/>
      <c r="C62" s="452"/>
      <c r="D62" s="452"/>
      <c r="E62" s="452">
        <v>4005.6565000000001</v>
      </c>
      <c r="F62" s="452">
        <v>4005.6565000000001</v>
      </c>
      <c r="G62" s="453">
        <v>17142.635215000002</v>
      </c>
    </row>
    <row r="63" spans="1:7">
      <c r="A63" s="448" t="s">
        <v>284</v>
      </c>
      <c r="B63" s="445" t="s">
        <v>92</v>
      </c>
      <c r="C63" s="446"/>
      <c r="D63" s="446"/>
      <c r="E63" s="446">
        <v>1298.931225</v>
      </c>
      <c r="F63" s="446">
        <v>1298.931225</v>
      </c>
      <c r="G63" s="447">
        <v>4227.6754249999994</v>
      </c>
    </row>
    <row r="64" spans="1:7">
      <c r="A64" s="448"/>
      <c r="B64" s="445" t="s">
        <v>91</v>
      </c>
      <c r="C64" s="446"/>
      <c r="D64" s="446"/>
      <c r="E64" s="446">
        <v>2577.7057500000001</v>
      </c>
      <c r="F64" s="446">
        <v>2577.7057500000001</v>
      </c>
      <c r="G64" s="447">
        <v>11219.955432499999</v>
      </c>
    </row>
    <row r="65" spans="1:7">
      <c r="A65" s="450" t="s">
        <v>418</v>
      </c>
      <c r="B65" s="451"/>
      <c r="C65" s="452"/>
      <c r="D65" s="452"/>
      <c r="E65" s="452">
        <v>3876.6369750000003</v>
      </c>
      <c r="F65" s="452">
        <v>3876.6369750000003</v>
      </c>
      <c r="G65" s="453">
        <v>15447.630857499998</v>
      </c>
    </row>
    <row r="66" spans="1:7">
      <c r="A66" s="686"/>
      <c r="B66" s="445"/>
      <c r="C66" s="446"/>
      <c r="D66" s="446"/>
      <c r="E66" s="446"/>
      <c r="F66" s="446"/>
      <c r="G66" s="446"/>
    </row>
    <row r="67" spans="1:7">
      <c r="A67" s="687"/>
      <c r="B67" s="687"/>
      <c r="C67" s="687"/>
      <c r="D67" s="687"/>
      <c r="E67" s="687"/>
      <c r="F67" s="687"/>
      <c r="G67" s="687"/>
    </row>
  </sheetData>
  <mergeCells count="5">
    <mergeCell ref="A1:A4"/>
    <mergeCell ref="B1:B4"/>
    <mergeCell ref="C1:F1"/>
    <mergeCell ref="C2:E2"/>
    <mergeCell ref="F2:F3"/>
  </mergeCells>
  <pageMargins left="0.7" right="0.46474358974358976" top="0.86956521739130432" bottom="0.61458333333333337" header="0.3" footer="0.3"/>
  <pageSetup orientation="portrait" r:id="rId1"/>
  <headerFooter>
    <oddHeader>&amp;R&amp;7Informe de la Operación Mensual - Abril 2018
INFSGI-MES-04-2018
10/05/2018
Versión: 01</oddHeader>
    <oddFooter>&amp;L&amp;7COES SINAC, 2018
&amp;C19&amp;R&amp;7Dirección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4E906-A71A-4080-BB8F-C09AEC63F946}">
  <sheetPr>
    <tabColor theme="4"/>
  </sheetPr>
  <dimension ref="A1:M60"/>
  <sheetViews>
    <sheetView showGridLines="0" view="pageBreakPreview" zoomScale="115" zoomScaleNormal="100" zoomScaleSheetLayoutView="115" zoomScalePageLayoutView="160" workbookViewId="0">
      <selection activeCell="P17" sqref="P17"/>
    </sheetView>
  </sheetViews>
  <sheetFormatPr defaultRowHeight="11.25"/>
  <cols>
    <col min="1" max="1" width="22.6640625" style="50" customWidth="1"/>
    <col min="2" max="2" width="20.83203125" style="50" customWidth="1"/>
    <col min="3" max="3" width="16.5" style="50" customWidth="1"/>
    <col min="4" max="4" width="18.5" style="50" customWidth="1"/>
    <col min="5" max="5" width="10.33203125" style="50" customWidth="1"/>
    <col min="6" max="6" width="12.5" style="50" customWidth="1"/>
    <col min="7" max="7" width="16.1640625" style="50" bestFit="1" customWidth="1"/>
    <col min="8" max="9" width="9.33203125" style="50"/>
    <col min="10" max="11" width="9.33203125" style="50" customWidth="1"/>
    <col min="12" max="13" width="9.33203125" style="50"/>
    <col min="14" max="16384" width="9.33203125" style="3"/>
  </cols>
  <sheetData>
    <row r="1" spans="1:12" ht="15.75" customHeight="1">
      <c r="A1" s="963" t="s">
        <v>294</v>
      </c>
      <c r="B1" s="957" t="s">
        <v>57</v>
      </c>
      <c r="C1" s="959" t="str">
        <f>+'19. ANEXOI-2'!C1:F1</f>
        <v>ENERGÍA PRODUCIDA ABRIL 2018</v>
      </c>
      <c r="D1" s="959"/>
      <c r="E1" s="959"/>
      <c r="F1" s="959"/>
      <c r="G1" s="455" t="s">
        <v>326</v>
      </c>
      <c r="H1" s="280"/>
      <c r="I1" s="280"/>
      <c r="J1" s="280"/>
      <c r="K1" s="280"/>
    </row>
    <row r="2" spans="1:12" ht="11.25" customHeight="1">
      <c r="A2" s="963"/>
      <c r="B2" s="957"/>
      <c r="C2" s="960" t="s">
        <v>327</v>
      </c>
      <c r="D2" s="960"/>
      <c r="E2" s="960"/>
      <c r="F2" s="961" t="str">
        <f>"TOTAL 
"&amp;UPPER('1. Resumen'!Q4)</f>
        <v>TOTAL 
ABRIL</v>
      </c>
      <c r="G2" s="456" t="s">
        <v>328</v>
      </c>
      <c r="H2" s="269"/>
      <c r="I2" s="269"/>
      <c r="J2" s="269"/>
      <c r="K2" s="269"/>
      <c r="L2" s="270"/>
    </row>
    <row r="3" spans="1:12" ht="11.25" customHeight="1">
      <c r="A3" s="963"/>
      <c r="B3" s="957"/>
      <c r="C3" s="440" t="s">
        <v>246</v>
      </c>
      <c r="D3" s="440" t="s">
        <v>247</v>
      </c>
      <c r="E3" s="440" t="s">
        <v>329</v>
      </c>
      <c r="F3" s="962"/>
      <c r="G3" s="456">
        <v>2018</v>
      </c>
      <c r="H3" s="272"/>
      <c r="I3" s="271"/>
      <c r="J3" s="271"/>
      <c r="K3" s="271"/>
      <c r="L3" s="270"/>
    </row>
    <row r="4" spans="1:12" ht="11.25" customHeight="1">
      <c r="A4" s="964"/>
      <c r="B4" s="965"/>
      <c r="C4" s="457" t="s">
        <v>330</v>
      </c>
      <c r="D4" s="457" t="s">
        <v>330</v>
      </c>
      <c r="E4" s="457" t="s">
        <v>330</v>
      </c>
      <c r="F4" s="457" t="s">
        <v>330</v>
      </c>
      <c r="G4" s="458" t="s">
        <v>229</v>
      </c>
      <c r="H4" s="272"/>
      <c r="I4" s="272"/>
      <c r="J4" s="272"/>
      <c r="K4" s="272"/>
      <c r="L4" s="12"/>
    </row>
    <row r="5" spans="1:12">
      <c r="A5" s="448" t="s">
        <v>285</v>
      </c>
      <c r="B5" s="445" t="s">
        <v>419</v>
      </c>
      <c r="C5" s="446"/>
      <c r="D5" s="446">
        <v>0</v>
      </c>
      <c r="E5" s="446"/>
      <c r="F5" s="446">
        <v>0</v>
      </c>
      <c r="G5" s="447">
        <v>163.0940875</v>
      </c>
    </row>
    <row r="6" spans="1:12">
      <c r="A6" s="450" t="s">
        <v>420</v>
      </c>
      <c r="B6" s="451"/>
      <c r="C6" s="452"/>
      <c r="D6" s="452">
        <v>0</v>
      </c>
      <c r="E6" s="452"/>
      <c r="F6" s="452">
        <v>0</v>
      </c>
      <c r="G6" s="453">
        <v>163.0940875</v>
      </c>
    </row>
    <row r="7" spans="1:12">
      <c r="A7" s="448" t="s">
        <v>112</v>
      </c>
      <c r="B7" s="445" t="s">
        <v>65</v>
      </c>
      <c r="C7" s="446"/>
      <c r="D7" s="446"/>
      <c r="E7" s="446">
        <v>13151.689222500001</v>
      </c>
      <c r="F7" s="446">
        <v>13151.689222500001</v>
      </c>
      <c r="G7" s="447">
        <v>48146.622887499994</v>
      </c>
    </row>
    <row r="8" spans="1:12">
      <c r="A8" s="450" t="s">
        <v>421</v>
      </c>
      <c r="B8" s="451"/>
      <c r="C8" s="452"/>
      <c r="D8" s="452"/>
      <c r="E8" s="452">
        <v>13151.689222500001</v>
      </c>
      <c r="F8" s="452">
        <v>13151.689222500001</v>
      </c>
      <c r="G8" s="453">
        <v>48146.622887499994</v>
      </c>
    </row>
    <row r="9" spans="1:12">
      <c r="A9" s="448" t="s">
        <v>286</v>
      </c>
      <c r="B9" s="445" t="s">
        <v>422</v>
      </c>
      <c r="C9" s="446"/>
      <c r="D9" s="446">
        <v>339.72637500000002</v>
      </c>
      <c r="E9" s="446"/>
      <c r="F9" s="446">
        <v>339.72637500000002</v>
      </c>
      <c r="G9" s="447">
        <v>24497.718852499998</v>
      </c>
    </row>
    <row r="10" spans="1:12">
      <c r="A10" s="450" t="s">
        <v>423</v>
      </c>
      <c r="B10" s="451"/>
      <c r="C10" s="452"/>
      <c r="D10" s="452">
        <v>339.72637500000002</v>
      </c>
      <c r="E10" s="452"/>
      <c r="F10" s="452">
        <v>339.72637500000002</v>
      </c>
      <c r="G10" s="453">
        <v>24497.718852499998</v>
      </c>
    </row>
    <row r="11" spans="1:12">
      <c r="A11" s="448" t="s">
        <v>102</v>
      </c>
      <c r="B11" s="445" t="s">
        <v>424</v>
      </c>
      <c r="C11" s="446">
        <v>79222.127550000005</v>
      </c>
      <c r="D11" s="446"/>
      <c r="E11" s="446"/>
      <c r="F11" s="446">
        <v>79222.127550000005</v>
      </c>
      <c r="G11" s="447">
        <v>316313.77943</v>
      </c>
    </row>
    <row r="12" spans="1:12">
      <c r="A12" s="450" t="s">
        <v>425</v>
      </c>
      <c r="B12" s="451"/>
      <c r="C12" s="452">
        <v>79222.127550000005</v>
      </c>
      <c r="D12" s="452"/>
      <c r="E12" s="452"/>
      <c r="F12" s="452">
        <v>79222.127550000005</v>
      </c>
      <c r="G12" s="453">
        <v>316313.77943</v>
      </c>
    </row>
    <row r="13" spans="1:12">
      <c r="A13" s="448" t="s">
        <v>287</v>
      </c>
      <c r="B13" s="445" t="s">
        <v>69</v>
      </c>
      <c r="C13" s="446"/>
      <c r="D13" s="446"/>
      <c r="E13" s="446">
        <v>6664.7145275000003</v>
      </c>
      <c r="F13" s="446">
        <v>6664.7145275000003</v>
      </c>
      <c r="G13" s="447">
        <v>26224.58051</v>
      </c>
    </row>
    <row r="14" spans="1:12">
      <c r="A14" s="448"/>
      <c r="B14" s="445" t="s">
        <v>68</v>
      </c>
      <c r="C14" s="446"/>
      <c r="D14" s="446"/>
      <c r="E14" s="446">
        <v>6967.1834500000004</v>
      </c>
      <c r="F14" s="446">
        <v>6967.1834500000004</v>
      </c>
      <c r="G14" s="447">
        <v>27183.884590000001</v>
      </c>
    </row>
    <row r="15" spans="1:12">
      <c r="A15" s="448"/>
      <c r="B15" s="445" t="s">
        <v>72</v>
      </c>
      <c r="C15" s="446"/>
      <c r="D15" s="446"/>
      <c r="E15" s="446">
        <v>4159.9814575</v>
      </c>
      <c r="F15" s="446">
        <v>4159.9814575</v>
      </c>
      <c r="G15" s="447">
        <v>16326.9023125</v>
      </c>
    </row>
    <row r="16" spans="1:12">
      <c r="A16" s="448"/>
      <c r="B16" s="445" t="s">
        <v>71</v>
      </c>
      <c r="C16" s="446"/>
      <c r="D16" s="446"/>
      <c r="E16" s="446">
        <v>4440.3374949999998</v>
      </c>
      <c r="F16" s="446">
        <v>4440.3374949999998</v>
      </c>
      <c r="G16" s="447">
        <v>17642.667655000001</v>
      </c>
    </row>
    <row r="17" spans="1:7">
      <c r="A17" s="450" t="s">
        <v>426</v>
      </c>
      <c r="B17" s="451"/>
      <c r="C17" s="452"/>
      <c r="D17" s="452"/>
      <c r="E17" s="452">
        <v>22232.216930000002</v>
      </c>
      <c r="F17" s="452">
        <v>22232.216930000002</v>
      </c>
      <c r="G17" s="453">
        <v>87378.035067499994</v>
      </c>
    </row>
    <row r="18" spans="1:7">
      <c r="A18" s="448" t="s">
        <v>109</v>
      </c>
      <c r="B18" s="445" t="s">
        <v>427</v>
      </c>
      <c r="C18" s="446"/>
      <c r="D18" s="446">
        <v>19614.166347499999</v>
      </c>
      <c r="E18" s="446"/>
      <c r="F18" s="446">
        <v>19614.166347499999</v>
      </c>
      <c r="G18" s="447">
        <v>77487.85037</v>
      </c>
    </row>
    <row r="19" spans="1:7">
      <c r="A19" s="450" t="s">
        <v>428</v>
      </c>
      <c r="B19" s="451"/>
      <c r="C19" s="452"/>
      <c r="D19" s="452">
        <v>19614.166347499999</v>
      </c>
      <c r="E19" s="452"/>
      <c r="F19" s="452">
        <v>19614.166347499999</v>
      </c>
      <c r="G19" s="453">
        <v>77487.85037</v>
      </c>
    </row>
    <row r="20" spans="1:7">
      <c r="A20" s="448" t="s">
        <v>129</v>
      </c>
      <c r="B20" s="445" t="s">
        <v>429</v>
      </c>
      <c r="C20" s="446"/>
      <c r="D20" s="446">
        <v>0</v>
      </c>
      <c r="E20" s="446"/>
      <c r="F20" s="446">
        <v>0</v>
      </c>
      <c r="G20" s="447">
        <v>1268.4801150000003</v>
      </c>
    </row>
    <row r="21" spans="1:7">
      <c r="A21" s="450" t="s">
        <v>430</v>
      </c>
      <c r="B21" s="451"/>
      <c r="C21" s="452"/>
      <c r="D21" s="452">
        <v>0</v>
      </c>
      <c r="E21" s="452"/>
      <c r="F21" s="452">
        <v>0</v>
      </c>
      <c r="G21" s="453">
        <v>1268.4801150000003</v>
      </c>
    </row>
    <row r="22" spans="1:7">
      <c r="A22" s="448" t="s">
        <v>121</v>
      </c>
      <c r="B22" s="445" t="s">
        <v>73</v>
      </c>
      <c r="C22" s="446"/>
      <c r="D22" s="446"/>
      <c r="E22" s="446">
        <v>5942.1443449999997</v>
      </c>
      <c r="F22" s="446">
        <v>5942.1443449999997</v>
      </c>
      <c r="G22" s="447">
        <v>20282.166089999999</v>
      </c>
    </row>
    <row r="23" spans="1:7">
      <c r="A23" s="450" t="s">
        <v>431</v>
      </c>
      <c r="B23" s="451"/>
      <c r="C23" s="452"/>
      <c r="D23" s="452"/>
      <c r="E23" s="452">
        <v>5942.1443449999997</v>
      </c>
      <c r="F23" s="452">
        <v>5942.1443449999997</v>
      </c>
      <c r="G23" s="453">
        <v>20282.166089999999</v>
      </c>
    </row>
    <row r="24" spans="1:7">
      <c r="A24" s="448" t="s">
        <v>97</v>
      </c>
      <c r="B24" s="445" t="s">
        <v>432</v>
      </c>
      <c r="C24" s="446">
        <v>29394.016974999999</v>
      </c>
      <c r="D24" s="446"/>
      <c r="E24" s="446"/>
      <c r="F24" s="446">
        <v>29394.016974999999</v>
      </c>
      <c r="G24" s="447">
        <v>109902.30804999999</v>
      </c>
    </row>
    <row r="25" spans="1:7">
      <c r="A25" s="448"/>
      <c r="B25" s="445" t="s">
        <v>433</v>
      </c>
      <c r="C25" s="446">
        <v>111320.61360500001</v>
      </c>
      <c r="D25" s="446"/>
      <c r="E25" s="446"/>
      <c r="F25" s="446">
        <v>111320.61360500001</v>
      </c>
      <c r="G25" s="447">
        <v>417208.2197975</v>
      </c>
    </row>
    <row r="26" spans="1:7">
      <c r="A26" s="448"/>
      <c r="B26" s="445" t="s">
        <v>434</v>
      </c>
      <c r="C26" s="446">
        <v>7082.1282499999998</v>
      </c>
      <c r="D26" s="446"/>
      <c r="E26" s="446"/>
      <c r="F26" s="446">
        <v>7082.1282499999998</v>
      </c>
      <c r="G26" s="447">
        <v>54195.209112500001</v>
      </c>
    </row>
    <row r="27" spans="1:7">
      <c r="A27" s="448"/>
      <c r="B27" s="445" t="s">
        <v>435</v>
      </c>
      <c r="C27" s="446">
        <v>0</v>
      </c>
      <c r="D27" s="446"/>
      <c r="E27" s="446"/>
      <c r="F27" s="446">
        <v>0</v>
      </c>
      <c r="G27" s="447">
        <v>57.626620000000003</v>
      </c>
    </row>
    <row r="28" spans="1:7">
      <c r="A28" s="448"/>
      <c r="B28" s="445" t="s">
        <v>436</v>
      </c>
      <c r="C28" s="446">
        <v>26631.389224999999</v>
      </c>
      <c r="D28" s="446"/>
      <c r="E28" s="446"/>
      <c r="F28" s="446">
        <v>26631.389224999999</v>
      </c>
      <c r="G28" s="447">
        <v>90774.117077499992</v>
      </c>
    </row>
    <row r="29" spans="1:7">
      <c r="A29" s="448"/>
      <c r="B29" s="445" t="s">
        <v>437</v>
      </c>
      <c r="C29" s="446">
        <v>2237.4781200000002</v>
      </c>
      <c r="D29" s="446"/>
      <c r="E29" s="446"/>
      <c r="F29" s="446">
        <v>2237.4781200000002</v>
      </c>
      <c r="G29" s="447">
        <v>8961.8000400000001</v>
      </c>
    </row>
    <row r="30" spans="1:7">
      <c r="A30" s="448"/>
      <c r="B30" s="445" t="s">
        <v>438</v>
      </c>
      <c r="C30" s="446">
        <v>5327.7023849999996</v>
      </c>
      <c r="D30" s="446"/>
      <c r="E30" s="446"/>
      <c r="F30" s="446">
        <v>5327.7023849999996</v>
      </c>
      <c r="G30" s="447">
        <v>19734.996704999998</v>
      </c>
    </row>
    <row r="31" spans="1:7">
      <c r="A31" s="448"/>
      <c r="B31" s="445" t="s">
        <v>439</v>
      </c>
      <c r="C31" s="446">
        <v>4805.7374949999994</v>
      </c>
      <c r="D31" s="446"/>
      <c r="E31" s="446"/>
      <c r="F31" s="446">
        <v>4805.7374949999994</v>
      </c>
      <c r="G31" s="447">
        <v>11823.141505</v>
      </c>
    </row>
    <row r="32" spans="1:7">
      <c r="A32" s="448"/>
      <c r="B32" s="445" t="s">
        <v>440</v>
      </c>
      <c r="C32" s="446">
        <v>2098.9280225000002</v>
      </c>
      <c r="D32" s="446"/>
      <c r="E32" s="446"/>
      <c r="F32" s="446">
        <v>2098.9280225000002</v>
      </c>
      <c r="G32" s="447">
        <v>7828.3087000000005</v>
      </c>
    </row>
    <row r="33" spans="1:7">
      <c r="A33" s="448"/>
      <c r="B33" s="445" t="s">
        <v>441</v>
      </c>
      <c r="C33" s="446">
        <v>0</v>
      </c>
      <c r="D33" s="446"/>
      <c r="E33" s="446"/>
      <c r="F33" s="446">
        <v>0</v>
      </c>
      <c r="G33" s="447">
        <v>407.01378750000003</v>
      </c>
    </row>
    <row r="34" spans="1:7">
      <c r="A34" s="448"/>
      <c r="B34" s="445" t="s">
        <v>442</v>
      </c>
      <c r="C34" s="446">
        <v>0</v>
      </c>
      <c r="D34" s="446"/>
      <c r="E34" s="446"/>
      <c r="F34" s="446">
        <v>0</v>
      </c>
      <c r="G34" s="447">
        <v>285.90120999999999</v>
      </c>
    </row>
    <row r="35" spans="1:7">
      <c r="A35" s="448"/>
      <c r="B35" s="445" t="s">
        <v>443</v>
      </c>
      <c r="C35" s="446">
        <v>67171.494027499997</v>
      </c>
      <c r="D35" s="446"/>
      <c r="E35" s="446"/>
      <c r="F35" s="446">
        <v>67171.494027499997</v>
      </c>
      <c r="G35" s="447">
        <v>267965.33920749999</v>
      </c>
    </row>
    <row r="36" spans="1:7">
      <c r="A36" s="450" t="s">
        <v>444</v>
      </c>
      <c r="B36" s="451"/>
      <c r="C36" s="452">
        <v>256069.48810500005</v>
      </c>
      <c r="D36" s="452"/>
      <c r="E36" s="452"/>
      <c r="F36" s="452">
        <v>256069.48810500005</v>
      </c>
      <c r="G36" s="453">
        <v>989143.98181249993</v>
      </c>
    </row>
    <row r="37" spans="1:7">
      <c r="A37" s="448" t="s">
        <v>117</v>
      </c>
      <c r="B37" s="445" t="s">
        <v>269</v>
      </c>
      <c r="C37" s="446"/>
      <c r="D37" s="446"/>
      <c r="E37" s="446">
        <v>4057.7368074999999</v>
      </c>
      <c r="F37" s="446">
        <v>4057.7368074999999</v>
      </c>
      <c r="G37" s="447">
        <v>17923.479285000001</v>
      </c>
    </row>
    <row r="38" spans="1:7">
      <c r="A38" s="450" t="s">
        <v>445</v>
      </c>
      <c r="B38" s="451"/>
      <c r="C38" s="452"/>
      <c r="D38" s="452"/>
      <c r="E38" s="452">
        <v>4057.7368074999999</v>
      </c>
      <c r="F38" s="452">
        <v>4057.7368074999999</v>
      </c>
      <c r="G38" s="453">
        <v>17923.479285000001</v>
      </c>
    </row>
    <row r="39" spans="1:7">
      <c r="A39" s="448" t="s">
        <v>107</v>
      </c>
      <c r="B39" s="445" t="s">
        <v>576</v>
      </c>
      <c r="C39" s="446"/>
      <c r="D39" s="446">
        <v>124977.11946250001</v>
      </c>
      <c r="E39" s="446"/>
      <c r="F39" s="446">
        <v>124977.11946250001</v>
      </c>
      <c r="G39" s="447">
        <v>243002.565435</v>
      </c>
    </row>
    <row r="40" spans="1:7">
      <c r="A40" s="450" t="s">
        <v>446</v>
      </c>
      <c r="B40" s="451"/>
      <c r="C40" s="452"/>
      <c r="D40" s="452">
        <v>124977.11946250001</v>
      </c>
      <c r="E40" s="452"/>
      <c r="F40" s="452">
        <v>124977.11946250001</v>
      </c>
      <c r="G40" s="453">
        <v>243002.565435</v>
      </c>
    </row>
    <row r="41" spans="1:7">
      <c r="A41" s="448" t="s">
        <v>113</v>
      </c>
      <c r="B41" s="445" t="s">
        <v>447</v>
      </c>
      <c r="C41" s="446"/>
      <c r="D41" s="446">
        <v>3049.849115</v>
      </c>
      <c r="E41" s="446"/>
      <c r="F41" s="446">
        <v>3049.849115</v>
      </c>
      <c r="G41" s="447">
        <v>68648.61434</v>
      </c>
    </row>
    <row r="42" spans="1:7">
      <c r="A42" s="450" t="s">
        <v>448</v>
      </c>
      <c r="B42" s="451"/>
      <c r="C42" s="452"/>
      <c r="D42" s="452">
        <v>3049.849115</v>
      </c>
      <c r="E42" s="452"/>
      <c r="F42" s="452">
        <v>3049.849115</v>
      </c>
      <c r="G42" s="453">
        <v>68648.61434</v>
      </c>
    </row>
    <row r="43" spans="1:7">
      <c r="A43" s="448" t="s">
        <v>541</v>
      </c>
      <c r="B43" s="445" t="s">
        <v>723</v>
      </c>
      <c r="C43" s="446"/>
      <c r="D43" s="446"/>
      <c r="E43" s="446">
        <v>14084.475920000001</v>
      </c>
      <c r="F43" s="446">
        <v>14084.475920000001</v>
      </c>
      <c r="G43" s="447">
        <v>21535.94987</v>
      </c>
    </row>
    <row r="44" spans="1:7">
      <c r="A44" s="450" t="s">
        <v>543</v>
      </c>
      <c r="B44" s="451"/>
      <c r="C44" s="452"/>
      <c r="D44" s="452"/>
      <c r="E44" s="452">
        <v>14084.475920000001</v>
      </c>
      <c r="F44" s="452">
        <v>14084.475920000001</v>
      </c>
      <c r="G44" s="453">
        <v>21535.94987</v>
      </c>
    </row>
    <row r="45" spans="1:7" ht="13.5" customHeight="1">
      <c r="A45" s="840" t="s">
        <v>724</v>
      </c>
      <c r="B45" s="841" t="s">
        <v>400</v>
      </c>
      <c r="C45" s="842">
        <v>13948.280972500001</v>
      </c>
      <c r="D45" s="842"/>
      <c r="E45" s="842"/>
      <c r="F45" s="842">
        <v>13948.280972500001</v>
      </c>
      <c r="G45" s="843">
        <v>55143.688427500005</v>
      </c>
    </row>
    <row r="46" spans="1:7" ht="13.5" customHeight="1">
      <c r="A46" s="847" t="s">
        <v>589</v>
      </c>
      <c r="B46" s="844"/>
      <c r="C46" s="845">
        <v>13948.280972500001</v>
      </c>
      <c r="D46" s="845"/>
      <c r="E46" s="845"/>
      <c r="F46" s="845">
        <v>13948.280972500001</v>
      </c>
      <c r="G46" s="846">
        <v>55143.688427500005</v>
      </c>
    </row>
    <row r="48" spans="1:7">
      <c r="A48" s="459" t="s">
        <v>449</v>
      </c>
      <c r="B48" s="460"/>
      <c r="C48" s="461">
        <v>2884687.2625949997</v>
      </c>
      <c r="D48" s="461">
        <v>1010850.6702875</v>
      </c>
      <c r="E48" s="461">
        <v>312360.18456499994</v>
      </c>
      <c r="F48" s="461">
        <v>4207898.1174475001</v>
      </c>
      <c r="G48" s="461">
        <v>16698560.662032494</v>
      </c>
    </row>
    <row r="49" spans="1:7">
      <c r="A49" s="463" t="s">
        <v>450</v>
      </c>
      <c r="B49" s="464"/>
      <c r="C49" s="465"/>
      <c r="D49" s="465"/>
      <c r="E49" s="466"/>
      <c r="F49" s="462">
        <v>0</v>
      </c>
      <c r="G49" s="462">
        <v>2120.6869999999994</v>
      </c>
    </row>
    <row r="50" spans="1:7">
      <c r="A50" s="467" t="s">
        <v>451</v>
      </c>
      <c r="B50" s="468"/>
      <c r="C50" s="469"/>
      <c r="D50" s="469"/>
      <c r="E50" s="470"/>
      <c r="F50" s="462">
        <v>0</v>
      </c>
      <c r="G50" s="462">
        <v>0</v>
      </c>
    </row>
    <row r="52" spans="1:7" ht="25.5" customHeight="1">
      <c r="A52" s="966" t="s">
        <v>452</v>
      </c>
      <c r="B52" s="966"/>
      <c r="C52" s="966"/>
      <c r="D52" s="966"/>
      <c r="E52" s="966"/>
      <c r="F52" s="966"/>
      <c r="G52" s="966"/>
    </row>
    <row r="54" spans="1:7">
      <c r="A54" s="471" t="s">
        <v>453</v>
      </c>
      <c r="B54" s="471"/>
      <c r="C54" s="471"/>
      <c r="D54" s="471"/>
      <c r="E54" s="471"/>
      <c r="F54" s="471"/>
    </row>
    <row r="55" spans="1:7">
      <c r="A55" s="471" t="s">
        <v>544</v>
      </c>
      <c r="B55" s="471"/>
      <c r="C55" s="471"/>
      <c r="D55" s="471"/>
      <c r="E55" s="471"/>
      <c r="F55" s="471"/>
    </row>
    <row r="56" spans="1:7">
      <c r="A56" s="471" t="s">
        <v>575</v>
      </c>
    </row>
    <row r="57" spans="1:7">
      <c r="A57" s="471" t="s">
        <v>570</v>
      </c>
    </row>
    <row r="58" spans="1:7">
      <c r="A58" s="471" t="s">
        <v>573</v>
      </c>
    </row>
    <row r="59" spans="1:7">
      <c r="A59" s="471" t="s">
        <v>574</v>
      </c>
    </row>
    <row r="60" spans="1:7">
      <c r="A60" s="50" t="s">
        <v>588</v>
      </c>
    </row>
  </sheetData>
  <mergeCells count="6">
    <mergeCell ref="A52:G52"/>
    <mergeCell ref="A1:A4"/>
    <mergeCell ref="B1:B4"/>
    <mergeCell ref="C1:F1"/>
    <mergeCell ref="C2:E2"/>
    <mergeCell ref="F2:F3"/>
  </mergeCells>
  <pageMargins left="0.7" right="0.46474358974358976" top="0.86956521739130432" bottom="0.61458333333333337" header="0.3" footer="0.3"/>
  <pageSetup orientation="portrait" r:id="rId1"/>
  <headerFooter>
    <oddHeader>&amp;R&amp;7Informe de la Operación Mensual - Abril 2018
INFSGI-MES-04-2018
10/05/2018
Versión: 01</oddHeader>
    <oddFooter>&amp;L&amp;7COES SINAC, 2018
&amp;C20&amp;R&amp;7Dirección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9D01E-3BDA-4B07-BE02-840EF177556E}">
  <sheetPr>
    <tabColor theme="4"/>
  </sheetPr>
  <dimension ref="A1:M67"/>
  <sheetViews>
    <sheetView showGridLines="0" view="pageBreakPreview" zoomScale="130" zoomScaleNormal="100" zoomScaleSheetLayoutView="130" zoomScalePageLayoutView="160" workbookViewId="0">
      <selection activeCell="P17" sqref="P17"/>
    </sheetView>
  </sheetViews>
  <sheetFormatPr defaultRowHeight="9"/>
  <cols>
    <col min="1" max="1" width="28.6640625" style="471" customWidth="1"/>
    <col min="2" max="2" width="22.1640625" style="471" customWidth="1"/>
    <col min="3" max="4" width="17.6640625" style="471" customWidth="1"/>
    <col min="5" max="5" width="15.1640625" style="471" customWidth="1"/>
    <col min="6" max="6" width="13.33203125" style="471" customWidth="1"/>
    <col min="7" max="9" width="9.33203125" style="471"/>
    <col min="10" max="11" width="9.33203125" style="471" customWidth="1"/>
    <col min="12" max="13" width="9.33203125" style="471"/>
    <col min="14" max="16384" width="9.33203125" style="472"/>
  </cols>
  <sheetData>
    <row r="1" spans="1:12" ht="11.25" customHeight="1">
      <c r="A1" s="454" t="s">
        <v>467</v>
      </c>
    </row>
    <row r="2" spans="1:12" ht="11.25" customHeight="1">
      <c r="A2" s="967" t="s">
        <v>294</v>
      </c>
      <c r="B2" s="970" t="s">
        <v>57</v>
      </c>
      <c r="C2" s="970" t="s">
        <v>468</v>
      </c>
      <c r="D2" s="970"/>
      <c r="E2" s="970"/>
      <c r="F2" s="973"/>
      <c r="G2" s="473"/>
      <c r="H2" s="473"/>
      <c r="I2" s="473"/>
      <c r="J2" s="473"/>
      <c r="K2" s="473"/>
    </row>
    <row r="3" spans="1:12" ht="11.25" customHeight="1">
      <c r="A3" s="968"/>
      <c r="B3" s="971"/>
      <c r="C3" s="495" t="str">
        <f>UPPER('1. Resumen'!Q4)&amp;" "&amp;'1. Resumen'!Q5</f>
        <v>ABRIL 2018</v>
      </c>
      <c r="D3" s="496" t="str">
        <f>UPPER('1. Resumen'!Q4)&amp;" "&amp;'1. Resumen'!Q5-1</f>
        <v>ABRIL 2017</v>
      </c>
      <c r="E3" s="497">
        <v>2018</v>
      </c>
      <c r="F3" s="474" t="s">
        <v>466</v>
      </c>
      <c r="G3" s="475"/>
      <c r="H3" s="475"/>
      <c r="I3" s="475"/>
      <c r="J3" s="475"/>
      <c r="K3" s="475"/>
      <c r="L3" s="476"/>
    </row>
    <row r="4" spans="1:12" ht="11.25" customHeight="1">
      <c r="A4" s="968"/>
      <c r="B4" s="971"/>
      <c r="C4" s="498">
        <f>+'8. Max Potencia'!D8</f>
        <v>43214.78125</v>
      </c>
      <c r="D4" s="498">
        <f>+'8. Max Potencia'!E8</f>
        <v>42853.791666666664</v>
      </c>
      <c r="E4" s="498">
        <f>+'8. Max Potencia'!G8</f>
        <v>43214.78125</v>
      </c>
      <c r="F4" s="499" t="s">
        <v>454</v>
      </c>
      <c r="G4" s="477"/>
      <c r="H4" s="477"/>
      <c r="I4" s="478"/>
      <c r="J4" s="478"/>
      <c r="K4" s="478"/>
      <c r="L4" s="476"/>
    </row>
    <row r="5" spans="1:12" ht="11.25" customHeight="1">
      <c r="A5" s="969"/>
      <c r="B5" s="972"/>
      <c r="C5" s="500">
        <f>+'8. Max Potencia'!D9</f>
        <v>43214.78125</v>
      </c>
      <c r="D5" s="500">
        <f>+'8. Max Potencia'!E9</f>
        <v>42853.791666666664</v>
      </c>
      <c r="E5" s="500">
        <f>+'8. Max Potencia'!G9</f>
        <v>43214.78125</v>
      </c>
      <c r="F5" s="501" t="s">
        <v>455</v>
      </c>
      <c r="G5" s="477"/>
      <c r="H5" s="477"/>
      <c r="I5" s="477"/>
      <c r="J5" s="477"/>
      <c r="K5" s="477"/>
      <c r="L5" s="479"/>
    </row>
    <row r="6" spans="1:12" ht="11.25" customHeight="1">
      <c r="A6" s="449" t="s">
        <v>131</v>
      </c>
      <c r="B6" s="493" t="s">
        <v>93</v>
      </c>
      <c r="C6" s="494">
        <v>0</v>
      </c>
      <c r="D6" s="494">
        <v>0</v>
      </c>
      <c r="E6" s="494">
        <v>0</v>
      </c>
      <c r="F6" s="689" t="str">
        <f>+IF(D6=0,"",C6/D6-1)</f>
        <v/>
      </c>
      <c r="G6" s="477"/>
      <c r="H6" s="477"/>
      <c r="I6" s="477"/>
      <c r="J6" s="477"/>
      <c r="K6" s="477"/>
      <c r="L6" s="480"/>
    </row>
    <row r="7" spans="1:12" ht="11.25" customHeight="1">
      <c r="A7" s="450" t="s">
        <v>331</v>
      </c>
      <c r="B7" s="451"/>
      <c r="C7" s="488">
        <v>0</v>
      </c>
      <c r="D7" s="488">
        <v>0</v>
      </c>
      <c r="E7" s="488">
        <v>0</v>
      </c>
      <c r="F7" s="492" t="str">
        <f t="shared" ref="F7:F67" si="0">+IF(D7=0,"",C7/D7-1)</f>
        <v/>
      </c>
      <c r="G7" s="477"/>
      <c r="H7" s="477"/>
      <c r="I7" s="477"/>
      <c r="J7" s="477"/>
      <c r="K7" s="477"/>
      <c r="L7" s="390"/>
    </row>
    <row r="8" spans="1:12" ht="11.25" customHeight="1">
      <c r="A8" s="444" t="s">
        <v>130</v>
      </c>
      <c r="B8" s="489" t="s">
        <v>67</v>
      </c>
      <c r="C8" s="490">
        <v>19.946739999999998</v>
      </c>
      <c r="D8" s="490">
        <v>0</v>
      </c>
      <c r="E8" s="490">
        <v>19.946739999999998</v>
      </c>
      <c r="F8" s="491" t="str">
        <f t="shared" si="0"/>
        <v/>
      </c>
      <c r="G8" s="477"/>
      <c r="H8" s="477"/>
      <c r="I8" s="477"/>
      <c r="J8" s="477"/>
      <c r="K8" s="477"/>
      <c r="L8" s="481"/>
    </row>
    <row r="9" spans="1:12" ht="11.25" customHeight="1">
      <c r="A9" s="450" t="s">
        <v>332</v>
      </c>
      <c r="B9" s="451"/>
      <c r="C9" s="488">
        <v>19.946739999999998</v>
      </c>
      <c r="D9" s="488">
        <v>0</v>
      </c>
      <c r="E9" s="488">
        <v>19.946739999999998</v>
      </c>
      <c r="F9" s="492" t="str">
        <f t="shared" si="0"/>
        <v/>
      </c>
      <c r="G9" s="477"/>
      <c r="H9" s="477"/>
      <c r="I9" s="477"/>
      <c r="J9" s="477"/>
      <c r="K9" s="477"/>
      <c r="L9" s="390"/>
    </row>
    <row r="10" spans="1:12" ht="11.25" customHeight="1">
      <c r="A10" s="444" t="s">
        <v>114</v>
      </c>
      <c r="B10" s="489" t="s">
        <v>90</v>
      </c>
      <c r="C10" s="490">
        <v>14.774369999999999</v>
      </c>
      <c r="D10" s="490">
        <v>13.26709</v>
      </c>
      <c r="E10" s="490">
        <v>14.774369999999999</v>
      </c>
      <c r="F10" s="491">
        <f t="shared" si="0"/>
        <v>0.11361044509383733</v>
      </c>
      <c r="G10" s="477"/>
      <c r="H10" s="477"/>
      <c r="I10" s="477"/>
      <c r="J10" s="477"/>
      <c r="K10" s="477"/>
      <c r="L10" s="390"/>
    </row>
    <row r="11" spans="1:12" ht="11.25" customHeight="1">
      <c r="A11" s="450" t="s">
        <v>333</v>
      </c>
      <c r="B11" s="451"/>
      <c r="C11" s="488">
        <v>14.774369999999999</v>
      </c>
      <c r="D11" s="488">
        <v>13.26709</v>
      </c>
      <c r="E11" s="488">
        <v>14.774369999999999</v>
      </c>
      <c r="F11" s="492">
        <f t="shared" si="0"/>
        <v>0.11361044509383733</v>
      </c>
      <c r="G11" s="477"/>
      <c r="H11" s="477"/>
      <c r="I11" s="477"/>
      <c r="J11" s="477"/>
      <c r="K11" s="477"/>
      <c r="L11" s="390"/>
    </row>
    <row r="12" spans="1:12" ht="11.25" customHeight="1">
      <c r="A12" s="444" t="s">
        <v>133</v>
      </c>
      <c r="B12" s="489" t="s">
        <v>456</v>
      </c>
      <c r="C12" s="490"/>
      <c r="D12" s="490">
        <v>11.9505</v>
      </c>
      <c r="E12" s="490"/>
      <c r="F12" s="491">
        <f t="shared" si="0"/>
        <v>-1</v>
      </c>
      <c r="G12" s="477"/>
      <c r="H12" s="477"/>
      <c r="I12" s="477"/>
      <c r="J12" s="477"/>
      <c r="K12" s="477"/>
      <c r="L12" s="390"/>
    </row>
    <row r="13" spans="1:12" ht="11.25" customHeight="1">
      <c r="A13" s="450" t="s">
        <v>457</v>
      </c>
      <c r="B13" s="451"/>
      <c r="C13" s="488"/>
      <c r="D13" s="488">
        <v>11.9505</v>
      </c>
      <c r="E13" s="488"/>
      <c r="F13" s="492">
        <f t="shared" si="0"/>
        <v>-1</v>
      </c>
      <c r="G13" s="477"/>
      <c r="H13" s="477"/>
      <c r="I13" s="477"/>
      <c r="J13" s="477"/>
      <c r="K13" s="477"/>
      <c r="L13" s="481"/>
    </row>
    <row r="14" spans="1:12" ht="11.25" customHeight="1">
      <c r="A14" s="444" t="s">
        <v>101</v>
      </c>
      <c r="B14" s="489" t="s">
        <v>334</v>
      </c>
      <c r="C14" s="490">
        <v>211.36326</v>
      </c>
      <c r="D14" s="490">
        <v>186.74880999999999</v>
      </c>
      <c r="E14" s="490">
        <v>211.36326</v>
      </c>
      <c r="F14" s="491">
        <f t="shared" si="0"/>
        <v>0.13180512368459008</v>
      </c>
      <c r="G14" s="477"/>
      <c r="H14" s="477"/>
      <c r="I14" s="477"/>
      <c r="J14" s="477"/>
      <c r="K14" s="477"/>
      <c r="L14" s="390"/>
    </row>
    <row r="15" spans="1:12" ht="11.25" customHeight="1">
      <c r="A15" s="450" t="s">
        <v>335</v>
      </c>
      <c r="B15" s="451"/>
      <c r="C15" s="488">
        <v>211.36326</v>
      </c>
      <c r="D15" s="488">
        <v>186.74880999999999</v>
      </c>
      <c r="E15" s="488">
        <v>211.36326</v>
      </c>
      <c r="F15" s="492">
        <f t="shared" si="0"/>
        <v>0.13180512368459008</v>
      </c>
      <c r="G15" s="477"/>
      <c r="H15" s="477"/>
      <c r="I15" s="477"/>
      <c r="J15" s="477"/>
      <c r="K15" s="477"/>
      <c r="L15" s="390"/>
    </row>
    <row r="16" spans="1:12" ht="11.25" customHeight="1">
      <c r="A16" s="444" t="s">
        <v>134</v>
      </c>
      <c r="B16" s="489" t="s">
        <v>405</v>
      </c>
      <c r="C16" s="490"/>
      <c r="D16" s="490">
        <v>320.34893999999997</v>
      </c>
      <c r="E16" s="490"/>
      <c r="F16" s="491">
        <f t="shared" si="0"/>
        <v>-1</v>
      </c>
      <c r="G16" s="477"/>
      <c r="H16" s="477"/>
      <c r="I16" s="477"/>
      <c r="J16" s="477"/>
      <c r="K16" s="477"/>
      <c r="L16" s="390"/>
    </row>
    <row r="17" spans="1:12" ht="11.25" customHeight="1">
      <c r="A17" s="450" t="s">
        <v>458</v>
      </c>
      <c r="B17" s="451"/>
      <c r="C17" s="488"/>
      <c r="D17" s="488">
        <v>320.34893999999997</v>
      </c>
      <c r="E17" s="488"/>
      <c r="F17" s="492">
        <f t="shared" si="0"/>
        <v>-1</v>
      </c>
      <c r="G17" s="477"/>
      <c r="H17" s="477"/>
      <c r="I17" s="477"/>
      <c r="J17" s="477"/>
      <c r="K17" s="477"/>
      <c r="L17" s="390"/>
    </row>
    <row r="18" spans="1:12" ht="11.25" customHeight="1">
      <c r="A18" s="444" t="s">
        <v>275</v>
      </c>
      <c r="B18" s="489" t="s">
        <v>336</v>
      </c>
      <c r="C18" s="490">
        <v>0</v>
      </c>
      <c r="D18" s="490">
        <v>0</v>
      </c>
      <c r="E18" s="490">
        <v>0</v>
      </c>
      <c r="F18" s="491" t="str">
        <f t="shared" si="0"/>
        <v/>
      </c>
      <c r="G18" s="477"/>
      <c r="H18" s="477"/>
      <c r="I18" s="477"/>
      <c r="J18" s="477"/>
      <c r="K18" s="477"/>
      <c r="L18" s="390"/>
    </row>
    <row r="19" spans="1:12" ht="11.25" customHeight="1">
      <c r="A19" s="450" t="s">
        <v>337</v>
      </c>
      <c r="B19" s="451"/>
      <c r="C19" s="488">
        <v>0</v>
      </c>
      <c r="D19" s="488">
        <v>0</v>
      </c>
      <c r="E19" s="488">
        <v>0</v>
      </c>
      <c r="F19" s="492" t="str">
        <f t="shared" si="0"/>
        <v/>
      </c>
      <c r="G19" s="477"/>
      <c r="H19" s="477"/>
      <c r="I19" s="477"/>
      <c r="J19" s="477"/>
      <c r="K19" s="477"/>
      <c r="L19" s="390"/>
    </row>
    <row r="20" spans="1:12" ht="11.25" customHeight="1">
      <c r="A20" s="448" t="s">
        <v>100</v>
      </c>
      <c r="B20" s="489" t="s">
        <v>338</v>
      </c>
      <c r="C20" s="490">
        <v>150.04429999999999</v>
      </c>
      <c r="D20" s="490">
        <v>155.16583</v>
      </c>
      <c r="E20" s="490">
        <v>150.04429999999999</v>
      </c>
      <c r="F20" s="491">
        <f t="shared" si="0"/>
        <v>-3.3006815998084194E-2</v>
      </c>
      <c r="G20" s="477"/>
      <c r="H20" s="477"/>
      <c r="I20" s="477"/>
      <c r="J20" s="477"/>
      <c r="K20" s="477"/>
      <c r="L20" s="390"/>
    </row>
    <row r="21" spans="1:12" ht="11.25" customHeight="1">
      <c r="A21" s="444"/>
      <c r="B21" s="489" t="s">
        <v>339</v>
      </c>
      <c r="C21" s="490">
        <v>42.428910000000002</v>
      </c>
      <c r="D21" s="490">
        <v>42.520479999999999</v>
      </c>
      <c r="E21" s="490">
        <v>42.428910000000002</v>
      </c>
      <c r="F21" s="491">
        <f t="shared" si="0"/>
        <v>-2.1535504773229075E-3</v>
      </c>
      <c r="G21" s="477"/>
      <c r="H21" s="477"/>
      <c r="I21" s="477"/>
      <c r="J21" s="477"/>
      <c r="K21" s="477"/>
      <c r="L21" s="482"/>
    </row>
    <row r="22" spans="1:12" ht="11.25" customHeight="1">
      <c r="A22" s="450" t="s">
        <v>340</v>
      </c>
      <c r="B22" s="451"/>
      <c r="C22" s="488">
        <v>192.47320999999999</v>
      </c>
      <c r="D22" s="488">
        <v>197.68630999999999</v>
      </c>
      <c r="E22" s="488">
        <v>192.47320999999999</v>
      </c>
      <c r="F22" s="492">
        <f t="shared" si="0"/>
        <v>-2.6370566580963484E-2</v>
      </c>
      <c r="G22" s="477"/>
      <c r="H22" s="477"/>
      <c r="I22" s="477"/>
      <c r="J22" s="477"/>
      <c r="K22" s="477"/>
      <c r="L22" s="390"/>
    </row>
    <row r="23" spans="1:12" ht="11.25" customHeight="1">
      <c r="A23" s="444" t="s">
        <v>126</v>
      </c>
      <c r="B23" s="489" t="s">
        <v>92</v>
      </c>
      <c r="C23" s="490"/>
      <c r="D23" s="490">
        <v>0</v>
      </c>
      <c r="E23" s="490"/>
      <c r="F23" s="491" t="str">
        <f t="shared" si="0"/>
        <v/>
      </c>
      <c r="G23" s="477"/>
      <c r="H23" s="477"/>
      <c r="I23" s="477"/>
      <c r="J23" s="477"/>
      <c r="K23" s="477"/>
      <c r="L23" s="390"/>
    </row>
    <row r="24" spans="1:12" ht="11.25" customHeight="1">
      <c r="A24" s="450" t="s">
        <v>459</v>
      </c>
      <c r="B24" s="451"/>
      <c r="C24" s="488"/>
      <c r="D24" s="488">
        <v>0</v>
      </c>
      <c r="E24" s="488"/>
      <c r="F24" s="492" t="str">
        <f t="shared" si="0"/>
        <v/>
      </c>
      <c r="G24" s="477"/>
      <c r="H24" s="477"/>
      <c r="I24" s="477"/>
      <c r="J24" s="477"/>
      <c r="K24" s="477"/>
      <c r="L24" s="390"/>
    </row>
    <row r="25" spans="1:12" ht="11.25" customHeight="1">
      <c r="A25" s="448" t="s">
        <v>98</v>
      </c>
      <c r="B25" s="489" t="s">
        <v>341</v>
      </c>
      <c r="C25" s="490">
        <v>1.6834100000000001</v>
      </c>
      <c r="D25" s="490">
        <v>1.7034</v>
      </c>
      <c r="E25" s="490">
        <v>1.6834100000000001</v>
      </c>
      <c r="F25" s="491">
        <f t="shared" si="0"/>
        <v>-1.1735352823764256E-2</v>
      </c>
      <c r="G25" s="477"/>
      <c r="H25" s="477"/>
      <c r="I25" s="477"/>
      <c r="J25" s="477"/>
      <c r="K25" s="477"/>
      <c r="L25" s="482"/>
    </row>
    <row r="26" spans="1:12" ht="11.25" customHeight="1">
      <c r="A26" s="448"/>
      <c r="B26" s="489" t="s">
        <v>342</v>
      </c>
      <c r="C26" s="490">
        <v>0.57247000000000003</v>
      </c>
      <c r="D26" s="490">
        <v>0.56028</v>
      </c>
      <c r="E26" s="490">
        <v>0.57247000000000003</v>
      </c>
      <c r="F26" s="491">
        <f t="shared" si="0"/>
        <v>2.1756978653530545E-2</v>
      </c>
      <c r="G26" s="477"/>
      <c r="H26" s="477"/>
      <c r="I26" s="477"/>
      <c r="J26" s="477"/>
      <c r="K26" s="477"/>
      <c r="L26" s="390"/>
    </row>
    <row r="27" spans="1:12" ht="11.25" customHeight="1">
      <c r="A27" s="448"/>
      <c r="B27" s="489" t="s">
        <v>343</v>
      </c>
      <c r="C27" s="490">
        <v>4.5586400000000005</v>
      </c>
      <c r="D27" s="490">
        <v>4.5111400000000001</v>
      </c>
      <c r="E27" s="490">
        <v>4.5586400000000005</v>
      </c>
      <c r="F27" s="491">
        <f t="shared" si="0"/>
        <v>1.0529489220019839E-2</v>
      </c>
      <c r="G27" s="477"/>
      <c r="H27" s="477"/>
      <c r="I27" s="477"/>
      <c r="J27" s="477"/>
      <c r="K27" s="477"/>
      <c r="L27" s="390"/>
    </row>
    <row r="28" spans="1:12" ht="11.25" customHeight="1">
      <c r="A28" s="448"/>
      <c r="B28" s="489" t="s">
        <v>344</v>
      </c>
      <c r="C28" s="490">
        <v>14.91696</v>
      </c>
      <c r="D28" s="490">
        <v>14.532360000000001</v>
      </c>
      <c r="E28" s="490">
        <v>14.91696</v>
      </c>
      <c r="F28" s="491">
        <f t="shared" si="0"/>
        <v>2.6465075183934372E-2</v>
      </c>
      <c r="G28" s="477"/>
      <c r="H28" s="477"/>
      <c r="I28" s="477"/>
      <c r="J28" s="477"/>
      <c r="K28" s="477"/>
      <c r="L28" s="390"/>
    </row>
    <row r="29" spans="1:12" ht="11.25" customHeight="1">
      <c r="A29" s="448"/>
      <c r="B29" s="489" t="s">
        <v>345</v>
      </c>
      <c r="C29" s="490">
        <v>100.06004999999999</v>
      </c>
      <c r="D29" s="490">
        <v>121.67652</v>
      </c>
      <c r="E29" s="490">
        <v>100.06004999999999</v>
      </c>
      <c r="F29" s="491">
        <f t="shared" si="0"/>
        <v>-0.17765522879845685</v>
      </c>
      <c r="G29" s="477"/>
      <c r="H29" s="477"/>
      <c r="I29" s="477"/>
      <c r="J29" s="477"/>
      <c r="K29" s="477"/>
      <c r="L29" s="390"/>
    </row>
    <row r="30" spans="1:12" ht="11.25" customHeight="1">
      <c r="A30" s="448"/>
      <c r="B30" s="489" t="s">
        <v>346</v>
      </c>
      <c r="C30" s="490">
        <v>8.8026300000000006</v>
      </c>
      <c r="D30" s="490">
        <v>8.2366499999999991</v>
      </c>
      <c r="E30" s="490">
        <v>8.8026300000000006</v>
      </c>
      <c r="F30" s="491">
        <f t="shared" si="0"/>
        <v>6.8714829451294035E-2</v>
      </c>
      <c r="G30" s="477"/>
      <c r="H30" s="477"/>
      <c r="I30" s="477"/>
      <c r="J30" s="477"/>
      <c r="K30" s="477"/>
      <c r="L30" s="390"/>
    </row>
    <row r="31" spans="1:12" ht="11.25" customHeight="1">
      <c r="A31" s="448"/>
      <c r="B31" s="489" t="s">
        <v>347</v>
      </c>
      <c r="C31" s="490">
        <v>0</v>
      </c>
      <c r="D31" s="490">
        <v>0</v>
      </c>
      <c r="E31" s="490">
        <v>0</v>
      </c>
      <c r="F31" s="491" t="str">
        <f t="shared" si="0"/>
        <v/>
      </c>
      <c r="G31" s="477"/>
      <c r="H31" s="477"/>
      <c r="I31" s="477"/>
      <c r="J31" s="477"/>
      <c r="K31" s="483"/>
      <c r="L31" s="390"/>
    </row>
    <row r="32" spans="1:12" ht="11.25" customHeight="1">
      <c r="A32" s="448"/>
      <c r="B32" s="489" t="s">
        <v>348</v>
      </c>
      <c r="C32" s="490">
        <v>0</v>
      </c>
      <c r="D32" s="490">
        <v>0</v>
      </c>
      <c r="E32" s="490">
        <v>0</v>
      </c>
      <c r="F32" s="491" t="str">
        <f t="shared" si="0"/>
        <v/>
      </c>
      <c r="G32" s="477"/>
      <c r="H32" s="477"/>
      <c r="I32" s="477"/>
      <c r="J32" s="477"/>
      <c r="K32" s="483"/>
      <c r="L32" s="390"/>
    </row>
    <row r="33" spans="1:12" ht="11.25" customHeight="1">
      <c r="A33" s="444"/>
      <c r="B33" s="489" t="s">
        <v>349</v>
      </c>
      <c r="C33" s="490">
        <v>13.699870000000001</v>
      </c>
      <c r="D33" s="490">
        <v>70.35338999999999</v>
      </c>
      <c r="E33" s="490">
        <v>13.699870000000001</v>
      </c>
      <c r="F33" s="491">
        <f t="shared" si="0"/>
        <v>-0.80527064864962439</v>
      </c>
      <c r="G33" s="477"/>
      <c r="H33" s="477"/>
      <c r="I33" s="477"/>
      <c r="J33" s="477"/>
      <c r="K33" s="483"/>
      <c r="L33" s="390"/>
    </row>
    <row r="34" spans="1:12" ht="11.25" customHeight="1">
      <c r="A34" s="450" t="s">
        <v>350</v>
      </c>
      <c r="B34" s="451"/>
      <c r="C34" s="488">
        <v>144.29402999999999</v>
      </c>
      <c r="D34" s="488">
        <v>221.57373999999999</v>
      </c>
      <c r="E34" s="488">
        <v>144.29402999999999</v>
      </c>
      <c r="F34" s="492">
        <f t="shared" si="0"/>
        <v>-0.34877648407252593</v>
      </c>
      <c r="G34" s="477"/>
      <c r="H34" s="477"/>
      <c r="I34" s="477"/>
      <c r="J34" s="477"/>
      <c r="K34" s="483"/>
      <c r="L34" s="390"/>
    </row>
    <row r="35" spans="1:12" ht="11.25" customHeight="1">
      <c r="A35" s="444" t="s">
        <v>122</v>
      </c>
      <c r="B35" s="489" t="s">
        <v>74</v>
      </c>
      <c r="C35" s="490">
        <v>4.55</v>
      </c>
      <c r="D35" s="490">
        <v>2.52</v>
      </c>
      <c r="E35" s="490">
        <v>4.55</v>
      </c>
      <c r="F35" s="491">
        <f t="shared" si="0"/>
        <v>0.80555555555555558</v>
      </c>
      <c r="G35" s="477"/>
      <c r="H35" s="477"/>
      <c r="I35" s="477"/>
      <c r="J35" s="477"/>
      <c r="K35" s="483"/>
      <c r="L35" s="390"/>
    </row>
    <row r="36" spans="1:12" ht="11.25" customHeight="1">
      <c r="A36" s="450" t="s">
        <v>351</v>
      </c>
      <c r="B36" s="451"/>
      <c r="C36" s="488">
        <v>4.55</v>
      </c>
      <c r="D36" s="488">
        <v>2.52</v>
      </c>
      <c r="E36" s="488">
        <v>4.55</v>
      </c>
      <c r="F36" s="492">
        <f t="shared" si="0"/>
        <v>0.80555555555555558</v>
      </c>
      <c r="G36" s="477"/>
      <c r="H36" s="477"/>
      <c r="I36" s="477"/>
      <c r="J36" s="477"/>
      <c r="K36" s="483"/>
      <c r="L36" s="390"/>
    </row>
    <row r="37" spans="1:12" ht="11.25" customHeight="1">
      <c r="A37" s="444" t="s">
        <v>99</v>
      </c>
      <c r="B37" s="489" t="s">
        <v>352</v>
      </c>
      <c r="C37" s="490">
        <v>163.94774999999998</v>
      </c>
      <c r="D37" s="490">
        <v>167.18489</v>
      </c>
      <c r="E37" s="490">
        <v>163.94774999999998</v>
      </c>
      <c r="F37" s="491">
        <f t="shared" si="0"/>
        <v>-1.9362634984537275E-2</v>
      </c>
      <c r="G37" s="477"/>
      <c r="H37" s="477"/>
      <c r="I37" s="477"/>
      <c r="J37" s="477"/>
      <c r="K37" s="483"/>
      <c r="L37" s="390"/>
    </row>
    <row r="38" spans="1:12" ht="11.25" customHeight="1">
      <c r="A38" s="450" t="s">
        <v>353</v>
      </c>
      <c r="B38" s="451"/>
      <c r="C38" s="488">
        <v>163.94774999999998</v>
      </c>
      <c r="D38" s="488">
        <v>167.18489</v>
      </c>
      <c r="E38" s="488">
        <v>163.94774999999998</v>
      </c>
      <c r="F38" s="492">
        <f t="shared" si="0"/>
        <v>-1.9362634984537275E-2</v>
      </c>
      <c r="G38" s="477"/>
      <c r="H38" s="477"/>
      <c r="I38" s="477"/>
      <c r="J38" s="477"/>
      <c r="K38" s="483"/>
      <c r="L38" s="484"/>
    </row>
    <row r="39" spans="1:12" ht="11.25" customHeight="1">
      <c r="A39" s="448" t="s">
        <v>108</v>
      </c>
      <c r="B39" s="489" t="s">
        <v>354</v>
      </c>
      <c r="C39" s="490">
        <v>15.852</v>
      </c>
      <c r="D39" s="490">
        <v>17.364000000000001</v>
      </c>
      <c r="E39" s="490">
        <v>15.852</v>
      </c>
      <c r="F39" s="491">
        <f t="shared" si="0"/>
        <v>-8.7076710435383564E-2</v>
      </c>
      <c r="G39" s="477"/>
      <c r="H39" s="477"/>
      <c r="I39" s="477"/>
      <c r="J39" s="477"/>
      <c r="K39" s="483"/>
      <c r="L39" s="390"/>
    </row>
    <row r="40" spans="1:12" ht="11.25" customHeight="1">
      <c r="A40" s="448"/>
      <c r="B40" s="489" t="s">
        <v>355</v>
      </c>
      <c r="C40" s="490">
        <v>9.5280000000000005</v>
      </c>
      <c r="D40" s="490">
        <v>10.295999999999999</v>
      </c>
      <c r="E40" s="490">
        <v>9.5280000000000005</v>
      </c>
      <c r="F40" s="491">
        <f t="shared" si="0"/>
        <v>-7.4592074592074509E-2</v>
      </c>
      <c r="G40" s="477"/>
      <c r="H40" s="477"/>
      <c r="I40" s="477"/>
      <c r="J40" s="477"/>
      <c r="K40" s="483"/>
      <c r="L40" s="390"/>
    </row>
    <row r="41" spans="1:12" ht="11.25" customHeight="1">
      <c r="A41" s="444"/>
      <c r="B41" s="489" t="s">
        <v>356</v>
      </c>
      <c r="C41" s="490">
        <v>21.15654</v>
      </c>
      <c r="D41" s="490">
        <v>16.059270000000001</v>
      </c>
      <c r="E41" s="490">
        <v>21.15654</v>
      </c>
      <c r="F41" s="491">
        <f t="shared" si="0"/>
        <v>0.31740359306493993</v>
      </c>
      <c r="G41" s="477"/>
      <c r="H41" s="477"/>
      <c r="I41" s="477"/>
      <c r="J41" s="477"/>
      <c r="K41" s="483"/>
      <c r="L41" s="390"/>
    </row>
    <row r="42" spans="1:12" ht="11.25" customHeight="1">
      <c r="A42" s="450" t="s">
        <v>357</v>
      </c>
      <c r="B42" s="451"/>
      <c r="C42" s="488">
        <v>46.536540000000002</v>
      </c>
      <c r="D42" s="488">
        <v>43.719270000000002</v>
      </c>
      <c r="E42" s="488">
        <v>46.536540000000002</v>
      </c>
      <c r="F42" s="492">
        <f t="shared" si="0"/>
        <v>6.4440005517018006E-2</v>
      </c>
      <c r="G42" s="477"/>
      <c r="H42" s="477"/>
      <c r="I42" s="477"/>
      <c r="J42" s="477"/>
      <c r="K42" s="483"/>
      <c r="L42" s="390"/>
    </row>
    <row r="43" spans="1:12" ht="11.25" customHeight="1">
      <c r="A43" s="444" t="s">
        <v>128</v>
      </c>
      <c r="B43" s="489" t="s">
        <v>79</v>
      </c>
      <c r="C43" s="490">
        <v>0</v>
      </c>
      <c r="D43" s="490">
        <v>0</v>
      </c>
      <c r="E43" s="490">
        <v>0</v>
      </c>
      <c r="F43" s="491" t="str">
        <f t="shared" si="0"/>
        <v/>
      </c>
      <c r="G43" s="477"/>
      <c r="H43" s="477"/>
      <c r="I43" s="477"/>
      <c r="J43" s="477"/>
      <c r="K43" s="483"/>
      <c r="L43" s="390"/>
    </row>
    <row r="44" spans="1:12" ht="11.25" customHeight="1">
      <c r="A44" s="450" t="s">
        <v>358</v>
      </c>
      <c r="B44" s="451"/>
      <c r="C44" s="488">
        <v>0</v>
      </c>
      <c r="D44" s="488">
        <v>0</v>
      </c>
      <c r="E44" s="488">
        <v>0</v>
      </c>
      <c r="F44" s="492" t="str">
        <f t="shared" si="0"/>
        <v/>
      </c>
      <c r="G44" s="477"/>
      <c r="H44" s="477"/>
      <c r="I44" s="477"/>
      <c r="J44" s="477"/>
      <c r="K44" s="483"/>
      <c r="L44" s="390"/>
    </row>
    <row r="45" spans="1:12" ht="11.25" customHeight="1">
      <c r="A45" s="444" t="s">
        <v>123</v>
      </c>
      <c r="B45" s="489" t="s">
        <v>77</v>
      </c>
      <c r="C45" s="490">
        <v>3.6137600000000001</v>
      </c>
      <c r="D45" s="490">
        <v>0</v>
      </c>
      <c r="E45" s="490">
        <v>3.6137600000000001</v>
      </c>
      <c r="F45" s="491" t="str">
        <f t="shared" si="0"/>
        <v/>
      </c>
      <c r="G45" s="477"/>
      <c r="H45" s="477"/>
      <c r="I45" s="477"/>
      <c r="J45" s="477"/>
      <c r="K45" s="483"/>
      <c r="L45" s="485"/>
    </row>
    <row r="46" spans="1:12" ht="11.25" customHeight="1">
      <c r="A46" s="450" t="s">
        <v>359</v>
      </c>
      <c r="B46" s="451"/>
      <c r="C46" s="488">
        <v>3.6137600000000001</v>
      </c>
      <c r="D46" s="488">
        <v>0</v>
      </c>
      <c r="E46" s="488">
        <v>3.6137600000000001</v>
      </c>
      <c r="F46" s="492" t="str">
        <f t="shared" si="0"/>
        <v/>
      </c>
      <c r="G46" s="477"/>
      <c r="H46" s="477"/>
      <c r="I46" s="477"/>
      <c r="J46" s="477"/>
      <c r="K46" s="483"/>
    </row>
    <row r="47" spans="1:12" ht="11.25" customHeight="1">
      <c r="A47" s="448" t="s">
        <v>96</v>
      </c>
      <c r="B47" s="489" t="s">
        <v>360</v>
      </c>
      <c r="C47" s="490">
        <v>638.88479999999993</v>
      </c>
      <c r="D47" s="490">
        <v>615.48</v>
      </c>
      <c r="E47" s="490">
        <v>638.88479999999993</v>
      </c>
      <c r="F47" s="491">
        <f t="shared" si="0"/>
        <v>3.8026905829596336E-2</v>
      </c>
      <c r="G47" s="477"/>
      <c r="H47" s="477"/>
      <c r="I47" s="477"/>
      <c r="J47" s="477"/>
      <c r="K47" s="483"/>
    </row>
    <row r="48" spans="1:12" ht="11.25" customHeight="1">
      <c r="A48" s="448"/>
      <c r="B48" s="489" t="s">
        <v>361</v>
      </c>
      <c r="C48" s="490">
        <v>209.58335999999997</v>
      </c>
      <c r="D48" s="490">
        <v>201.23712</v>
      </c>
      <c r="E48" s="490">
        <v>209.58335999999997</v>
      </c>
      <c r="F48" s="491">
        <f t="shared" si="0"/>
        <v>4.1474654377880116E-2</v>
      </c>
      <c r="G48" s="477"/>
      <c r="H48" s="477"/>
      <c r="I48" s="477"/>
      <c r="J48" s="477"/>
      <c r="K48" s="483"/>
    </row>
    <row r="49" spans="1:11" ht="11.25" customHeight="1">
      <c r="A49" s="444"/>
      <c r="B49" s="489" t="s">
        <v>362</v>
      </c>
      <c r="C49" s="490">
        <v>0</v>
      </c>
      <c r="D49" s="490">
        <v>0</v>
      </c>
      <c r="E49" s="490">
        <v>0</v>
      </c>
      <c r="F49" s="491" t="str">
        <f t="shared" si="0"/>
        <v/>
      </c>
      <c r="G49" s="477"/>
      <c r="H49" s="477"/>
      <c r="I49" s="477"/>
      <c r="J49" s="477"/>
      <c r="K49" s="483"/>
    </row>
    <row r="50" spans="1:11" ht="11.25" customHeight="1">
      <c r="A50" s="450" t="s">
        <v>363</v>
      </c>
      <c r="B50" s="451"/>
      <c r="C50" s="488">
        <v>848.4681599999999</v>
      </c>
      <c r="D50" s="488">
        <v>816.71712000000002</v>
      </c>
      <c r="E50" s="488">
        <v>848.4681599999999</v>
      </c>
      <c r="F50" s="492">
        <f t="shared" si="0"/>
        <v>3.8876422720268033E-2</v>
      </c>
      <c r="G50" s="477"/>
      <c r="H50" s="477"/>
      <c r="I50" s="477"/>
      <c r="J50" s="477"/>
      <c r="K50" s="483"/>
    </row>
    <row r="51" spans="1:11" ht="11.25" customHeight="1">
      <c r="A51" s="448" t="s">
        <v>276</v>
      </c>
      <c r="B51" s="489" t="s">
        <v>364</v>
      </c>
      <c r="C51" s="490">
        <v>456.18412000000001</v>
      </c>
      <c r="D51" s="490">
        <v>446.48066</v>
      </c>
      <c r="E51" s="490">
        <v>456.18412000000001</v>
      </c>
      <c r="F51" s="491">
        <f t="shared" si="0"/>
        <v>2.1733214603293138E-2</v>
      </c>
      <c r="G51" s="477"/>
      <c r="H51" s="477"/>
      <c r="I51" s="477"/>
      <c r="J51" s="477"/>
      <c r="K51" s="483"/>
    </row>
    <row r="52" spans="1:11" ht="11.25" customHeight="1">
      <c r="A52" s="444"/>
      <c r="B52" s="489" t="s">
        <v>365</v>
      </c>
      <c r="C52" s="490">
        <v>6.32768</v>
      </c>
      <c r="D52" s="490">
        <v>6.40489</v>
      </c>
      <c r="E52" s="490">
        <v>6.32768</v>
      </c>
      <c r="F52" s="491">
        <f t="shared" si="0"/>
        <v>-1.2054851839766179E-2</v>
      </c>
      <c r="G52" s="477"/>
      <c r="H52" s="477"/>
      <c r="I52" s="477"/>
      <c r="J52" s="477"/>
      <c r="K52" s="483"/>
    </row>
    <row r="53" spans="1:11" ht="11.25" customHeight="1">
      <c r="A53" s="450" t="s">
        <v>366</v>
      </c>
      <c r="B53" s="451"/>
      <c r="C53" s="488">
        <v>462.51179999999999</v>
      </c>
      <c r="D53" s="488">
        <v>452.88555000000002</v>
      </c>
      <c r="E53" s="488">
        <v>462.51179999999999</v>
      </c>
      <c r="F53" s="492">
        <f t="shared" si="0"/>
        <v>2.1255370148153263E-2</v>
      </c>
      <c r="G53" s="477"/>
      <c r="H53" s="477"/>
      <c r="I53" s="477"/>
      <c r="J53" s="477"/>
      <c r="K53" s="483"/>
    </row>
    <row r="54" spans="1:11" ht="11.25" customHeight="1">
      <c r="A54" s="444" t="s">
        <v>277</v>
      </c>
      <c r="B54" s="489" t="s">
        <v>367</v>
      </c>
      <c r="C54" s="490">
        <v>71.243490000000008</v>
      </c>
      <c r="D54" s="490">
        <v>61.216259999999991</v>
      </c>
      <c r="E54" s="490">
        <v>71.243490000000008</v>
      </c>
      <c r="F54" s="491">
        <f t="shared" si="0"/>
        <v>0.16380010801051914</v>
      </c>
      <c r="G54" s="477"/>
      <c r="H54" s="477"/>
      <c r="I54" s="477"/>
      <c r="J54" s="477"/>
      <c r="K54" s="483"/>
    </row>
    <row r="55" spans="1:11" ht="11.25" customHeight="1">
      <c r="A55" s="450" t="s">
        <v>368</v>
      </c>
      <c r="B55" s="451"/>
      <c r="C55" s="488">
        <v>71.243490000000008</v>
      </c>
      <c r="D55" s="488">
        <v>61.216259999999991</v>
      </c>
      <c r="E55" s="488">
        <v>71.243490000000008</v>
      </c>
      <c r="F55" s="492">
        <f t="shared" si="0"/>
        <v>0.16380010801051914</v>
      </c>
      <c r="G55" s="486"/>
      <c r="H55" s="486"/>
      <c r="I55" s="486"/>
      <c r="J55" s="486"/>
      <c r="K55" s="483"/>
    </row>
    <row r="56" spans="1:11" ht="11.25" customHeight="1">
      <c r="A56" s="448" t="s">
        <v>278</v>
      </c>
      <c r="B56" s="489" t="s">
        <v>64</v>
      </c>
      <c r="C56" s="490">
        <v>17.115880000000001</v>
      </c>
      <c r="D56" s="490">
        <v>17.24052</v>
      </c>
      <c r="E56" s="490">
        <v>17.115880000000001</v>
      </c>
      <c r="F56" s="491">
        <f t="shared" si="0"/>
        <v>-7.2294803172989752E-3</v>
      </c>
      <c r="G56" s="486"/>
      <c r="H56" s="486"/>
      <c r="I56" s="486"/>
      <c r="J56" s="486"/>
      <c r="K56" s="483"/>
    </row>
    <row r="57" spans="1:11" ht="11.25" customHeight="1">
      <c r="A57" s="444"/>
      <c r="B57" s="489" t="s">
        <v>61</v>
      </c>
      <c r="C57" s="490">
        <v>20.103280000000002</v>
      </c>
      <c r="D57" s="490">
        <v>20.098600000000001</v>
      </c>
      <c r="E57" s="490">
        <v>20.103280000000002</v>
      </c>
      <c r="F57" s="491">
        <f t="shared" si="0"/>
        <v>2.3285203944545252E-4</v>
      </c>
      <c r="G57" s="486"/>
      <c r="H57" s="486"/>
      <c r="I57" s="486"/>
      <c r="J57" s="486"/>
      <c r="K57" s="483"/>
    </row>
    <row r="58" spans="1:11" ht="11.25" customHeight="1">
      <c r="A58" s="450" t="s">
        <v>369</v>
      </c>
      <c r="B58" s="451"/>
      <c r="C58" s="488">
        <v>37.219160000000002</v>
      </c>
      <c r="D58" s="488">
        <v>37.339120000000001</v>
      </c>
      <c r="E58" s="488">
        <v>37.219160000000002</v>
      </c>
      <c r="F58" s="492">
        <f t="shared" si="0"/>
        <v>-3.2127163146854487E-3</v>
      </c>
      <c r="G58" s="486"/>
      <c r="H58" s="486"/>
      <c r="I58" s="486"/>
      <c r="J58" s="486"/>
      <c r="K58" s="483"/>
    </row>
    <row r="59" spans="1:11" ht="11.25" customHeight="1">
      <c r="A59" s="448" t="s">
        <v>95</v>
      </c>
      <c r="B59" s="489" t="s">
        <v>460</v>
      </c>
      <c r="C59" s="490"/>
      <c r="D59" s="490">
        <v>0</v>
      </c>
      <c r="E59" s="490"/>
      <c r="F59" s="491" t="str">
        <f t="shared" si="0"/>
        <v/>
      </c>
      <c r="G59" s="486"/>
      <c r="H59" s="486"/>
      <c r="I59" s="486"/>
      <c r="J59" s="486"/>
      <c r="K59" s="483"/>
    </row>
    <row r="60" spans="1:11" ht="11.25" customHeight="1">
      <c r="A60" s="448"/>
      <c r="B60" s="489" t="s">
        <v>370</v>
      </c>
      <c r="C60" s="490">
        <v>30.46866</v>
      </c>
      <c r="D60" s="490">
        <v>20.739359999999998</v>
      </c>
      <c r="E60" s="490">
        <v>30.46866</v>
      </c>
      <c r="F60" s="491">
        <f t="shared" si="0"/>
        <v>0.46912248015367886</v>
      </c>
      <c r="G60" s="477"/>
      <c r="H60" s="477"/>
      <c r="I60" s="477"/>
      <c r="J60" s="477"/>
      <c r="K60" s="483"/>
    </row>
    <row r="61" spans="1:11" ht="11.25" customHeight="1">
      <c r="A61" s="448"/>
      <c r="B61" s="489" t="s">
        <v>371</v>
      </c>
      <c r="C61" s="490">
        <v>197.28959999999998</v>
      </c>
      <c r="D61" s="490">
        <v>149.27870000000001</v>
      </c>
      <c r="E61" s="490">
        <v>197.28959999999998</v>
      </c>
      <c r="F61" s="491">
        <f t="shared" si="0"/>
        <v>0.32161922631962869</v>
      </c>
      <c r="G61" s="477"/>
      <c r="H61" s="477"/>
      <c r="I61" s="477"/>
      <c r="J61" s="477"/>
      <c r="K61" s="483"/>
    </row>
    <row r="62" spans="1:11" ht="11.25" customHeight="1">
      <c r="A62" s="448"/>
      <c r="B62" s="489" t="s">
        <v>372</v>
      </c>
      <c r="C62" s="490">
        <v>129.73957999999999</v>
      </c>
      <c r="D62" s="490">
        <v>133.88330999999999</v>
      </c>
      <c r="E62" s="490">
        <v>129.73957999999999</v>
      </c>
      <c r="F62" s="491">
        <f t="shared" si="0"/>
        <v>-3.0950310385962299E-2</v>
      </c>
      <c r="G62" s="477"/>
      <c r="H62" s="477"/>
      <c r="I62" s="477"/>
      <c r="J62" s="477"/>
      <c r="K62" s="483"/>
    </row>
    <row r="63" spans="1:11" ht="11.25" customHeight="1">
      <c r="A63" s="448"/>
      <c r="B63" s="489" t="s">
        <v>373</v>
      </c>
      <c r="C63" s="490">
        <v>65.240179999999995</v>
      </c>
      <c r="D63" s="490">
        <v>0</v>
      </c>
      <c r="E63" s="490">
        <v>65.240179999999995</v>
      </c>
      <c r="F63" s="491" t="str">
        <f t="shared" si="0"/>
        <v/>
      </c>
      <c r="G63" s="487"/>
      <c r="H63" s="477"/>
      <c r="I63" s="477"/>
      <c r="J63" s="477"/>
      <c r="K63" s="483"/>
    </row>
    <row r="64" spans="1:11" ht="11.25" customHeight="1">
      <c r="A64" s="448"/>
      <c r="B64" s="489" t="s">
        <v>374</v>
      </c>
      <c r="C64" s="490">
        <v>0</v>
      </c>
      <c r="D64" s="490">
        <v>0</v>
      </c>
      <c r="E64" s="490">
        <v>0</v>
      </c>
      <c r="F64" s="491" t="str">
        <f t="shared" si="0"/>
        <v/>
      </c>
      <c r="G64" s="487"/>
      <c r="H64" s="477"/>
      <c r="I64" s="477"/>
      <c r="J64" s="477"/>
      <c r="K64" s="477"/>
    </row>
    <row r="65" spans="1:11" ht="11.25" customHeight="1">
      <c r="A65" s="448"/>
      <c r="B65" s="489" t="s">
        <v>375</v>
      </c>
      <c r="C65" s="490">
        <v>173.95402000000001</v>
      </c>
      <c r="D65" s="490">
        <v>0</v>
      </c>
      <c r="E65" s="490">
        <v>173.95402000000001</v>
      </c>
      <c r="F65" s="491" t="str">
        <f t="shared" si="0"/>
        <v/>
      </c>
      <c r="G65" s="487"/>
      <c r="H65" s="477"/>
      <c r="I65" s="477"/>
      <c r="J65" s="477"/>
      <c r="K65" s="477"/>
    </row>
    <row r="66" spans="1:11" ht="11.25" customHeight="1">
      <c r="A66" s="444"/>
      <c r="B66" s="489" t="s">
        <v>376</v>
      </c>
      <c r="C66" s="490">
        <v>284.87977000000001</v>
      </c>
      <c r="D66" s="490">
        <v>296.56216000000001</v>
      </c>
      <c r="E66" s="490">
        <v>284.87977000000001</v>
      </c>
      <c r="F66" s="491">
        <f t="shared" si="0"/>
        <v>-3.9392719556669009E-2</v>
      </c>
    </row>
    <row r="67" spans="1:11" ht="11.25" customHeight="1">
      <c r="A67" s="450" t="s">
        <v>377</v>
      </c>
      <c r="B67" s="451"/>
      <c r="C67" s="488">
        <v>881.57181000000003</v>
      </c>
      <c r="D67" s="488">
        <v>600.46352999999999</v>
      </c>
      <c r="E67" s="488">
        <v>881.57181000000003</v>
      </c>
      <c r="F67" s="492">
        <f t="shared" si="0"/>
        <v>0.46815212907268489</v>
      </c>
    </row>
  </sheetData>
  <mergeCells count="3">
    <mergeCell ref="A2:A5"/>
    <mergeCell ref="B2:B5"/>
    <mergeCell ref="C2:F2"/>
  </mergeCells>
  <pageMargins left="0.7" right="0.7" top="0.86956521739130432" bottom="0.61458333333333337" header="0.3" footer="0.3"/>
  <pageSetup orientation="portrait" r:id="rId1"/>
  <headerFooter>
    <oddHeader>&amp;R&amp;7Informe de la Operación Mensual - Abril 2018
INFSGI-MES-04-2018
10/05/2018
Versión: 01</oddHeader>
    <oddFooter>&amp;L&amp;7COES SINAC, 2018
&amp;C21&amp;R&amp;7Dirección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5FDCF-538A-4FFD-97F3-49058BD97855}">
  <sheetPr>
    <tabColor theme="4"/>
  </sheetPr>
  <dimension ref="A1:M67"/>
  <sheetViews>
    <sheetView showGridLines="0" view="pageBreakPreview" zoomScale="120" zoomScaleNormal="100" zoomScaleSheetLayoutView="120" zoomScalePageLayoutView="160" workbookViewId="0">
      <selection activeCell="P17" sqref="P17"/>
    </sheetView>
  </sheetViews>
  <sheetFormatPr defaultRowHeight="9"/>
  <cols>
    <col min="1" max="1" width="28.6640625" style="471" customWidth="1"/>
    <col min="2" max="2" width="22.1640625" style="471" customWidth="1"/>
    <col min="3" max="4" width="17.6640625" style="471" customWidth="1"/>
    <col min="5" max="5" width="15.1640625" style="471" customWidth="1"/>
    <col min="6" max="6" width="13.33203125" style="471" customWidth="1"/>
    <col min="7" max="9" width="9.33203125" style="471"/>
    <col min="10" max="11" width="9.33203125" style="471" customWidth="1"/>
    <col min="12" max="13" width="9.33203125" style="471"/>
    <col min="14" max="16384" width="9.33203125" style="472"/>
  </cols>
  <sheetData>
    <row r="1" spans="1:12" ht="11.25" customHeight="1">
      <c r="A1" s="967" t="s">
        <v>294</v>
      </c>
      <c r="B1" s="970" t="s">
        <v>57</v>
      </c>
      <c r="C1" s="970" t="s">
        <v>468</v>
      </c>
      <c r="D1" s="970"/>
      <c r="E1" s="970"/>
      <c r="F1" s="973"/>
      <c r="G1" s="473"/>
      <c r="H1" s="473"/>
      <c r="I1" s="473"/>
      <c r="J1" s="473"/>
      <c r="K1" s="473"/>
    </row>
    <row r="2" spans="1:12" ht="11.25" customHeight="1">
      <c r="A2" s="968"/>
      <c r="B2" s="971"/>
      <c r="C2" s="495" t="str">
        <f>+'21. ANEXOII-1'!C3</f>
        <v>ABRIL 2018</v>
      </c>
      <c r="D2" s="496" t="str">
        <f>+'21. ANEXOII-1'!D3</f>
        <v>ABRIL 2017</v>
      </c>
      <c r="E2" s="497">
        <v>2018</v>
      </c>
      <c r="F2" s="474" t="s">
        <v>466</v>
      </c>
      <c r="G2" s="475"/>
      <c r="H2" s="475"/>
      <c r="I2" s="475"/>
      <c r="J2" s="475"/>
      <c r="K2" s="475"/>
      <c r="L2" s="476"/>
    </row>
    <row r="3" spans="1:12" ht="11.25" customHeight="1">
      <c r="A3" s="968"/>
      <c r="B3" s="971"/>
      <c r="C3" s="498">
        <f>+'8. Max Potencia'!D8</f>
        <v>43214.78125</v>
      </c>
      <c r="D3" s="498">
        <f>+'8. Max Potencia'!E8</f>
        <v>42853.791666666664</v>
      </c>
      <c r="E3" s="498">
        <f>+'8. Max Potencia'!G8</f>
        <v>43214.78125</v>
      </c>
      <c r="F3" s="499" t="s">
        <v>454</v>
      </c>
      <c r="G3" s="477"/>
      <c r="H3" s="477"/>
      <c r="I3" s="478"/>
      <c r="J3" s="478"/>
      <c r="K3" s="478"/>
      <c r="L3" s="476"/>
    </row>
    <row r="4" spans="1:12" ht="11.25" customHeight="1">
      <c r="A4" s="969"/>
      <c r="B4" s="972"/>
      <c r="C4" s="500">
        <f>+'8. Max Potencia'!D9</f>
        <v>43214.78125</v>
      </c>
      <c r="D4" s="500">
        <f>+'8. Max Potencia'!E9</f>
        <v>42853.791666666664</v>
      </c>
      <c r="E4" s="500">
        <f>+'8. Max Potencia'!G9</f>
        <v>43214.78125</v>
      </c>
      <c r="F4" s="501" t="s">
        <v>455</v>
      </c>
      <c r="G4" s="477"/>
      <c r="H4" s="477"/>
      <c r="I4" s="477"/>
      <c r="J4" s="477"/>
      <c r="K4" s="477"/>
      <c r="L4" s="479"/>
    </row>
    <row r="5" spans="1:12" ht="11.25" customHeight="1">
      <c r="A5" s="448" t="s">
        <v>103</v>
      </c>
      <c r="B5" s="489" t="s">
        <v>378</v>
      </c>
      <c r="C5" s="490">
        <v>48.357289999999999</v>
      </c>
      <c r="D5" s="490">
        <v>0</v>
      </c>
      <c r="E5" s="490">
        <v>48.357289999999999</v>
      </c>
      <c r="F5" s="491" t="str">
        <f>+IF(D5=0,"",C5/D5-1)</f>
        <v/>
      </c>
    </row>
    <row r="6" spans="1:12" ht="11.25" customHeight="1">
      <c r="A6" s="448"/>
      <c r="B6" s="489" t="s">
        <v>379</v>
      </c>
      <c r="C6" s="490">
        <v>0</v>
      </c>
      <c r="D6" s="490">
        <v>85.297970000000007</v>
      </c>
      <c r="E6" s="490">
        <v>0</v>
      </c>
      <c r="F6" s="491">
        <f t="shared" ref="F6:F67" si="0">+IF(D6=0,"",C6/D6-1)</f>
        <v>-1</v>
      </c>
    </row>
    <row r="7" spans="1:12" ht="11.25" customHeight="1">
      <c r="A7" s="444"/>
      <c r="B7" s="489" t="s">
        <v>380</v>
      </c>
      <c r="C7" s="490">
        <v>0</v>
      </c>
      <c r="D7" s="490">
        <v>0</v>
      </c>
      <c r="E7" s="490">
        <v>0</v>
      </c>
      <c r="F7" s="491" t="str">
        <f t="shared" si="0"/>
        <v/>
      </c>
    </row>
    <row r="8" spans="1:12" ht="11.25" customHeight="1">
      <c r="A8" s="450" t="s">
        <v>381</v>
      </c>
      <c r="B8" s="451"/>
      <c r="C8" s="488">
        <v>48.357289999999999</v>
      </c>
      <c r="D8" s="488">
        <v>85.297970000000007</v>
      </c>
      <c r="E8" s="488">
        <v>48.357289999999999</v>
      </c>
      <c r="F8" s="492">
        <f t="shared" si="0"/>
        <v>-0.43307806739128729</v>
      </c>
    </row>
    <row r="9" spans="1:12" ht="11.25" customHeight="1">
      <c r="A9" s="449" t="s">
        <v>105</v>
      </c>
      <c r="B9" s="493" t="s">
        <v>567</v>
      </c>
      <c r="C9" s="494">
        <v>0</v>
      </c>
      <c r="D9" s="494"/>
      <c r="E9" s="494">
        <v>0</v>
      </c>
      <c r="F9" s="491" t="str">
        <f t="shared" si="0"/>
        <v/>
      </c>
    </row>
    <row r="10" spans="1:12" ht="11.25" customHeight="1">
      <c r="A10" s="448"/>
      <c r="B10" s="489" t="s">
        <v>568</v>
      </c>
      <c r="C10" s="490">
        <v>124.78003</v>
      </c>
      <c r="D10" s="490"/>
      <c r="E10" s="490">
        <v>124.78003</v>
      </c>
      <c r="F10" s="491" t="str">
        <f t="shared" si="0"/>
        <v/>
      </c>
    </row>
    <row r="11" spans="1:12" ht="11.25" customHeight="1">
      <c r="A11" s="450" t="s">
        <v>382</v>
      </c>
      <c r="B11" s="451"/>
      <c r="C11" s="488">
        <v>124.78003</v>
      </c>
      <c r="D11" s="488"/>
      <c r="E11" s="488">
        <v>124.78003</v>
      </c>
      <c r="F11" s="492" t="str">
        <f t="shared" si="0"/>
        <v/>
      </c>
    </row>
    <row r="12" spans="1:12" ht="11.25" customHeight="1">
      <c r="A12" s="448" t="s">
        <v>104</v>
      </c>
      <c r="B12" s="489" t="s">
        <v>82</v>
      </c>
      <c r="C12" s="490">
        <v>56.373829999999998</v>
      </c>
      <c r="D12" s="490">
        <v>51.083559999999999</v>
      </c>
      <c r="E12" s="490">
        <v>56.373829999999998</v>
      </c>
      <c r="F12" s="491">
        <f t="shared" si="0"/>
        <v>0.10356110654778172</v>
      </c>
    </row>
    <row r="13" spans="1:12" ht="11.25" customHeight="1">
      <c r="A13" s="448"/>
      <c r="B13" s="489" t="s">
        <v>84</v>
      </c>
      <c r="C13" s="490">
        <v>12.37213</v>
      </c>
      <c r="D13" s="490">
        <v>12.808999999999999</v>
      </c>
      <c r="E13" s="490">
        <v>12.37213</v>
      </c>
      <c r="F13" s="491">
        <f t="shared" si="0"/>
        <v>-3.4106487625887971E-2</v>
      </c>
    </row>
    <row r="14" spans="1:12" ht="11.25" customHeight="1">
      <c r="A14" s="450" t="s">
        <v>383</v>
      </c>
      <c r="B14" s="451"/>
      <c r="C14" s="488">
        <v>68.745959999999997</v>
      </c>
      <c r="D14" s="488">
        <v>63.892559999999996</v>
      </c>
      <c r="E14" s="488">
        <v>68.745959999999997</v>
      </c>
      <c r="F14" s="492">
        <f t="shared" si="0"/>
        <v>7.5961896032965326E-2</v>
      </c>
    </row>
    <row r="15" spans="1:12" ht="11.25" customHeight="1">
      <c r="A15" s="448" t="s">
        <v>94</v>
      </c>
      <c r="B15" s="489" t="s">
        <v>384</v>
      </c>
      <c r="C15" s="490">
        <v>108.30475</v>
      </c>
      <c r="D15" s="490">
        <v>88.439880000000002</v>
      </c>
      <c r="E15" s="490">
        <v>108.30475</v>
      </c>
      <c r="F15" s="491">
        <f t="shared" si="0"/>
        <v>0.22461439341618283</v>
      </c>
    </row>
    <row r="16" spans="1:12" ht="11.25" customHeight="1">
      <c r="A16" s="448"/>
      <c r="B16" s="489" t="s">
        <v>385</v>
      </c>
      <c r="C16" s="490">
        <v>131.79328000000001</v>
      </c>
      <c r="D16" s="490">
        <v>129.45964000000001</v>
      </c>
      <c r="E16" s="490">
        <v>131.79328000000001</v>
      </c>
      <c r="F16" s="491">
        <f t="shared" si="0"/>
        <v>1.802600408899635E-2</v>
      </c>
    </row>
    <row r="17" spans="1:6" ht="11.25" customHeight="1">
      <c r="A17" s="448"/>
      <c r="B17" s="489" t="s">
        <v>386</v>
      </c>
      <c r="C17" s="490">
        <v>0</v>
      </c>
      <c r="D17" s="490">
        <v>753.63176999999996</v>
      </c>
      <c r="E17" s="490">
        <v>0</v>
      </c>
      <c r="F17" s="491">
        <f t="shared" si="0"/>
        <v>-1</v>
      </c>
    </row>
    <row r="18" spans="1:6" ht="11.25" customHeight="1">
      <c r="A18" s="448"/>
      <c r="B18" s="489" t="s">
        <v>387</v>
      </c>
      <c r="C18" s="490">
        <v>0</v>
      </c>
      <c r="D18" s="490">
        <v>0</v>
      </c>
      <c r="E18" s="490">
        <v>0</v>
      </c>
      <c r="F18" s="491" t="str">
        <f t="shared" si="0"/>
        <v/>
      </c>
    </row>
    <row r="19" spans="1:6" ht="11.25" customHeight="1">
      <c r="A19" s="448"/>
      <c r="B19" s="489" t="s">
        <v>461</v>
      </c>
      <c r="C19" s="490"/>
      <c r="D19" s="490">
        <v>0</v>
      </c>
      <c r="E19" s="490"/>
      <c r="F19" s="491" t="str">
        <f t="shared" si="0"/>
        <v/>
      </c>
    </row>
    <row r="20" spans="1:6" ht="11.25" customHeight="1">
      <c r="A20" s="448"/>
      <c r="B20" s="489" t="s">
        <v>388</v>
      </c>
      <c r="C20" s="490">
        <v>0</v>
      </c>
      <c r="D20" s="490">
        <v>132.05737999999999</v>
      </c>
      <c r="E20" s="490">
        <v>0</v>
      </c>
      <c r="F20" s="491">
        <f t="shared" si="0"/>
        <v>-1</v>
      </c>
    </row>
    <row r="21" spans="1:6" ht="11.25" customHeight="1">
      <c r="A21" s="448"/>
      <c r="B21" s="489" t="s">
        <v>389</v>
      </c>
      <c r="C21" s="490">
        <v>0</v>
      </c>
      <c r="D21" s="490">
        <v>0</v>
      </c>
      <c r="E21" s="490">
        <v>0</v>
      </c>
      <c r="F21" s="491" t="str">
        <f t="shared" si="0"/>
        <v/>
      </c>
    </row>
    <row r="22" spans="1:6" ht="11.25" customHeight="1">
      <c r="A22" s="448"/>
      <c r="B22" s="489" t="s">
        <v>390</v>
      </c>
      <c r="C22" s="490">
        <v>0</v>
      </c>
      <c r="D22" s="490">
        <v>0</v>
      </c>
      <c r="E22" s="490">
        <v>0</v>
      </c>
      <c r="F22" s="491" t="str">
        <f t="shared" si="0"/>
        <v/>
      </c>
    </row>
    <row r="23" spans="1:6" ht="11.25" customHeight="1">
      <c r="A23" s="448"/>
      <c r="B23" s="489" t="s">
        <v>577</v>
      </c>
      <c r="C23" s="490">
        <v>0</v>
      </c>
      <c r="D23" s="490"/>
      <c r="E23" s="490">
        <v>0</v>
      </c>
      <c r="F23" s="491" t="str">
        <f t="shared" si="0"/>
        <v/>
      </c>
    </row>
    <row r="24" spans="1:6" ht="11.25" customHeight="1">
      <c r="A24" s="450" t="s">
        <v>391</v>
      </c>
      <c r="B24" s="451"/>
      <c r="C24" s="488">
        <v>240.09802999999999</v>
      </c>
      <c r="D24" s="488">
        <v>1103.5886699999999</v>
      </c>
      <c r="E24" s="488">
        <v>240.09802999999999</v>
      </c>
      <c r="F24" s="492">
        <f t="shared" si="0"/>
        <v>-0.78243884109466255</v>
      </c>
    </row>
    <row r="25" spans="1:6" ht="11.25" customHeight="1">
      <c r="A25" s="448" t="s">
        <v>279</v>
      </c>
      <c r="B25" s="489" t="s">
        <v>392</v>
      </c>
      <c r="C25" s="490">
        <v>553.66996999999992</v>
      </c>
      <c r="D25" s="490">
        <v>544.14576</v>
      </c>
      <c r="E25" s="490">
        <v>553.66996999999992</v>
      </c>
      <c r="F25" s="491">
        <f t="shared" si="0"/>
        <v>1.7503049182998165E-2</v>
      </c>
    </row>
    <row r="26" spans="1:6" ht="11.25" customHeight="1">
      <c r="A26" s="450" t="s">
        <v>393</v>
      </c>
      <c r="B26" s="451"/>
      <c r="C26" s="488">
        <v>553.66996999999992</v>
      </c>
      <c r="D26" s="488">
        <v>544.14576</v>
      </c>
      <c r="E26" s="488">
        <v>553.66996999999992</v>
      </c>
      <c r="F26" s="492">
        <f t="shared" si="0"/>
        <v>1.7503049182998165E-2</v>
      </c>
    </row>
    <row r="27" spans="1:6" ht="11.25" customHeight="1">
      <c r="A27" s="448" t="s">
        <v>116</v>
      </c>
      <c r="B27" s="489" t="s">
        <v>70</v>
      </c>
      <c r="C27" s="490">
        <v>6.8397399999999999</v>
      </c>
      <c r="D27" s="490">
        <v>6.8010599999999997</v>
      </c>
      <c r="E27" s="490">
        <v>6.8397399999999999</v>
      </c>
      <c r="F27" s="491">
        <f t="shared" si="0"/>
        <v>5.6873487368145348E-3</v>
      </c>
    </row>
    <row r="28" spans="1:6" ht="11.25" customHeight="1">
      <c r="A28" s="450" t="s">
        <v>394</v>
      </c>
      <c r="B28" s="451"/>
      <c r="C28" s="488">
        <v>6.8397399999999999</v>
      </c>
      <c r="D28" s="488">
        <v>6.8010599999999997</v>
      </c>
      <c r="E28" s="488">
        <v>6.8397399999999999</v>
      </c>
      <c r="F28" s="492">
        <f t="shared" si="0"/>
        <v>5.6873487368145348E-3</v>
      </c>
    </row>
    <row r="29" spans="1:6" ht="11.25" customHeight="1">
      <c r="A29" s="448" t="s">
        <v>119</v>
      </c>
      <c r="B29" s="489" t="s">
        <v>271</v>
      </c>
      <c r="C29" s="490">
        <v>0</v>
      </c>
      <c r="D29" s="490">
        <v>0</v>
      </c>
      <c r="E29" s="490">
        <v>0</v>
      </c>
      <c r="F29" s="491" t="str">
        <f t="shared" si="0"/>
        <v/>
      </c>
    </row>
    <row r="30" spans="1:6" ht="11.25" customHeight="1">
      <c r="A30" s="450" t="s">
        <v>395</v>
      </c>
      <c r="B30" s="451"/>
      <c r="C30" s="488">
        <v>0</v>
      </c>
      <c r="D30" s="488">
        <v>0</v>
      </c>
      <c r="E30" s="488">
        <v>0</v>
      </c>
      <c r="F30" s="492" t="str">
        <f t="shared" si="0"/>
        <v/>
      </c>
    </row>
    <row r="31" spans="1:6" ht="11.25" customHeight="1">
      <c r="A31" s="448" t="s">
        <v>120</v>
      </c>
      <c r="B31" s="489" t="s">
        <v>89</v>
      </c>
      <c r="C31" s="490">
        <v>0</v>
      </c>
      <c r="D31" s="490">
        <v>0</v>
      </c>
      <c r="E31" s="490">
        <v>0</v>
      </c>
      <c r="F31" s="491" t="str">
        <f t="shared" si="0"/>
        <v/>
      </c>
    </row>
    <row r="32" spans="1:6" ht="11.25" customHeight="1">
      <c r="A32" s="450" t="s">
        <v>396</v>
      </c>
      <c r="B32" s="451"/>
      <c r="C32" s="488">
        <v>0</v>
      </c>
      <c r="D32" s="488">
        <v>0</v>
      </c>
      <c r="E32" s="488">
        <v>0</v>
      </c>
      <c r="F32" s="492" t="str">
        <f t="shared" si="0"/>
        <v/>
      </c>
    </row>
    <row r="33" spans="1:6" ht="11.25" customHeight="1">
      <c r="A33" s="448" t="s">
        <v>124</v>
      </c>
      <c r="B33" s="489" t="s">
        <v>78</v>
      </c>
      <c r="C33" s="490">
        <v>0</v>
      </c>
      <c r="D33" s="490">
        <v>2.8</v>
      </c>
      <c r="E33" s="490">
        <v>0</v>
      </c>
      <c r="F33" s="491">
        <f t="shared" si="0"/>
        <v>-1</v>
      </c>
    </row>
    <row r="34" spans="1:6" ht="11.25" customHeight="1">
      <c r="A34" s="450" t="s">
        <v>397</v>
      </c>
      <c r="B34" s="451"/>
      <c r="C34" s="488">
        <v>0</v>
      </c>
      <c r="D34" s="488">
        <v>2.8</v>
      </c>
      <c r="E34" s="488">
        <v>0</v>
      </c>
      <c r="F34" s="492">
        <f t="shared" si="0"/>
        <v>-1</v>
      </c>
    </row>
    <row r="35" spans="1:6" ht="11.25" customHeight="1">
      <c r="A35" s="448" t="s">
        <v>110</v>
      </c>
      <c r="B35" s="489" t="s">
        <v>398</v>
      </c>
      <c r="C35" s="490">
        <v>19.619999999999997</v>
      </c>
      <c r="D35" s="490">
        <v>19.084</v>
      </c>
      <c r="E35" s="490">
        <v>19.619999999999997</v>
      </c>
      <c r="F35" s="491">
        <f t="shared" si="0"/>
        <v>2.8086355061831769E-2</v>
      </c>
    </row>
    <row r="36" spans="1:6" ht="11.25" customHeight="1">
      <c r="A36" s="450" t="s">
        <v>399</v>
      </c>
      <c r="B36" s="451"/>
      <c r="C36" s="488">
        <v>19.619999999999997</v>
      </c>
      <c r="D36" s="488">
        <v>19.084</v>
      </c>
      <c r="E36" s="488">
        <v>19.619999999999997</v>
      </c>
      <c r="F36" s="492">
        <f t="shared" si="0"/>
        <v>2.8086355061831769E-2</v>
      </c>
    </row>
    <row r="37" spans="1:6" ht="11.25" customHeight="1">
      <c r="A37" s="448" t="s">
        <v>280</v>
      </c>
      <c r="B37" s="489" t="s">
        <v>63</v>
      </c>
      <c r="C37" s="490">
        <v>9.0002999999999993</v>
      </c>
      <c r="D37" s="490"/>
      <c r="E37" s="490">
        <v>9.0002999999999993</v>
      </c>
      <c r="F37" s="491" t="str">
        <f t="shared" si="0"/>
        <v/>
      </c>
    </row>
    <row r="38" spans="1:6" ht="11.25" customHeight="1">
      <c r="A38" s="450" t="s">
        <v>401</v>
      </c>
      <c r="B38" s="451"/>
      <c r="C38" s="488">
        <v>9.0002999999999993</v>
      </c>
      <c r="D38" s="488"/>
      <c r="E38" s="488">
        <v>9.0002999999999993</v>
      </c>
      <c r="F38" s="492" t="str">
        <f t="shared" si="0"/>
        <v/>
      </c>
    </row>
    <row r="39" spans="1:6" ht="11.25" customHeight="1">
      <c r="A39" s="448" t="s">
        <v>127</v>
      </c>
      <c r="B39" s="489" t="s">
        <v>402</v>
      </c>
      <c r="C39" s="490">
        <v>0</v>
      </c>
      <c r="D39" s="490">
        <v>0</v>
      </c>
      <c r="E39" s="490">
        <v>0</v>
      </c>
      <c r="F39" s="491" t="str">
        <f t="shared" si="0"/>
        <v/>
      </c>
    </row>
    <row r="40" spans="1:6" ht="11.25" customHeight="1">
      <c r="A40" s="448"/>
      <c r="B40" s="489" t="s">
        <v>403</v>
      </c>
      <c r="C40" s="490">
        <v>0</v>
      </c>
      <c r="D40" s="490">
        <v>0</v>
      </c>
      <c r="E40" s="490">
        <v>0</v>
      </c>
      <c r="F40" s="491" t="str">
        <f t="shared" si="0"/>
        <v/>
      </c>
    </row>
    <row r="41" spans="1:6" ht="11.25" customHeight="1">
      <c r="A41" s="450" t="s">
        <v>404</v>
      </c>
      <c r="B41" s="451"/>
      <c r="C41" s="488">
        <v>0</v>
      </c>
      <c r="D41" s="488">
        <v>0</v>
      </c>
      <c r="E41" s="488">
        <v>0</v>
      </c>
      <c r="F41" s="492" t="str">
        <f t="shared" si="0"/>
        <v/>
      </c>
    </row>
    <row r="42" spans="1:6" ht="11.25" customHeight="1">
      <c r="A42" s="448" t="s">
        <v>281</v>
      </c>
      <c r="B42" s="489" t="s">
        <v>406</v>
      </c>
      <c r="C42" s="490">
        <v>508.16005999999999</v>
      </c>
      <c r="D42" s="490">
        <v>407.98996</v>
      </c>
      <c r="E42" s="490">
        <v>508.16005999999999</v>
      </c>
      <c r="F42" s="491">
        <f t="shared" si="0"/>
        <v>0.24552099272246797</v>
      </c>
    </row>
    <row r="43" spans="1:6" ht="11.25" customHeight="1">
      <c r="A43" s="448"/>
      <c r="B43" s="489" t="s">
        <v>407</v>
      </c>
      <c r="C43" s="490">
        <v>0</v>
      </c>
      <c r="D43" s="490">
        <v>0</v>
      </c>
      <c r="E43" s="490">
        <v>0</v>
      </c>
      <c r="F43" s="491" t="str">
        <f t="shared" si="0"/>
        <v/>
      </c>
    </row>
    <row r="44" spans="1:6" ht="11.25" customHeight="1">
      <c r="A44" s="448"/>
      <c r="B44" s="489" t="s">
        <v>405</v>
      </c>
      <c r="C44" s="490">
        <v>526.44351000000006</v>
      </c>
      <c r="D44" s="490"/>
      <c r="E44" s="490">
        <v>526.44351000000006</v>
      </c>
      <c r="F44" s="491" t="str">
        <f t="shared" si="0"/>
        <v/>
      </c>
    </row>
    <row r="45" spans="1:6" ht="11.25" customHeight="1">
      <c r="A45" s="448"/>
      <c r="B45" s="489" t="s">
        <v>408</v>
      </c>
      <c r="C45" s="490">
        <v>10.008279999999999</v>
      </c>
      <c r="D45" s="490"/>
      <c r="E45" s="490">
        <v>10.008279999999999</v>
      </c>
      <c r="F45" s="491" t="str">
        <f>+IF(D45=0,"",C45/D45-1)</f>
        <v/>
      </c>
    </row>
    <row r="46" spans="1:6" ht="11.25" customHeight="1">
      <c r="A46" s="450" t="s">
        <v>409</v>
      </c>
      <c r="B46" s="451"/>
      <c r="C46" s="488">
        <v>1044.61185</v>
      </c>
      <c r="D46" s="488">
        <v>407.98996</v>
      </c>
      <c r="E46" s="488">
        <v>1044.61185</v>
      </c>
      <c r="F46" s="492"/>
    </row>
    <row r="47" spans="1:6" ht="11.25" customHeight="1">
      <c r="A47" s="448" t="s">
        <v>726</v>
      </c>
      <c r="B47" s="489" t="s">
        <v>722</v>
      </c>
      <c r="C47" s="490">
        <v>88.961479999999995</v>
      </c>
      <c r="D47" s="490">
        <v>89.998429999999999</v>
      </c>
      <c r="E47" s="490">
        <v>88.961479999999995</v>
      </c>
      <c r="F47" s="491">
        <f t="shared" si="0"/>
        <v>-1.1521867659247009E-2</v>
      </c>
    </row>
    <row r="48" spans="1:6" ht="11.25" customHeight="1">
      <c r="A48" s="450" t="s">
        <v>548</v>
      </c>
      <c r="B48" s="451"/>
      <c r="C48" s="488">
        <v>88.961479999999995</v>
      </c>
      <c r="D48" s="488">
        <v>89.998429999999999</v>
      </c>
      <c r="E48" s="488">
        <v>88.961479999999995</v>
      </c>
      <c r="F48" s="492">
        <f>+IF(D48=0,"",C48/D48-1)</f>
        <v>-1.1521867659247009E-2</v>
      </c>
    </row>
    <row r="49" spans="1:6" ht="11.25" customHeight="1">
      <c r="A49" s="448" t="s">
        <v>125</v>
      </c>
      <c r="B49" s="489" t="s">
        <v>76</v>
      </c>
      <c r="C49" s="490">
        <v>3.7160000000000002</v>
      </c>
      <c r="D49" s="490">
        <v>3.2210000000000001</v>
      </c>
      <c r="E49" s="490">
        <v>3.7160000000000002</v>
      </c>
      <c r="F49" s="491">
        <f t="shared" si="0"/>
        <v>0.15367898168270733</v>
      </c>
    </row>
    <row r="50" spans="1:6" ht="11.25" customHeight="1">
      <c r="A50" s="450" t="s">
        <v>410</v>
      </c>
      <c r="B50" s="451"/>
      <c r="C50" s="488">
        <v>3.7160000000000002</v>
      </c>
      <c r="D50" s="488">
        <v>3.2210000000000001</v>
      </c>
      <c r="E50" s="488">
        <v>3.7160000000000002</v>
      </c>
      <c r="F50" s="492">
        <f t="shared" si="0"/>
        <v>0.15367898168270733</v>
      </c>
    </row>
    <row r="51" spans="1:6" ht="11.25" customHeight="1">
      <c r="A51" s="448" t="s">
        <v>118</v>
      </c>
      <c r="B51" s="489" t="s">
        <v>87</v>
      </c>
      <c r="C51" s="490">
        <v>0</v>
      </c>
      <c r="D51" s="490">
        <v>0</v>
      </c>
      <c r="E51" s="490">
        <v>0</v>
      </c>
      <c r="F51" s="491" t="str">
        <f t="shared" si="0"/>
        <v/>
      </c>
    </row>
    <row r="52" spans="1:6" ht="11.25" customHeight="1">
      <c r="A52" s="450" t="s">
        <v>411</v>
      </c>
      <c r="B52" s="451"/>
      <c r="C52" s="488">
        <v>0</v>
      </c>
      <c r="D52" s="488">
        <v>0</v>
      </c>
      <c r="E52" s="488">
        <v>0</v>
      </c>
      <c r="F52" s="492" t="str">
        <f t="shared" si="0"/>
        <v/>
      </c>
    </row>
    <row r="53" spans="1:6" ht="11.25" customHeight="1">
      <c r="A53" s="448" t="s">
        <v>282</v>
      </c>
      <c r="B53" s="489" t="s">
        <v>75</v>
      </c>
      <c r="C53" s="490">
        <v>5.1007199999999999</v>
      </c>
      <c r="D53" s="490">
        <v>5.2490100000000002</v>
      </c>
      <c r="E53" s="490">
        <v>5.1007199999999999</v>
      </c>
      <c r="F53" s="491">
        <f t="shared" si="0"/>
        <v>-2.8251041624992146E-2</v>
      </c>
    </row>
    <row r="54" spans="1:6" ht="11.25" customHeight="1">
      <c r="A54" s="448"/>
      <c r="B54" s="489" t="s">
        <v>412</v>
      </c>
      <c r="C54" s="490">
        <v>248.68201999999999</v>
      </c>
      <c r="D54" s="490">
        <v>239.32827999999998</v>
      </c>
      <c r="E54" s="490">
        <v>248.68201999999999</v>
      </c>
      <c r="F54" s="491">
        <f t="shared" si="0"/>
        <v>3.9083304321578805E-2</v>
      </c>
    </row>
    <row r="55" spans="1:6" ht="11.25" customHeight="1">
      <c r="A55" s="448"/>
      <c r="B55" s="489" t="s">
        <v>413</v>
      </c>
      <c r="C55" s="490">
        <v>89.720569999999995</v>
      </c>
      <c r="D55" s="490">
        <v>91.813299999999998</v>
      </c>
      <c r="E55" s="490">
        <v>89.720569999999995</v>
      </c>
      <c r="F55" s="491">
        <f t="shared" si="0"/>
        <v>-2.2793320793392691E-2</v>
      </c>
    </row>
    <row r="56" spans="1:6" ht="11.25" customHeight="1">
      <c r="A56" s="448"/>
      <c r="B56" s="489" t="s">
        <v>66</v>
      </c>
      <c r="C56" s="490">
        <v>9.9176400000000005</v>
      </c>
      <c r="D56" s="490">
        <v>10.000909999999999</v>
      </c>
      <c r="E56" s="490">
        <v>9.9176400000000005</v>
      </c>
      <c r="F56" s="491">
        <f t="shared" si="0"/>
        <v>-8.32624231194945E-3</v>
      </c>
    </row>
    <row r="57" spans="1:6" ht="11.25" customHeight="1">
      <c r="A57" s="450" t="s">
        <v>414</v>
      </c>
      <c r="B57" s="451"/>
      <c r="C57" s="488">
        <v>353.42095</v>
      </c>
      <c r="D57" s="488">
        <v>346.39149999999995</v>
      </c>
      <c r="E57" s="488">
        <v>353.42095</v>
      </c>
      <c r="F57" s="492">
        <f t="shared" si="0"/>
        <v>2.029336747581878E-2</v>
      </c>
    </row>
    <row r="58" spans="1:6" ht="11.25" customHeight="1">
      <c r="A58" s="448" t="s">
        <v>283</v>
      </c>
      <c r="B58" s="489" t="s">
        <v>83</v>
      </c>
      <c r="C58" s="490">
        <v>26.574349999999999</v>
      </c>
      <c r="D58" s="490">
        <v>23.47186</v>
      </c>
      <c r="E58" s="490">
        <v>26.574349999999999</v>
      </c>
      <c r="F58" s="491">
        <f t="shared" si="0"/>
        <v>0.13217912853945113</v>
      </c>
    </row>
    <row r="59" spans="1:6" ht="11.25" customHeight="1">
      <c r="A59" s="450" t="s">
        <v>415</v>
      </c>
      <c r="B59" s="451"/>
      <c r="C59" s="488">
        <v>26.574349999999999</v>
      </c>
      <c r="D59" s="488">
        <v>23.47186</v>
      </c>
      <c r="E59" s="488">
        <v>26.574349999999999</v>
      </c>
      <c r="F59" s="492">
        <f t="shared" si="0"/>
        <v>0.13217912853945113</v>
      </c>
    </row>
    <row r="60" spans="1:6" ht="11.25" customHeight="1">
      <c r="A60" s="448" t="s">
        <v>106</v>
      </c>
      <c r="B60" s="489" t="s">
        <v>80</v>
      </c>
      <c r="C60" s="490">
        <v>88.914940000000001</v>
      </c>
      <c r="D60" s="490">
        <v>89.310940000000002</v>
      </c>
      <c r="E60" s="490">
        <v>88.914940000000001</v>
      </c>
      <c r="F60" s="491">
        <f t="shared" si="0"/>
        <v>-4.4339472857413131E-3</v>
      </c>
    </row>
    <row r="61" spans="1:6" ht="11.25" customHeight="1">
      <c r="A61" s="450" t="s">
        <v>416</v>
      </c>
      <c r="B61" s="451"/>
      <c r="C61" s="488">
        <v>88.914940000000001</v>
      </c>
      <c r="D61" s="488">
        <v>89.310940000000002</v>
      </c>
      <c r="E61" s="488">
        <v>88.914940000000001</v>
      </c>
      <c r="F61" s="492">
        <f t="shared" si="0"/>
        <v>-4.4339472857413131E-3</v>
      </c>
    </row>
    <row r="62" spans="1:6" ht="11.25" customHeight="1">
      <c r="A62" s="448" t="s">
        <v>115</v>
      </c>
      <c r="B62" s="489" t="s">
        <v>270</v>
      </c>
      <c r="C62" s="490">
        <v>0</v>
      </c>
      <c r="D62" s="490">
        <v>0</v>
      </c>
      <c r="E62" s="490">
        <v>0</v>
      </c>
      <c r="F62" s="491" t="str">
        <f t="shared" si="0"/>
        <v/>
      </c>
    </row>
    <row r="63" spans="1:6" ht="11.25" customHeight="1">
      <c r="A63" s="450" t="s">
        <v>417</v>
      </c>
      <c r="B63" s="451"/>
      <c r="C63" s="488">
        <v>0</v>
      </c>
      <c r="D63" s="488">
        <v>0</v>
      </c>
      <c r="E63" s="488">
        <v>0</v>
      </c>
      <c r="F63" s="492" t="str">
        <f t="shared" si="0"/>
        <v/>
      </c>
    </row>
    <row r="64" spans="1:6" ht="11.25" customHeight="1">
      <c r="A64" s="448" t="s">
        <v>284</v>
      </c>
      <c r="B64" s="489" t="s">
        <v>92</v>
      </c>
      <c r="C64" s="490">
        <v>0</v>
      </c>
      <c r="D64" s="490"/>
      <c r="E64" s="490">
        <v>0</v>
      </c>
      <c r="F64" s="491" t="str">
        <f t="shared" si="0"/>
        <v/>
      </c>
    </row>
    <row r="65" spans="1:6" ht="11.25" customHeight="1">
      <c r="A65" s="448"/>
      <c r="B65" s="489" t="s">
        <v>91</v>
      </c>
      <c r="C65" s="490">
        <v>4.4090999999999996</v>
      </c>
      <c r="D65" s="490">
        <v>4.5514000000000001</v>
      </c>
      <c r="E65" s="490">
        <v>4.4090999999999996</v>
      </c>
      <c r="F65" s="491">
        <f t="shared" si="0"/>
        <v>-3.1265105242343161E-2</v>
      </c>
    </row>
    <row r="66" spans="1:6" ht="11.25" customHeight="1">
      <c r="A66" s="450" t="s">
        <v>418</v>
      </c>
      <c r="B66" s="451"/>
      <c r="C66" s="488">
        <v>4.4090999999999996</v>
      </c>
      <c r="D66" s="488">
        <v>4.5514000000000001</v>
      </c>
      <c r="E66" s="488">
        <v>4.4090999999999996</v>
      </c>
      <c r="F66" s="492">
        <f t="shared" si="0"/>
        <v>-3.1265105242343161E-2</v>
      </c>
    </row>
    <row r="67" spans="1:6" ht="11.25" customHeight="1">
      <c r="A67" s="448"/>
      <c r="B67" s="489"/>
      <c r="C67" s="490"/>
      <c r="D67" s="490"/>
      <c r="E67" s="490"/>
      <c r="F67" s="491" t="str">
        <f t="shared" si="0"/>
        <v/>
      </c>
    </row>
  </sheetData>
  <mergeCells count="3">
    <mergeCell ref="A1:A4"/>
    <mergeCell ref="B1:B4"/>
    <mergeCell ref="C1:F1"/>
  </mergeCells>
  <pageMargins left="0.7" right="0.7" top="0.86956521739130432" bottom="0.61458333333333337" header="0.3" footer="0.3"/>
  <pageSetup orientation="portrait" r:id="rId1"/>
  <headerFooter>
    <oddHeader>&amp;R&amp;7Informe de la Operación Mensual - Abril 2018
INFSGI-MES-04-2018
10/05/2018
Versión: 01</oddHeader>
    <oddFooter>&amp;L&amp;7COES SINAC, 2018
&amp;C22&amp;R&amp;7Dirección Ejecutiva
Sub Dirección de Gestión de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38E4F-20E0-43AD-908A-49DD1484B7D6}">
  <sheetPr>
    <tabColor theme="4"/>
  </sheetPr>
  <dimension ref="A1:M63"/>
  <sheetViews>
    <sheetView showGridLines="0" view="pageBreakPreview" zoomScale="140" zoomScaleNormal="100" zoomScaleSheetLayoutView="140" zoomScalePageLayoutView="130" workbookViewId="0">
      <selection activeCell="P17" sqref="P17"/>
    </sheetView>
  </sheetViews>
  <sheetFormatPr defaultRowHeight="9"/>
  <cols>
    <col min="1" max="1" width="27.6640625" style="471" customWidth="1"/>
    <col min="2" max="2" width="23" style="471" customWidth="1"/>
    <col min="3" max="4" width="17.6640625" style="471" customWidth="1"/>
    <col min="5" max="5" width="15.1640625" style="471" customWidth="1"/>
    <col min="6" max="6" width="13.33203125" style="471" customWidth="1"/>
    <col min="7" max="9" width="9.33203125" style="471"/>
    <col min="10" max="11" width="9.33203125" style="471" customWidth="1"/>
    <col min="12" max="13" width="9.33203125" style="471"/>
    <col min="14" max="16384" width="9.33203125" style="472"/>
  </cols>
  <sheetData>
    <row r="1" spans="1:12" ht="11.25" customHeight="1">
      <c r="A1" s="967" t="s">
        <v>294</v>
      </c>
      <c r="B1" s="970" t="s">
        <v>57</v>
      </c>
      <c r="C1" s="970" t="s">
        <v>468</v>
      </c>
      <c r="D1" s="970"/>
      <c r="E1" s="970"/>
      <c r="F1" s="973"/>
      <c r="G1" s="473"/>
      <c r="H1" s="473"/>
      <c r="I1" s="473"/>
      <c r="J1" s="473"/>
      <c r="K1" s="473"/>
    </row>
    <row r="2" spans="1:12" ht="11.25" customHeight="1">
      <c r="A2" s="968"/>
      <c r="B2" s="971"/>
      <c r="C2" s="495" t="str">
        <f>+'22. ANEXOII-2'!C2</f>
        <v>ABRIL 2018</v>
      </c>
      <c r="D2" s="496" t="str">
        <f>+'22. ANEXOII-2'!D2</f>
        <v>ABRIL 2017</v>
      </c>
      <c r="E2" s="497">
        <v>2018</v>
      </c>
      <c r="F2" s="474" t="s">
        <v>466</v>
      </c>
      <c r="G2" s="475"/>
      <c r="H2" s="475"/>
      <c r="I2" s="475"/>
      <c r="J2" s="475"/>
      <c r="K2" s="475"/>
      <c r="L2" s="476"/>
    </row>
    <row r="3" spans="1:12" ht="11.25" customHeight="1">
      <c r="A3" s="968"/>
      <c r="B3" s="971"/>
      <c r="C3" s="498">
        <f>+'8. Max Potencia'!D8</f>
        <v>43214.78125</v>
      </c>
      <c r="D3" s="498">
        <f>+'8. Max Potencia'!E8</f>
        <v>42853.791666666664</v>
      </c>
      <c r="E3" s="498">
        <f>+'8. Max Potencia'!G8</f>
        <v>43214.78125</v>
      </c>
      <c r="F3" s="499" t="s">
        <v>454</v>
      </c>
      <c r="G3" s="477"/>
      <c r="H3" s="477"/>
      <c r="I3" s="478"/>
      <c r="J3" s="478"/>
      <c r="K3" s="478"/>
      <c r="L3" s="476"/>
    </row>
    <row r="4" spans="1:12" ht="11.25" customHeight="1">
      <c r="A4" s="969"/>
      <c r="B4" s="972"/>
      <c r="C4" s="500">
        <f>+'8. Max Potencia'!D9</f>
        <v>43214.78125</v>
      </c>
      <c r="D4" s="500">
        <f>+'8. Max Potencia'!E9</f>
        <v>42853.791666666664</v>
      </c>
      <c r="E4" s="500">
        <f>+'8. Max Potencia'!G9</f>
        <v>43214.78125</v>
      </c>
      <c r="F4" s="501" t="s">
        <v>455</v>
      </c>
      <c r="G4" s="477"/>
      <c r="H4" s="477"/>
      <c r="I4" s="477"/>
      <c r="J4" s="477"/>
      <c r="K4" s="477"/>
      <c r="L4" s="479"/>
    </row>
    <row r="5" spans="1:12" ht="11.25" customHeight="1">
      <c r="A5" s="448" t="s">
        <v>285</v>
      </c>
      <c r="B5" s="489" t="s">
        <v>419</v>
      </c>
      <c r="C5" s="490">
        <v>0</v>
      </c>
      <c r="D5" s="490">
        <v>0</v>
      </c>
      <c r="E5" s="490">
        <v>0</v>
      </c>
      <c r="F5" s="491" t="str">
        <f t="shared" ref="F5:F54" si="0">+IF(D5=0,"",C5/D5-1)</f>
        <v/>
      </c>
    </row>
    <row r="6" spans="1:12" ht="11.25" customHeight="1">
      <c r="A6" s="450" t="s">
        <v>420</v>
      </c>
      <c r="B6" s="451"/>
      <c r="C6" s="488">
        <v>0</v>
      </c>
      <c r="D6" s="488">
        <v>0</v>
      </c>
      <c r="E6" s="488">
        <v>0</v>
      </c>
      <c r="F6" s="492" t="str">
        <f t="shared" si="0"/>
        <v/>
      </c>
    </row>
    <row r="7" spans="1:12" ht="11.25" customHeight="1">
      <c r="A7" s="448" t="s">
        <v>132</v>
      </c>
      <c r="B7" s="489" t="s">
        <v>462</v>
      </c>
      <c r="C7" s="490"/>
      <c r="D7" s="490">
        <v>0</v>
      </c>
      <c r="E7" s="490"/>
      <c r="F7" s="491" t="str">
        <f t="shared" si="0"/>
        <v/>
      </c>
    </row>
    <row r="8" spans="1:12" ht="11.25" customHeight="1">
      <c r="A8" s="450" t="s">
        <v>463</v>
      </c>
      <c r="B8" s="451"/>
      <c r="C8" s="488"/>
      <c r="D8" s="488">
        <v>0</v>
      </c>
      <c r="E8" s="488"/>
      <c r="F8" s="492" t="str">
        <f t="shared" si="0"/>
        <v/>
      </c>
    </row>
    <row r="9" spans="1:12" ht="11.25" customHeight="1">
      <c r="A9" s="448" t="s">
        <v>112</v>
      </c>
      <c r="B9" s="489" t="s">
        <v>65</v>
      </c>
      <c r="C9" s="490">
        <v>18.94304</v>
      </c>
      <c r="D9" s="490">
        <v>19.126629999999999</v>
      </c>
      <c r="E9" s="490">
        <v>18.94304</v>
      </c>
      <c r="F9" s="491">
        <f t="shared" si="0"/>
        <v>-9.5986590423926543E-3</v>
      </c>
    </row>
    <row r="10" spans="1:12" ht="11.25" customHeight="1">
      <c r="A10" s="450" t="s">
        <v>421</v>
      </c>
      <c r="B10" s="451"/>
      <c r="C10" s="488">
        <v>18.94304</v>
      </c>
      <c r="D10" s="488">
        <v>19.126629999999999</v>
      </c>
      <c r="E10" s="488">
        <v>18.94304</v>
      </c>
      <c r="F10" s="492">
        <f t="shared" si="0"/>
        <v>-9.5986590423926543E-3</v>
      </c>
    </row>
    <row r="11" spans="1:12" ht="11.25" customHeight="1">
      <c r="A11" s="448" t="s">
        <v>286</v>
      </c>
      <c r="B11" s="489" t="s">
        <v>422</v>
      </c>
      <c r="C11" s="490">
        <v>0</v>
      </c>
      <c r="D11" s="490">
        <v>0</v>
      </c>
      <c r="E11" s="490">
        <v>0</v>
      </c>
      <c r="F11" s="491" t="str">
        <f t="shared" si="0"/>
        <v/>
      </c>
    </row>
    <row r="12" spans="1:12" ht="11.25" customHeight="1">
      <c r="A12" s="450" t="s">
        <v>423</v>
      </c>
      <c r="B12" s="451"/>
      <c r="C12" s="488">
        <v>0</v>
      </c>
      <c r="D12" s="488">
        <v>0</v>
      </c>
      <c r="E12" s="488">
        <v>0</v>
      </c>
      <c r="F12" s="492" t="str">
        <f t="shared" si="0"/>
        <v/>
      </c>
    </row>
    <row r="13" spans="1:12" ht="11.25" customHeight="1">
      <c r="A13" s="448" t="s">
        <v>102</v>
      </c>
      <c r="B13" s="489" t="s">
        <v>424</v>
      </c>
      <c r="C13" s="490">
        <v>110.79231</v>
      </c>
      <c r="D13" s="490">
        <v>111.24132</v>
      </c>
      <c r="E13" s="490">
        <v>110.79231</v>
      </c>
      <c r="F13" s="491">
        <f t="shared" si="0"/>
        <v>-4.0363598705948078E-3</v>
      </c>
    </row>
    <row r="14" spans="1:12" ht="11.25" customHeight="1">
      <c r="A14" s="448"/>
      <c r="B14" s="489" t="s">
        <v>464</v>
      </c>
      <c r="C14" s="490"/>
      <c r="D14" s="490">
        <v>0</v>
      </c>
      <c r="E14" s="490"/>
      <c r="F14" s="491" t="str">
        <f t="shared" si="0"/>
        <v/>
      </c>
    </row>
    <row r="15" spans="1:12" ht="11.25" customHeight="1">
      <c r="A15" s="450" t="s">
        <v>425</v>
      </c>
      <c r="B15" s="451"/>
      <c r="C15" s="488">
        <v>110.79231</v>
      </c>
      <c r="D15" s="488">
        <v>111.24132</v>
      </c>
      <c r="E15" s="488">
        <v>110.79231</v>
      </c>
      <c r="F15" s="492">
        <f t="shared" si="0"/>
        <v>-4.0363598705948078E-3</v>
      </c>
    </row>
    <row r="16" spans="1:12" ht="11.25" customHeight="1">
      <c r="A16" s="448" t="s">
        <v>287</v>
      </c>
      <c r="B16" s="489" t="s">
        <v>69</v>
      </c>
      <c r="C16" s="490">
        <v>8.5421899999999997</v>
      </c>
      <c r="D16" s="490">
        <v>8.58216</v>
      </c>
      <c r="E16" s="490">
        <v>8.5421899999999997</v>
      </c>
      <c r="F16" s="491">
        <f t="shared" si="0"/>
        <v>-4.6573356823923495E-3</v>
      </c>
    </row>
    <row r="17" spans="1:6" ht="11.25" customHeight="1">
      <c r="A17" s="448"/>
      <c r="B17" s="489" t="s">
        <v>68</v>
      </c>
      <c r="C17" s="490">
        <v>8.9284199999999991</v>
      </c>
      <c r="D17" s="490">
        <v>9.8996999999999993</v>
      </c>
      <c r="E17" s="490">
        <v>8.9284199999999991</v>
      </c>
      <c r="F17" s="491">
        <f t="shared" si="0"/>
        <v>-9.8112064001939503E-2</v>
      </c>
    </row>
    <row r="18" spans="1:6" ht="11.25" customHeight="1">
      <c r="A18" s="448"/>
      <c r="B18" s="489" t="s">
        <v>72</v>
      </c>
      <c r="C18" s="490">
        <v>4.32423</v>
      </c>
      <c r="D18" s="490">
        <v>5.6909200000000002</v>
      </c>
      <c r="E18" s="490">
        <v>4.32423</v>
      </c>
      <c r="F18" s="491">
        <f t="shared" si="0"/>
        <v>-0.24015273453149932</v>
      </c>
    </row>
    <row r="19" spans="1:6" ht="11.25" customHeight="1">
      <c r="A19" s="448"/>
      <c r="B19" s="489" t="s">
        <v>71</v>
      </c>
      <c r="C19" s="490">
        <v>5.0239000000000003</v>
      </c>
      <c r="D19" s="490">
        <v>6.4407399999999999</v>
      </c>
      <c r="E19" s="490">
        <v>5.0239000000000003</v>
      </c>
      <c r="F19" s="491">
        <f t="shared" si="0"/>
        <v>-0.21998093386784745</v>
      </c>
    </row>
    <row r="20" spans="1:6" ht="11.25" customHeight="1">
      <c r="A20" s="450" t="s">
        <v>426</v>
      </c>
      <c r="B20" s="451"/>
      <c r="C20" s="488">
        <v>26.818740000000002</v>
      </c>
      <c r="D20" s="488">
        <v>30.613519999999994</v>
      </c>
      <c r="E20" s="488">
        <v>26.818740000000002</v>
      </c>
      <c r="F20" s="492">
        <f t="shared" si="0"/>
        <v>-0.12395765008401494</v>
      </c>
    </row>
    <row r="21" spans="1:6" ht="11.25" customHeight="1">
      <c r="A21" s="448" t="s">
        <v>109</v>
      </c>
      <c r="B21" s="489" t="s">
        <v>427</v>
      </c>
      <c r="C21" s="490">
        <v>27.351590000000002</v>
      </c>
      <c r="D21" s="490">
        <v>27.472549999999998</v>
      </c>
      <c r="E21" s="490">
        <v>27.351590000000002</v>
      </c>
      <c r="F21" s="491">
        <f t="shared" si="0"/>
        <v>-4.402940389588772E-3</v>
      </c>
    </row>
    <row r="22" spans="1:6" ht="11.25" customHeight="1">
      <c r="A22" s="450" t="s">
        <v>428</v>
      </c>
      <c r="B22" s="451"/>
      <c r="C22" s="488">
        <v>27.351590000000002</v>
      </c>
      <c r="D22" s="488">
        <v>27.472549999999998</v>
      </c>
      <c r="E22" s="488">
        <v>27.351590000000002</v>
      </c>
      <c r="F22" s="492">
        <f t="shared" si="0"/>
        <v>-4.402940389588772E-3</v>
      </c>
    </row>
    <row r="23" spans="1:6" ht="11.25" customHeight="1">
      <c r="A23" s="448" t="s">
        <v>129</v>
      </c>
      <c r="B23" s="489" t="s">
        <v>429</v>
      </c>
      <c r="C23" s="490">
        <v>0</v>
      </c>
      <c r="D23" s="490">
        <v>0</v>
      </c>
      <c r="E23" s="490">
        <v>0</v>
      </c>
      <c r="F23" s="491" t="str">
        <f t="shared" si="0"/>
        <v/>
      </c>
    </row>
    <row r="24" spans="1:6" ht="11.25" customHeight="1">
      <c r="A24" s="450" t="s">
        <v>430</v>
      </c>
      <c r="B24" s="451"/>
      <c r="C24" s="488">
        <v>0</v>
      </c>
      <c r="D24" s="488">
        <v>0</v>
      </c>
      <c r="E24" s="488">
        <v>0</v>
      </c>
      <c r="F24" s="492" t="str">
        <f t="shared" si="0"/>
        <v/>
      </c>
    </row>
    <row r="25" spans="1:6" ht="11.25" customHeight="1">
      <c r="A25" s="448" t="s">
        <v>121</v>
      </c>
      <c r="B25" s="489" t="s">
        <v>465</v>
      </c>
      <c r="C25" s="490"/>
      <c r="D25" s="490">
        <v>0</v>
      </c>
      <c r="E25" s="490"/>
      <c r="F25" s="491" t="str">
        <f t="shared" si="0"/>
        <v/>
      </c>
    </row>
    <row r="26" spans="1:6" ht="11.25" customHeight="1">
      <c r="A26" s="448"/>
      <c r="B26" s="489" t="s">
        <v>73</v>
      </c>
      <c r="C26" s="490">
        <v>8.8075100000000006</v>
      </c>
      <c r="D26" s="490">
        <v>2.6274099999999998</v>
      </c>
      <c r="E26" s="490">
        <v>8.8075100000000006</v>
      </c>
      <c r="F26" s="491">
        <f t="shared" si="0"/>
        <v>2.3521642986819726</v>
      </c>
    </row>
    <row r="27" spans="1:6" ht="11.25" customHeight="1">
      <c r="A27" s="450" t="s">
        <v>431</v>
      </c>
      <c r="B27" s="451"/>
      <c r="C27" s="488">
        <v>8.8075100000000006</v>
      </c>
      <c r="D27" s="488">
        <v>2.6274099999999998</v>
      </c>
      <c r="E27" s="488">
        <v>8.8075100000000006</v>
      </c>
      <c r="F27" s="492">
        <f t="shared" si="0"/>
        <v>2.3521642986819726</v>
      </c>
    </row>
    <row r="28" spans="1:6" ht="11.25" customHeight="1">
      <c r="A28" s="448" t="s">
        <v>97</v>
      </c>
      <c r="B28" s="489" t="s">
        <v>432</v>
      </c>
      <c r="C28" s="490">
        <v>43.690919999999998</v>
      </c>
      <c r="D28" s="490">
        <v>0</v>
      </c>
      <c r="E28" s="490">
        <v>43.690919999999998</v>
      </c>
      <c r="F28" s="491" t="str">
        <f t="shared" si="0"/>
        <v/>
      </c>
    </row>
    <row r="29" spans="1:6" ht="11.25" customHeight="1">
      <c r="A29" s="448"/>
      <c r="B29" s="489" t="s">
        <v>433</v>
      </c>
      <c r="C29" s="490">
        <v>167.52777</v>
      </c>
      <c r="D29" s="490">
        <v>166.40295</v>
      </c>
      <c r="E29" s="490">
        <v>167.52777</v>
      </c>
      <c r="F29" s="491">
        <f t="shared" si="0"/>
        <v>6.7596157399854029E-3</v>
      </c>
    </row>
    <row r="30" spans="1:6" ht="11.25" customHeight="1">
      <c r="A30" s="448"/>
      <c r="B30" s="489" t="s">
        <v>434</v>
      </c>
      <c r="C30" s="490">
        <v>30.279130000000002</v>
      </c>
      <c r="D30" s="490">
        <v>38.246120000000005</v>
      </c>
      <c r="E30" s="490">
        <v>30.279130000000002</v>
      </c>
      <c r="F30" s="491">
        <f t="shared" si="0"/>
        <v>-0.20830845063499259</v>
      </c>
    </row>
    <row r="31" spans="1:6" ht="11.25" customHeight="1">
      <c r="A31" s="448"/>
      <c r="B31" s="489" t="s">
        <v>435</v>
      </c>
      <c r="C31" s="490">
        <v>0</v>
      </c>
      <c r="D31" s="490">
        <v>0.21643000000000001</v>
      </c>
      <c r="E31" s="490">
        <v>0</v>
      </c>
      <c r="F31" s="491">
        <f t="shared" si="0"/>
        <v>-1</v>
      </c>
    </row>
    <row r="32" spans="1:6" ht="11.25" customHeight="1">
      <c r="A32" s="448"/>
      <c r="B32" s="489" t="s">
        <v>436</v>
      </c>
      <c r="C32" s="490">
        <v>32.940539999999999</v>
      </c>
      <c r="D32" s="490">
        <v>45.745569999999994</v>
      </c>
      <c r="E32" s="490">
        <v>32.940539999999999</v>
      </c>
      <c r="F32" s="491">
        <f t="shared" si="0"/>
        <v>-0.27991847079400245</v>
      </c>
    </row>
    <row r="33" spans="1:6" ht="11.25" customHeight="1">
      <c r="A33" s="448"/>
      <c r="B33" s="489" t="s">
        <v>437</v>
      </c>
      <c r="C33" s="490">
        <v>3.0095999999999998</v>
      </c>
      <c r="D33" s="490">
        <v>2.88144</v>
      </c>
      <c r="E33" s="490">
        <v>3.0095999999999998</v>
      </c>
      <c r="F33" s="491">
        <f t="shared" si="0"/>
        <v>4.447776111944024E-2</v>
      </c>
    </row>
    <row r="34" spans="1:6" ht="11.25" customHeight="1">
      <c r="A34" s="448"/>
      <c r="B34" s="489" t="s">
        <v>438</v>
      </c>
      <c r="C34" s="490">
        <v>8.1388800000000003</v>
      </c>
      <c r="D34" s="490">
        <v>4.1900399999999998</v>
      </c>
      <c r="E34" s="490">
        <v>8.1388800000000003</v>
      </c>
      <c r="F34" s="491">
        <f t="shared" si="0"/>
        <v>0.9424349170890971</v>
      </c>
    </row>
    <row r="35" spans="1:6" ht="11.25" customHeight="1">
      <c r="A35" s="448"/>
      <c r="B35" s="489" t="s">
        <v>439</v>
      </c>
      <c r="C35" s="490">
        <v>5.7245100000000004</v>
      </c>
      <c r="D35" s="490">
        <v>8.6660899999999987</v>
      </c>
      <c r="E35" s="490">
        <v>5.7245100000000004</v>
      </c>
      <c r="F35" s="491">
        <f t="shared" si="0"/>
        <v>-0.33943566244984746</v>
      </c>
    </row>
    <row r="36" spans="1:6" ht="11.25" customHeight="1">
      <c r="A36" s="448"/>
      <c r="B36" s="489" t="s">
        <v>440</v>
      </c>
      <c r="C36" s="490">
        <v>4.1269400000000003</v>
      </c>
      <c r="D36" s="490">
        <v>3.2539000000000002</v>
      </c>
      <c r="E36" s="490">
        <v>4.1269400000000003</v>
      </c>
      <c r="F36" s="491">
        <f t="shared" si="0"/>
        <v>0.26830572543716769</v>
      </c>
    </row>
    <row r="37" spans="1:6" ht="11.25" customHeight="1">
      <c r="A37" s="448"/>
      <c r="B37" s="489" t="s">
        <v>441</v>
      </c>
      <c r="C37" s="490">
        <v>0</v>
      </c>
      <c r="D37" s="490">
        <v>0.51805000000000001</v>
      </c>
      <c r="E37" s="490">
        <v>0</v>
      </c>
      <c r="F37" s="491">
        <f t="shared" si="0"/>
        <v>-1</v>
      </c>
    </row>
    <row r="38" spans="1:6" ht="11.25" customHeight="1">
      <c r="A38" s="448"/>
      <c r="B38" s="489" t="s">
        <v>442</v>
      </c>
      <c r="C38" s="490">
        <v>0</v>
      </c>
      <c r="D38" s="490">
        <v>0.28643999999999997</v>
      </c>
      <c r="E38" s="490">
        <v>0</v>
      </c>
      <c r="F38" s="491">
        <f t="shared" si="0"/>
        <v>-1</v>
      </c>
    </row>
    <row r="39" spans="1:6" ht="11.25" customHeight="1">
      <c r="A39" s="448"/>
      <c r="B39" s="489" t="s">
        <v>443</v>
      </c>
      <c r="C39" s="490">
        <v>105.35533</v>
      </c>
      <c r="D39" s="490">
        <v>64.336539999999999</v>
      </c>
      <c r="E39" s="490">
        <v>105.35533</v>
      </c>
      <c r="F39" s="491">
        <f t="shared" si="0"/>
        <v>0.63756599282460624</v>
      </c>
    </row>
    <row r="40" spans="1:6" ht="11.25" customHeight="1">
      <c r="A40" s="450" t="s">
        <v>444</v>
      </c>
      <c r="B40" s="451"/>
      <c r="C40" s="488">
        <v>400.79361999999992</v>
      </c>
      <c r="D40" s="488">
        <v>334.74357000000003</v>
      </c>
      <c r="E40" s="488">
        <v>400.79361999999992</v>
      </c>
      <c r="F40" s="492">
        <f t="shared" si="0"/>
        <v>0.19731536590829779</v>
      </c>
    </row>
    <row r="41" spans="1:6" ht="11.25" customHeight="1">
      <c r="A41" s="448" t="s">
        <v>117</v>
      </c>
      <c r="B41" s="489" t="s">
        <v>269</v>
      </c>
      <c r="C41" s="490">
        <v>0</v>
      </c>
      <c r="D41" s="490">
        <v>0</v>
      </c>
      <c r="E41" s="490">
        <v>0</v>
      </c>
      <c r="F41" s="491" t="str">
        <f t="shared" si="0"/>
        <v/>
      </c>
    </row>
    <row r="42" spans="1:6" ht="11.25" customHeight="1">
      <c r="A42" s="450" t="s">
        <v>445</v>
      </c>
      <c r="B42" s="451"/>
      <c r="C42" s="488">
        <v>0</v>
      </c>
      <c r="D42" s="488">
        <v>0</v>
      </c>
      <c r="E42" s="488">
        <v>0</v>
      </c>
      <c r="F42" s="492" t="str">
        <f t="shared" si="0"/>
        <v/>
      </c>
    </row>
    <row r="43" spans="1:6" ht="11.25" customHeight="1">
      <c r="A43" s="448" t="s">
        <v>107</v>
      </c>
      <c r="B43" s="489" t="s">
        <v>576</v>
      </c>
      <c r="C43" s="490">
        <v>293.38225</v>
      </c>
      <c r="D43" s="490">
        <v>0</v>
      </c>
      <c r="E43" s="490">
        <v>293.38225</v>
      </c>
      <c r="F43" s="491" t="str">
        <f t="shared" si="0"/>
        <v/>
      </c>
    </row>
    <row r="44" spans="1:6" ht="11.25" customHeight="1">
      <c r="A44" s="450" t="s">
        <v>446</v>
      </c>
      <c r="B44" s="451"/>
      <c r="C44" s="488">
        <v>293.38225</v>
      </c>
      <c r="D44" s="488">
        <v>0</v>
      </c>
      <c r="E44" s="488">
        <v>293.38225</v>
      </c>
      <c r="F44" s="492" t="str">
        <f t="shared" si="0"/>
        <v/>
      </c>
    </row>
    <row r="45" spans="1:6" ht="11.25" customHeight="1">
      <c r="A45" s="448" t="s">
        <v>113</v>
      </c>
      <c r="B45" s="489" t="s">
        <v>447</v>
      </c>
      <c r="C45" s="490">
        <v>0</v>
      </c>
      <c r="D45" s="490">
        <v>0</v>
      </c>
      <c r="E45" s="490">
        <v>0</v>
      </c>
      <c r="F45" s="491" t="str">
        <f t="shared" si="0"/>
        <v/>
      </c>
    </row>
    <row r="46" spans="1:6" ht="11.25" customHeight="1">
      <c r="A46" s="450" t="s">
        <v>448</v>
      </c>
      <c r="B46" s="451"/>
      <c r="C46" s="488">
        <v>0</v>
      </c>
      <c r="D46" s="488">
        <v>0</v>
      </c>
      <c r="E46" s="488">
        <v>0</v>
      </c>
      <c r="F46" s="492" t="str">
        <f t="shared" si="0"/>
        <v/>
      </c>
    </row>
    <row r="47" spans="1:6" ht="11.25" customHeight="1">
      <c r="A47" s="448" t="s">
        <v>541</v>
      </c>
      <c r="B47" s="489" t="s">
        <v>569</v>
      </c>
      <c r="C47" s="490">
        <v>19.976400000000002</v>
      </c>
      <c r="D47" s="490"/>
      <c r="E47" s="490">
        <v>19.976400000000002</v>
      </c>
      <c r="F47" s="491" t="str">
        <f t="shared" si="0"/>
        <v/>
      </c>
    </row>
    <row r="48" spans="1:6" ht="11.25" customHeight="1">
      <c r="A48" s="450" t="s">
        <v>543</v>
      </c>
      <c r="B48" s="451"/>
      <c r="C48" s="488">
        <v>19.976400000000002</v>
      </c>
      <c r="D48" s="488"/>
      <c r="E48" s="488">
        <v>19.976400000000002</v>
      </c>
      <c r="F48" s="492" t="str">
        <f t="shared" si="0"/>
        <v/>
      </c>
    </row>
    <row r="49" spans="1:6" ht="12" customHeight="1">
      <c r="A49" s="448" t="s">
        <v>590</v>
      </c>
      <c r="B49" s="489" t="s">
        <v>400</v>
      </c>
      <c r="C49" s="490">
        <v>19.575330000000001</v>
      </c>
      <c r="D49" s="490"/>
      <c r="E49" s="490">
        <v>19.575330000000001</v>
      </c>
      <c r="F49" s="491" t="str">
        <f t="shared" si="0"/>
        <v/>
      </c>
    </row>
    <row r="50" spans="1:6" ht="12" customHeight="1">
      <c r="A50" s="848" t="s">
        <v>589</v>
      </c>
      <c r="B50" s="848"/>
      <c r="C50" s="849">
        <v>19.575330000000001</v>
      </c>
      <c r="D50" s="849"/>
      <c r="E50" s="849">
        <v>19.575330000000001</v>
      </c>
      <c r="F50" s="850"/>
    </row>
    <row r="52" spans="1:6" ht="10.5" customHeight="1">
      <c r="A52" s="459" t="s">
        <v>545</v>
      </c>
      <c r="B52" s="688"/>
      <c r="C52" s="461">
        <v>6710.6748599999992</v>
      </c>
      <c r="D52" s="461">
        <v>6449.9912399999994</v>
      </c>
      <c r="E52" s="461">
        <v>6710.6748599999992</v>
      </c>
      <c r="F52" s="690">
        <f t="shared" si="0"/>
        <v>4.0416120007009448E-2</v>
      </c>
    </row>
    <row r="53" spans="1:6" ht="10.5" customHeight="1">
      <c r="A53" s="463" t="s">
        <v>450</v>
      </c>
      <c r="B53" s="464"/>
      <c r="C53" s="461">
        <f>+'8. Max Potencia'!D16</f>
        <v>0</v>
      </c>
      <c r="D53" s="461">
        <f>+'8. Max Potencia'!E16</f>
        <v>0</v>
      </c>
      <c r="E53" s="462">
        <v>0</v>
      </c>
      <c r="F53" s="691" t="str">
        <f t="shared" si="0"/>
        <v/>
      </c>
    </row>
    <row r="54" spans="1:6" ht="10.5" customHeight="1">
      <c r="A54" s="467" t="s">
        <v>451</v>
      </c>
      <c r="B54" s="468"/>
      <c r="C54" s="461">
        <f>+'8. Max Potencia'!D17</f>
        <v>0</v>
      </c>
      <c r="D54" s="461">
        <f>+'8. Max Potencia'!E17</f>
        <v>0</v>
      </c>
      <c r="E54" s="462">
        <v>0</v>
      </c>
      <c r="F54" s="691" t="str">
        <f t="shared" si="0"/>
        <v/>
      </c>
    </row>
    <row r="57" spans="1:6" ht="11.25" customHeight="1">
      <c r="A57" s="471" t="s">
        <v>453</v>
      </c>
    </row>
    <row r="58" spans="1:6" ht="11.25" customHeight="1">
      <c r="A58" s="471" t="s">
        <v>544</v>
      </c>
    </row>
    <row r="59" spans="1:6" ht="11.25" customHeight="1">
      <c r="A59" s="471" t="s">
        <v>575</v>
      </c>
    </row>
    <row r="60" spans="1:6" ht="11.25" customHeight="1">
      <c r="A60" s="471" t="s">
        <v>570</v>
      </c>
    </row>
    <row r="61" spans="1:6" ht="11.25" customHeight="1">
      <c r="A61" s="471" t="s">
        <v>573</v>
      </c>
    </row>
    <row r="62" spans="1:6" ht="10.5" customHeight="1">
      <c r="A62" s="471" t="s">
        <v>574</v>
      </c>
    </row>
    <row r="63" spans="1:6">
      <c r="A63" s="471" t="s">
        <v>588</v>
      </c>
    </row>
  </sheetData>
  <mergeCells count="3">
    <mergeCell ref="A1:A4"/>
    <mergeCell ref="B1:B4"/>
    <mergeCell ref="C1:F1"/>
  </mergeCells>
  <pageMargins left="0.7" right="0.7" top="0.86956521739130432" bottom="0.61458333333333337" header="0.3" footer="0.3"/>
  <pageSetup orientation="portrait" r:id="rId1"/>
  <headerFooter>
    <oddHeader>&amp;R&amp;7Informe de la Operación Mensual - Abril 2018
INFSGI-MES-04-2018
10/05/2018
Versión: 01</oddHeader>
    <oddFooter>&amp;L&amp;7COES SINAC, 2018
&amp;C23&amp;R&amp;7Dirección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BF0BA-941D-46C6-B6E4-8A142B4FD1D1}">
  <sheetPr>
    <tabColor theme="4"/>
  </sheetPr>
  <dimension ref="A1:M68"/>
  <sheetViews>
    <sheetView showGridLines="0" view="pageBreakPreview" zoomScale="130" zoomScaleNormal="100" zoomScaleSheetLayoutView="130" zoomScalePageLayoutView="145" workbookViewId="0">
      <selection activeCell="P17" sqref="P17"/>
    </sheetView>
  </sheetViews>
  <sheetFormatPr defaultRowHeight="11.25"/>
  <cols>
    <col min="1" max="1" width="9.83203125" style="50" customWidth="1"/>
    <col min="2" max="2" width="6.6640625" style="50" customWidth="1"/>
    <col min="3" max="3" width="10.1640625" style="50" bestFit="1" customWidth="1"/>
    <col min="4" max="5" width="12.1640625" style="50" customWidth="1"/>
    <col min="6" max="6" width="10" style="50" customWidth="1"/>
    <col min="7" max="7" width="6.5" style="50" customWidth="1"/>
    <col min="8" max="8" width="10.33203125" style="50" customWidth="1"/>
    <col min="9" max="10" width="12.1640625" style="50" customWidth="1"/>
    <col min="11" max="11" width="12" style="50" customWidth="1"/>
    <col min="12" max="13" width="9.33203125" style="50"/>
    <col min="14" max="16384" width="9.33203125" style="3"/>
  </cols>
  <sheetData>
    <row r="1" spans="1:13" s="50" customFormat="1" ht="11.25" customHeight="1"/>
    <row r="2" spans="1:13" s="50" customFormat="1" ht="11.25" customHeight="1"/>
    <row r="3" spans="1:13" s="50" customFormat="1" ht="16.5" customHeight="1">
      <c r="A3" s="509" t="s">
        <v>476</v>
      </c>
      <c r="B3" s="507"/>
    </row>
    <row r="4" spans="1:13" s="50" customFormat="1" ht="11.25" customHeight="1">
      <c r="A4" s="413"/>
      <c r="B4" s="507"/>
    </row>
    <row r="5" spans="1:13" s="50" customFormat="1" ht="11.25" customHeight="1">
      <c r="A5" s="508" t="s">
        <v>565</v>
      </c>
      <c r="C5" s="851" t="s">
        <v>776</v>
      </c>
    </row>
    <row r="6" spans="1:13" s="50" customFormat="1" ht="11.25" customHeight="1">
      <c r="A6" s="508" t="s">
        <v>477</v>
      </c>
      <c r="C6" s="640" t="s">
        <v>757</v>
      </c>
    </row>
    <row r="7" spans="1:13" s="50" customFormat="1" ht="11.25" customHeight="1">
      <c r="A7" s="508" t="s">
        <v>478</v>
      </c>
      <c r="C7" s="641" t="s">
        <v>732</v>
      </c>
    </row>
    <row r="8" spans="1:13" s="50" customFormat="1" ht="11.25" customHeight="1"/>
    <row r="9" spans="1:13" s="50" customFormat="1" ht="14.25" customHeight="1">
      <c r="A9" s="974" t="s">
        <v>469</v>
      </c>
      <c r="B9" s="975" t="s">
        <v>470</v>
      </c>
      <c r="C9" s="975"/>
      <c r="D9" s="975"/>
      <c r="E9" s="975"/>
      <c r="F9" s="975"/>
      <c r="G9" s="975" t="s">
        <v>471</v>
      </c>
      <c r="H9" s="975"/>
      <c r="I9" s="975"/>
      <c r="J9" s="975"/>
      <c r="K9" s="975"/>
    </row>
    <row r="10" spans="1:13" s="50" customFormat="1" ht="26.25" customHeight="1">
      <c r="A10" s="974"/>
      <c r="B10" s="502" t="s">
        <v>472</v>
      </c>
      <c r="C10" s="502" t="s">
        <v>220</v>
      </c>
      <c r="D10" s="502" t="s">
        <v>450</v>
      </c>
      <c r="E10" s="502" t="s">
        <v>451</v>
      </c>
      <c r="F10" s="503" t="s">
        <v>475</v>
      </c>
      <c r="G10" s="502" t="s">
        <v>472</v>
      </c>
      <c r="H10" s="502" t="s">
        <v>220</v>
      </c>
      <c r="I10" s="502" t="s">
        <v>450</v>
      </c>
      <c r="J10" s="502" t="s">
        <v>451</v>
      </c>
      <c r="K10" s="503" t="s">
        <v>475</v>
      </c>
      <c r="L10" s="270"/>
      <c r="M10" s="61"/>
    </row>
    <row r="11" spans="1:13" s="50" customFormat="1" ht="11.25" customHeight="1">
      <c r="A11" s="974"/>
      <c r="B11" s="502" t="s">
        <v>473</v>
      </c>
      <c r="C11" s="502" t="s">
        <v>474</v>
      </c>
      <c r="D11" s="502" t="s">
        <v>474</v>
      </c>
      <c r="E11" s="502" t="s">
        <v>474</v>
      </c>
      <c r="F11" s="502" t="s">
        <v>474</v>
      </c>
      <c r="G11" s="502" t="s">
        <v>473</v>
      </c>
      <c r="H11" s="502" t="s">
        <v>474</v>
      </c>
      <c r="I11" s="502" t="s">
        <v>474</v>
      </c>
      <c r="J11" s="502" t="s">
        <v>474</v>
      </c>
      <c r="K11" s="502" t="s">
        <v>474</v>
      </c>
      <c r="L11" s="270"/>
      <c r="M11" s="61"/>
    </row>
    <row r="12" spans="1:13" s="50" customFormat="1" ht="11.25" customHeight="1">
      <c r="A12" s="637" t="s">
        <v>728</v>
      </c>
      <c r="B12" s="638" t="s">
        <v>558</v>
      </c>
      <c r="C12" s="504">
        <v>5568.4245000000001</v>
      </c>
      <c r="D12" s="504">
        <v>0</v>
      </c>
      <c r="E12" s="504">
        <v>0</v>
      </c>
      <c r="F12" s="504">
        <v>5568.4245000000001</v>
      </c>
      <c r="G12" s="638" t="s">
        <v>729</v>
      </c>
      <c r="H12" s="504">
        <v>6265.8824400000003</v>
      </c>
      <c r="I12" s="504">
        <v>0</v>
      </c>
      <c r="J12" s="504">
        <v>0</v>
      </c>
      <c r="K12" s="504">
        <v>6265.8824400000003</v>
      </c>
      <c r="L12" s="282"/>
      <c r="M12" s="61"/>
    </row>
    <row r="13" spans="1:13" s="50" customFormat="1" ht="11.25" customHeight="1">
      <c r="A13" s="637" t="s">
        <v>730</v>
      </c>
      <c r="B13" s="639" t="s">
        <v>731</v>
      </c>
      <c r="C13" s="505">
        <v>6396.9808300000004</v>
      </c>
      <c r="D13" s="505">
        <v>0</v>
      </c>
      <c r="E13" s="505">
        <v>0</v>
      </c>
      <c r="F13" s="505">
        <v>6396.9808300000004</v>
      </c>
      <c r="G13" s="639" t="s">
        <v>732</v>
      </c>
      <c r="H13" s="505">
        <v>6528.02837</v>
      </c>
      <c r="I13" s="505">
        <v>0</v>
      </c>
      <c r="J13" s="505">
        <v>0</v>
      </c>
      <c r="K13" s="505">
        <v>6528.02837</v>
      </c>
      <c r="L13" s="7"/>
    </row>
    <row r="14" spans="1:13" s="50" customFormat="1" ht="11.25" customHeight="1">
      <c r="A14" s="637" t="s">
        <v>733</v>
      </c>
      <c r="B14" s="639" t="s">
        <v>562</v>
      </c>
      <c r="C14" s="505">
        <v>6454.5486000000001</v>
      </c>
      <c r="D14" s="505">
        <v>0</v>
      </c>
      <c r="E14" s="505">
        <v>0</v>
      </c>
      <c r="F14" s="505">
        <v>6454.5486000000001</v>
      </c>
      <c r="G14" s="639" t="s">
        <v>563</v>
      </c>
      <c r="H14" s="505">
        <v>6518.8149100000001</v>
      </c>
      <c r="I14" s="505">
        <v>0</v>
      </c>
      <c r="J14" s="505">
        <v>0</v>
      </c>
      <c r="K14" s="505">
        <v>6518.8149100000001</v>
      </c>
      <c r="L14" s="20"/>
    </row>
    <row r="15" spans="1:13" s="50" customFormat="1" ht="11.25" customHeight="1">
      <c r="A15" s="637" t="s">
        <v>734</v>
      </c>
      <c r="B15" s="639" t="s">
        <v>735</v>
      </c>
      <c r="C15" s="505">
        <v>6554.8377899999996</v>
      </c>
      <c r="D15" s="505">
        <v>0</v>
      </c>
      <c r="E15" s="505">
        <v>0</v>
      </c>
      <c r="F15" s="505">
        <v>6554.8377899999996</v>
      </c>
      <c r="G15" s="639" t="s">
        <v>732</v>
      </c>
      <c r="H15" s="505">
        <v>6615.7164199999997</v>
      </c>
      <c r="I15" s="505">
        <v>0</v>
      </c>
      <c r="J15" s="505">
        <v>0</v>
      </c>
      <c r="K15" s="505">
        <v>6615.7164199999997</v>
      </c>
      <c r="L15" s="16"/>
    </row>
    <row r="16" spans="1:13" s="50" customFormat="1" ht="11.25" customHeight="1">
      <c r="A16" s="637" t="s">
        <v>736</v>
      </c>
      <c r="B16" s="639" t="s">
        <v>561</v>
      </c>
      <c r="C16" s="505">
        <v>6552.1331700000001</v>
      </c>
      <c r="D16" s="505">
        <v>0</v>
      </c>
      <c r="E16" s="505">
        <v>0</v>
      </c>
      <c r="F16" s="505">
        <v>6552.1331700000001</v>
      </c>
      <c r="G16" s="639" t="s">
        <v>732</v>
      </c>
      <c r="H16" s="505">
        <v>6549.01181</v>
      </c>
      <c r="I16" s="505">
        <v>0</v>
      </c>
      <c r="J16" s="505">
        <v>0</v>
      </c>
      <c r="K16" s="505">
        <v>6549.01181</v>
      </c>
      <c r="L16" s="29"/>
    </row>
    <row r="17" spans="1:12" s="50" customFormat="1" ht="11.25" customHeight="1">
      <c r="A17" s="637" t="s">
        <v>737</v>
      </c>
      <c r="B17" s="639" t="s">
        <v>564</v>
      </c>
      <c r="C17" s="505">
        <v>6472.5521600000002</v>
      </c>
      <c r="D17" s="505">
        <v>0</v>
      </c>
      <c r="E17" s="505">
        <v>0</v>
      </c>
      <c r="F17" s="505">
        <v>6472.5521600000002</v>
      </c>
      <c r="G17" s="639" t="s">
        <v>555</v>
      </c>
      <c r="H17" s="505">
        <v>6475.0097500000002</v>
      </c>
      <c r="I17" s="505">
        <v>0</v>
      </c>
      <c r="J17" s="505">
        <v>0</v>
      </c>
      <c r="K17" s="505">
        <v>6475.0097500000002</v>
      </c>
      <c r="L17" s="29"/>
    </row>
    <row r="18" spans="1:12" s="50" customFormat="1" ht="11.25" customHeight="1">
      <c r="A18" s="637" t="s">
        <v>738</v>
      </c>
      <c r="B18" s="639" t="s">
        <v>564</v>
      </c>
      <c r="C18" s="505">
        <v>6280.2749800000001</v>
      </c>
      <c r="D18" s="505">
        <v>0</v>
      </c>
      <c r="E18" s="505">
        <v>0</v>
      </c>
      <c r="F18" s="505">
        <v>6280.2749800000001</v>
      </c>
      <c r="G18" s="639" t="s">
        <v>563</v>
      </c>
      <c r="H18" s="505">
        <v>6313.4211299999997</v>
      </c>
      <c r="I18" s="505">
        <v>0</v>
      </c>
      <c r="J18" s="505">
        <v>0</v>
      </c>
      <c r="K18" s="505">
        <v>6313.4211299999997</v>
      </c>
      <c r="L18" s="29"/>
    </row>
    <row r="19" spans="1:12" s="50" customFormat="1" ht="11.25" customHeight="1">
      <c r="A19" s="637" t="s">
        <v>739</v>
      </c>
      <c r="B19" s="639" t="s">
        <v>558</v>
      </c>
      <c r="C19" s="813">
        <v>5626.08709</v>
      </c>
      <c r="D19" s="813">
        <v>0</v>
      </c>
      <c r="E19" s="813">
        <v>0</v>
      </c>
      <c r="F19" s="813">
        <v>5626.08709</v>
      </c>
      <c r="G19" s="814" t="s">
        <v>729</v>
      </c>
      <c r="H19" s="813">
        <v>6279.4151499999998</v>
      </c>
      <c r="I19" s="813">
        <v>0</v>
      </c>
      <c r="J19" s="813">
        <v>0</v>
      </c>
      <c r="K19" s="813">
        <v>6279.4151499999998</v>
      </c>
      <c r="L19" s="29"/>
    </row>
    <row r="20" spans="1:12" s="50" customFormat="1" ht="11.25" customHeight="1">
      <c r="A20" s="637" t="s">
        <v>740</v>
      </c>
      <c r="B20" s="639" t="s">
        <v>741</v>
      </c>
      <c r="C20" s="813">
        <v>6402.10023</v>
      </c>
      <c r="D20" s="813">
        <v>0</v>
      </c>
      <c r="E20" s="813">
        <v>0</v>
      </c>
      <c r="F20" s="813">
        <v>6402.10023</v>
      </c>
      <c r="G20" s="814" t="s">
        <v>732</v>
      </c>
      <c r="H20" s="813">
        <v>6599.6353200000003</v>
      </c>
      <c r="I20" s="813">
        <v>0</v>
      </c>
      <c r="J20" s="813">
        <v>0</v>
      </c>
      <c r="K20" s="813">
        <v>6599.6353200000003</v>
      </c>
      <c r="L20" s="31"/>
    </row>
    <row r="21" spans="1:12" s="50" customFormat="1" ht="11.25" customHeight="1">
      <c r="A21" s="637" t="s">
        <v>742</v>
      </c>
      <c r="B21" s="639" t="s">
        <v>556</v>
      </c>
      <c r="C21" s="813">
        <v>6359.5446300000003</v>
      </c>
      <c r="D21" s="813">
        <v>0</v>
      </c>
      <c r="E21" s="813">
        <v>0</v>
      </c>
      <c r="F21" s="813">
        <v>6359.5446300000003</v>
      </c>
      <c r="G21" s="814" t="s">
        <v>563</v>
      </c>
      <c r="H21" s="813">
        <v>6567.8594199999998</v>
      </c>
      <c r="I21" s="813">
        <v>0</v>
      </c>
      <c r="J21" s="813">
        <v>0</v>
      </c>
      <c r="K21" s="813">
        <v>6567.8594199999998</v>
      </c>
      <c r="L21" s="29"/>
    </row>
    <row r="22" spans="1:12" s="50" customFormat="1" ht="11.25" customHeight="1">
      <c r="A22" s="637" t="s">
        <v>743</v>
      </c>
      <c r="B22" s="639" t="s">
        <v>554</v>
      </c>
      <c r="C22" s="813">
        <v>6494.5730400000002</v>
      </c>
      <c r="D22" s="813">
        <v>0</v>
      </c>
      <c r="E22" s="813">
        <v>0</v>
      </c>
      <c r="F22" s="813">
        <v>6494.5730400000002</v>
      </c>
      <c r="G22" s="814" t="s">
        <v>563</v>
      </c>
      <c r="H22" s="813">
        <v>6449.90798</v>
      </c>
      <c r="I22" s="813">
        <v>0</v>
      </c>
      <c r="J22" s="813">
        <v>0</v>
      </c>
      <c r="K22" s="813">
        <v>6449.90798</v>
      </c>
      <c r="L22" s="29"/>
    </row>
    <row r="23" spans="1:12" s="50" customFormat="1" ht="11.25" customHeight="1">
      <c r="A23" s="637" t="s">
        <v>744</v>
      </c>
      <c r="B23" s="639" t="s">
        <v>561</v>
      </c>
      <c r="C23" s="813">
        <v>6291.8008300000001</v>
      </c>
      <c r="D23" s="813">
        <v>0</v>
      </c>
      <c r="E23" s="813">
        <v>0</v>
      </c>
      <c r="F23" s="813">
        <v>6291.8008300000001</v>
      </c>
      <c r="G23" s="814" t="s">
        <v>729</v>
      </c>
      <c r="H23" s="813">
        <v>6384.4665199999999</v>
      </c>
      <c r="I23" s="813">
        <v>0</v>
      </c>
      <c r="J23" s="813">
        <v>0</v>
      </c>
      <c r="K23" s="813">
        <v>6384.4665199999999</v>
      </c>
      <c r="L23" s="29"/>
    </row>
    <row r="24" spans="1:12" s="50" customFormat="1" ht="11.25" customHeight="1">
      <c r="A24" s="637" t="s">
        <v>745</v>
      </c>
      <c r="B24" s="639" t="s">
        <v>554</v>
      </c>
      <c r="C24" s="813">
        <v>6259.8762299999999</v>
      </c>
      <c r="D24" s="813">
        <v>0</v>
      </c>
      <c r="E24" s="813">
        <v>0</v>
      </c>
      <c r="F24" s="813">
        <v>6259.8762299999999</v>
      </c>
      <c r="G24" s="814" t="s">
        <v>563</v>
      </c>
      <c r="H24" s="813">
        <v>6389.9502599999996</v>
      </c>
      <c r="I24" s="813">
        <v>0</v>
      </c>
      <c r="J24" s="813">
        <v>0</v>
      </c>
      <c r="K24" s="813">
        <v>6389.9502599999996</v>
      </c>
      <c r="L24" s="29"/>
    </row>
    <row r="25" spans="1:12" s="50" customFormat="1" ht="11.25" customHeight="1">
      <c r="A25" s="637" t="s">
        <v>746</v>
      </c>
      <c r="B25" s="639" t="s">
        <v>554</v>
      </c>
      <c r="C25" s="813">
        <v>6197.3212700000004</v>
      </c>
      <c r="D25" s="813">
        <v>0</v>
      </c>
      <c r="E25" s="813">
        <v>0</v>
      </c>
      <c r="F25" s="813">
        <v>6197.3212700000004</v>
      </c>
      <c r="G25" s="814" t="s">
        <v>732</v>
      </c>
      <c r="H25" s="813">
        <v>6457.1850999999997</v>
      </c>
      <c r="I25" s="813">
        <v>0</v>
      </c>
      <c r="J25" s="813">
        <v>0</v>
      </c>
      <c r="K25" s="813">
        <v>6457.1850999999997</v>
      </c>
      <c r="L25" s="29"/>
    </row>
    <row r="26" spans="1:12" s="50" customFormat="1" ht="11.25" customHeight="1">
      <c r="A26" s="637" t="s">
        <v>747</v>
      </c>
      <c r="B26" s="639" t="s">
        <v>558</v>
      </c>
      <c r="C26" s="813">
        <v>5727.9680900000003</v>
      </c>
      <c r="D26" s="813">
        <v>0</v>
      </c>
      <c r="E26" s="813">
        <v>0</v>
      </c>
      <c r="F26" s="813">
        <v>5727.9680900000003</v>
      </c>
      <c r="G26" s="814" t="s">
        <v>560</v>
      </c>
      <c r="H26" s="813">
        <v>6375.33673</v>
      </c>
      <c r="I26" s="813">
        <v>0</v>
      </c>
      <c r="J26" s="813">
        <v>0</v>
      </c>
      <c r="K26" s="813">
        <v>6375.33673</v>
      </c>
      <c r="L26" s="29"/>
    </row>
    <row r="27" spans="1:12" s="50" customFormat="1" ht="11.25" customHeight="1">
      <c r="A27" s="637" t="s">
        <v>748</v>
      </c>
      <c r="B27" s="639" t="s">
        <v>562</v>
      </c>
      <c r="C27" s="813">
        <v>6512.1081000000004</v>
      </c>
      <c r="D27" s="813">
        <v>0</v>
      </c>
      <c r="E27" s="813">
        <v>0</v>
      </c>
      <c r="F27" s="813">
        <v>6512.1081000000004</v>
      </c>
      <c r="G27" s="814" t="s">
        <v>732</v>
      </c>
      <c r="H27" s="813">
        <v>6668.0864499999998</v>
      </c>
      <c r="I27" s="813">
        <v>0</v>
      </c>
      <c r="J27" s="813">
        <v>0</v>
      </c>
      <c r="K27" s="813">
        <v>6668.0864499999998</v>
      </c>
      <c r="L27" s="29"/>
    </row>
    <row r="28" spans="1:12" s="50" customFormat="1" ht="11.25" customHeight="1">
      <c r="A28" s="637" t="s">
        <v>749</v>
      </c>
      <c r="B28" s="639" t="s">
        <v>561</v>
      </c>
      <c r="C28" s="813">
        <v>6435.5575600000002</v>
      </c>
      <c r="D28" s="813">
        <v>0</v>
      </c>
      <c r="E28" s="813">
        <v>0</v>
      </c>
      <c r="F28" s="813">
        <v>6435.5575600000002</v>
      </c>
      <c r="G28" s="814" t="s">
        <v>732</v>
      </c>
      <c r="H28" s="813">
        <v>6617.4195200000004</v>
      </c>
      <c r="I28" s="813">
        <v>0</v>
      </c>
      <c r="J28" s="813">
        <v>0</v>
      </c>
      <c r="K28" s="813">
        <v>6617.4195200000004</v>
      </c>
      <c r="L28" s="39"/>
    </row>
    <row r="29" spans="1:12" s="50" customFormat="1" ht="11.25" customHeight="1">
      <c r="A29" s="637" t="s">
        <v>750</v>
      </c>
      <c r="B29" s="639" t="s">
        <v>554</v>
      </c>
      <c r="C29" s="813">
        <v>6620.7587000000003</v>
      </c>
      <c r="D29" s="813">
        <v>0</v>
      </c>
      <c r="E29" s="813">
        <v>0</v>
      </c>
      <c r="F29" s="813">
        <v>6620.7587000000003</v>
      </c>
      <c r="G29" s="814" t="s">
        <v>732</v>
      </c>
      <c r="H29" s="813">
        <v>6707.7696299999998</v>
      </c>
      <c r="I29" s="813">
        <v>0</v>
      </c>
      <c r="J29" s="813">
        <v>0</v>
      </c>
      <c r="K29" s="813">
        <v>6707.7696299999998</v>
      </c>
      <c r="L29" s="29"/>
    </row>
    <row r="30" spans="1:12" s="50" customFormat="1" ht="11.25" customHeight="1">
      <c r="A30" s="637" t="s">
        <v>751</v>
      </c>
      <c r="B30" s="639" t="s">
        <v>741</v>
      </c>
      <c r="C30" s="813">
        <v>6446.8822200000004</v>
      </c>
      <c r="D30" s="813">
        <v>0</v>
      </c>
      <c r="E30" s="813">
        <v>0</v>
      </c>
      <c r="F30" s="813">
        <v>6446.8822200000004</v>
      </c>
      <c r="G30" s="814" t="s">
        <v>732</v>
      </c>
      <c r="H30" s="813">
        <v>6605.93156</v>
      </c>
      <c r="I30" s="813">
        <v>0</v>
      </c>
      <c r="J30" s="813">
        <v>0</v>
      </c>
      <c r="K30" s="813">
        <v>6605.93156</v>
      </c>
      <c r="L30" s="29"/>
    </row>
    <row r="31" spans="1:12" s="50" customFormat="1" ht="11.25" customHeight="1">
      <c r="A31" s="637" t="s">
        <v>752</v>
      </c>
      <c r="B31" s="639" t="s">
        <v>753</v>
      </c>
      <c r="C31" s="813">
        <v>6466.7703000000001</v>
      </c>
      <c r="D31" s="813">
        <v>0</v>
      </c>
      <c r="E31" s="813">
        <v>0</v>
      </c>
      <c r="F31" s="813">
        <v>6466.7703000000001</v>
      </c>
      <c r="G31" s="814" t="s">
        <v>732</v>
      </c>
      <c r="H31" s="813">
        <v>6527.2944900000002</v>
      </c>
      <c r="I31" s="813">
        <v>0</v>
      </c>
      <c r="J31" s="813">
        <v>0</v>
      </c>
      <c r="K31" s="813">
        <v>6527.2944900000002</v>
      </c>
      <c r="L31" s="20"/>
    </row>
    <row r="32" spans="1:12" s="50" customFormat="1" ht="11.25" customHeight="1">
      <c r="A32" s="637" t="s">
        <v>754</v>
      </c>
      <c r="B32" s="639" t="s">
        <v>554</v>
      </c>
      <c r="C32" s="813">
        <v>6307.4950399999998</v>
      </c>
      <c r="D32" s="813">
        <v>0</v>
      </c>
      <c r="E32" s="813">
        <v>0</v>
      </c>
      <c r="F32" s="813">
        <v>6307.4950399999998</v>
      </c>
      <c r="G32" s="814" t="s">
        <v>563</v>
      </c>
      <c r="H32" s="813">
        <v>6523.1070300000001</v>
      </c>
      <c r="I32" s="813">
        <v>0</v>
      </c>
      <c r="J32" s="813">
        <v>0</v>
      </c>
      <c r="K32" s="813">
        <v>6523.1070300000001</v>
      </c>
      <c r="L32" s="22"/>
    </row>
    <row r="33" spans="1:12" s="50" customFormat="1" ht="11.25" customHeight="1">
      <c r="A33" s="637" t="s">
        <v>755</v>
      </c>
      <c r="B33" s="639" t="s">
        <v>558</v>
      </c>
      <c r="C33" s="813">
        <v>5734.1033600000001</v>
      </c>
      <c r="D33" s="813">
        <v>0</v>
      </c>
      <c r="E33" s="813">
        <v>0</v>
      </c>
      <c r="F33" s="813">
        <v>5734.1033600000001</v>
      </c>
      <c r="G33" s="814" t="s">
        <v>729</v>
      </c>
      <c r="H33" s="813">
        <v>6339.3522300000004</v>
      </c>
      <c r="I33" s="813">
        <v>0</v>
      </c>
      <c r="J33" s="813">
        <v>0</v>
      </c>
      <c r="K33" s="813">
        <v>6339.3522300000004</v>
      </c>
      <c r="L33" s="20"/>
    </row>
    <row r="34" spans="1:12" s="50" customFormat="1" ht="11.25" customHeight="1">
      <c r="A34" s="637" t="s">
        <v>756</v>
      </c>
      <c r="B34" s="639" t="s">
        <v>561</v>
      </c>
      <c r="C34" s="505">
        <v>6502.5110999999997</v>
      </c>
      <c r="D34" s="505">
        <v>0</v>
      </c>
      <c r="E34" s="505">
        <v>0</v>
      </c>
      <c r="F34" s="505">
        <v>6502.5110999999997</v>
      </c>
      <c r="G34" s="639" t="s">
        <v>732</v>
      </c>
      <c r="H34" s="505">
        <v>6677.1769999999997</v>
      </c>
      <c r="I34" s="505">
        <v>0</v>
      </c>
      <c r="J34" s="505">
        <v>0</v>
      </c>
      <c r="K34" s="505">
        <v>6677.1769999999997</v>
      </c>
      <c r="L34" s="20"/>
    </row>
    <row r="35" spans="1:12" s="50" customFormat="1" ht="11.25" customHeight="1">
      <c r="A35" s="637" t="s">
        <v>757</v>
      </c>
      <c r="B35" s="639" t="s">
        <v>564</v>
      </c>
      <c r="C35" s="506">
        <v>6624.3391799999999</v>
      </c>
      <c r="D35" s="506">
        <v>0</v>
      </c>
      <c r="E35" s="506">
        <v>0</v>
      </c>
      <c r="F35" s="506">
        <v>6624.3391799999999</v>
      </c>
      <c r="G35" s="639" t="s">
        <v>732</v>
      </c>
      <c r="H35" s="506">
        <v>6710.6748600000001</v>
      </c>
      <c r="I35" s="506">
        <v>0</v>
      </c>
      <c r="J35" s="506">
        <v>0</v>
      </c>
      <c r="K35" s="506">
        <v>6710.6748600000001</v>
      </c>
      <c r="L35" s="29"/>
    </row>
    <row r="36" spans="1:12" s="50" customFormat="1" ht="11.25" customHeight="1">
      <c r="A36" s="637" t="s">
        <v>758</v>
      </c>
      <c r="B36" s="639" t="s">
        <v>562</v>
      </c>
      <c r="C36" s="505">
        <v>6593.1188400000001</v>
      </c>
      <c r="D36" s="505">
        <v>0</v>
      </c>
      <c r="E36" s="505">
        <v>0</v>
      </c>
      <c r="F36" s="505">
        <v>6593.1188400000001</v>
      </c>
      <c r="G36" s="639" t="s">
        <v>732</v>
      </c>
      <c r="H36" s="505">
        <v>6662.1971000000003</v>
      </c>
      <c r="I36" s="505">
        <v>0</v>
      </c>
      <c r="J36" s="505">
        <v>0</v>
      </c>
      <c r="K36" s="505">
        <v>6662.1971000000003</v>
      </c>
      <c r="L36" s="29"/>
    </row>
    <row r="37" spans="1:12" s="50" customFormat="1" ht="11.25" customHeight="1">
      <c r="A37" s="637" t="s">
        <v>759</v>
      </c>
      <c r="B37" s="639" t="s">
        <v>559</v>
      </c>
      <c r="C37" s="505">
        <v>6527.8297400000001</v>
      </c>
      <c r="D37" s="505">
        <v>0</v>
      </c>
      <c r="E37" s="505">
        <v>0</v>
      </c>
      <c r="F37" s="505">
        <v>6527.8297400000001</v>
      </c>
      <c r="G37" s="639" t="s">
        <v>555</v>
      </c>
      <c r="H37" s="505">
        <v>6567.71976</v>
      </c>
      <c r="I37" s="505">
        <v>0</v>
      </c>
      <c r="J37" s="505">
        <v>0</v>
      </c>
      <c r="K37" s="505">
        <v>6567.71976</v>
      </c>
      <c r="L37" s="29"/>
    </row>
    <row r="38" spans="1:12" s="50" customFormat="1" ht="11.25" customHeight="1">
      <c r="A38" s="637" t="s">
        <v>760</v>
      </c>
      <c r="B38" s="639" t="s">
        <v>564</v>
      </c>
      <c r="C38" s="505">
        <v>6475.3173100000004</v>
      </c>
      <c r="D38" s="505">
        <v>0</v>
      </c>
      <c r="E38" s="505">
        <v>0</v>
      </c>
      <c r="F38" s="505">
        <v>6475.3173100000004</v>
      </c>
      <c r="G38" s="639" t="s">
        <v>732</v>
      </c>
      <c r="H38" s="505">
        <v>6565.6580299999996</v>
      </c>
      <c r="I38" s="505">
        <v>0</v>
      </c>
      <c r="J38" s="505">
        <v>0</v>
      </c>
      <c r="K38" s="505">
        <v>6565.6580299999996</v>
      </c>
      <c r="L38" s="29"/>
    </row>
    <row r="39" spans="1:12" s="50" customFormat="1" ht="11.25" customHeight="1">
      <c r="A39" s="637" t="s">
        <v>761</v>
      </c>
      <c r="B39" s="639" t="s">
        <v>561</v>
      </c>
      <c r="C39" s="505">
        <v>6393.1300099999999</v>
      </c>
      <c r="D39" s="505">
        <v>0</v>
      </c>
      <c r="E39" s="505">
        <v>0</v>
      </c>
      <c r="F39" s="505">
        <v>6393.1300099999999</v>
      </c>
      <c r="G39" s="639" t="s">
        <v>563</v>
      </c>
      <c r="H39" s="505">
        <v>6508.3885399999999</v>
      </c>
      <c r="I39" s="505">
        <v>0</v>
      </c>
      <c r="J39" s="505">
        <v>0</v>
      </c>
      <c r="K39" s="505">
        <v>6508.3885399999999</v>
      </c>
      <c r="L39" s="29"/>
    </row>
    <row r="40" spans="1:12" s="50" customFormat="1" ht="11.25" customHeight="1">
      <c r="A40" s="637" t="s">
        <v>762</v>
      </c>
      <c r="B40" s="639" t="s">
        <v>763</v>
      </c>
      <c r="C40" s="505">
        <v>5637.2279799999997</v>
      </c>
      <c r="D40" s="505">
        <v>0</v>
      </c>
      <c r="E40" s="505">
        <v>0</v>
      </c>
      <c r="F40" s="505">
        <v>5637.2279799999997</v>
      </c>
      <c r="G40" s="639" t="s">
        <v>557</v>
      </c>
      <c r="H40" s="505">
        <v>6224.5673100000004</v>
      </c>
      <c r="I40" s="505">
        <v>0</v>
      </c>
      <c r="J40" s="505">
        <v>0</v>
      </c>
      <c r="K40" s="505">
        <v>6224.5673100000004</v>
      </c>
      <c r="L40" s="29"/>
    </row>
    <row r="41" spans="1:12" s="50" customFormat="1" ht="11.25" customHeight="1">
      <c r="A41" s="637" t="s">
        <v>764</v>
      </c>
      <c r="B41" s="639" t="s">
        <v>554</v>
      </c>
      <c r="C41" s="505">
        <v>6339.8823300000004</v>
      </c>
      <c r="D41" s="505">
        <v>0</v>
      </c>
      <c r="E41" s="505">
        <v>0</v>
      </c>
      <c r="F41" s="505">
        <v>6339.8823300000004</v>
      </c>
      <c r="G41" s="639" t="s">
        <v>563</v>
      </c>
      <c r="H41" s="505">
        <v>6438.0441600000004</v>
      </c>
      <c r="I41" s="505">
        <v>0</v>
      </c>
      <c r="J41" s="505">
        <v>0</v>
      </c>
      <c r="K41" s="505">
        <v>6438.0441600000004</v>
      </c>
      <c r="L41" s="29"/>
    </row>
    <row r="42" spans="1:12" s="50" customFormat="1" ht="11.25" customHeight="1">
      <c r="A42" s="272"/>
      <c r="B42" s="272"/>
      <c r="C42" s="272"/>
      <c r="D42" s="272"/>
      <c r="E42" s="272"/>
      <c r="F42" s="272"/>
      <c r="G42" s="272"/>
      <c r="H42" s="272"/>
      <c r="I42" s="272"/>
      <c r="J42" s="272"/>
      <c r="K42" s="274"/>
      <c r="L42" s="29"/>
    </row>
    <row r="43" spans="1:12" s="50" customFormat="1" ht="11.25" customHeight="1">
      <c r="A43" s="272"/>
      <c r="B43" s="272"/>
      <c r="C43" s="272"/>
      <c r="D43" s="272"/>
      <c r="E43" s="272"/>
      <c r="F43" s="272"/>
      <c r="G43" s="272"/>
      <c r="H43" s="272"/>
      <c r="I43" s="272"/>
      <c r="J43" s="272"/>
      <c r="K43" s="274"/>
      <c r="L43" s="29"/>
    </row>
    <row r="44" spans="1:12" s="50" customFormat="1" ht="11.25" customHeight="1">
      <c r="A44" s="272"/>
      <c r="B44" s="272"/>
      <c r="C44" s="272"/>
      <c r="D44" s="272"/>
      <c r="E44" s="272"/>
      <c r="F44" s="272"/>
      <c r="G44" s="272"/>
      <c r="H44" s="272"/>
      <c r="I44" s="272"/>
      <c r="J44" s="272"/>
      <c r="K44" s="274"/>
      <c r="L44" s="29"/>
    </row>
    <row r="45" spans="1:12" s="50" customFormat="1" ht="11.25" customHeight="1">
      <c r="A45" s="272"/>
      <c r="B45" s="272"/>
      <c r="C45" s="272"/>
      <c r="D45" s="272"/>
      <c r="E45" s="272"/>
      <c r="F45" s="272"/>
      <c r="G45" s="272"/>
      <c r="H45" s="272"/>
      <c r="I45" s="272"/>
      <c r="J45" s="272"/>
      <c r="K45" s="274"/>
      <c r="L45" s="29"/>
    </row>
    <row r="46" spans="1:12" s="50" customFormat="1" ht="11.25" customHeight="1">
      <c r="A46" s="272"/>
      <c r="B46" s="272"/>
      <c r="C46" s="272"/>
      <c r="D46" s="272"/>
      <c r="E46" s="272"/>
      <c r="F46" s="272"/>
      <c r="G46" s="272"/>
      <c r="H46" s="272"/>
      <c r="I46" s="272"/>
      <c r="J46" s="272"/>
      <c r="K46" s="274"/>
      <c r="L46" s="29"/>
    </row>
    <row r="47" spans="1:12" s="50" customFormat="1" ht="11.25" customHeight="1">
      <c r="A47" s="272"/>
      <c r="B47" s="272"/>
      <c r="C47" s="272"/>
      <c r="D47" s="272"/>
      <c r="E47" s="272"/>
      <c r="F47" s="272"/>
      <c r="G47" s="272"/>
      <c r="H47" s="272"/>
      <c r="I47" s="272"/>
      <c r="J47" s="272"/>
      <c r="K47" s="274"/>
      <c r="L47" s="29"/>
    </row>
    <row r="48" spans="1:12" s="50" customFormat="1" ht="11.25" customHeight="1">
      <c r="A48" s="272"/>
      <c r="B48" s="272"/>
      <c r="C48" s="272"/>
      <c r="D48" s="272"/>
      <c r="E48" s="272"/>
      <c r="F48" s="272"/>
      <c r="G48" s="272"/>
      <c r="H48" s="272"/>
      <c r="I48" s="272"/>
      <c r="J48" s="272"/>
      <c r="K48" s="276"/>
      <c r="L48" s="58"/>
    </row>
    <row r="49" spans="1:12" s="50" customFormat="1" ht="11.25" customHeight="1">
      <c r="A49" s="272"/>
      <c r="B49" s="272"/>
      <c r="C49" s="272"/>
      <c r="D49" s="272"/>
      <c r="E49" s="272"/>
      <c r="F49" s="272"/>
      <c r="G49" s="272"/>
      <c r="H49" s="272"/>
      <c r="I49" s="272"/>
      <c r="J49" s="272"/>
      <c r="K49" s="276"/>
      <c r="L49" s="59"/>
    </row>
    <row r="50" spans="1:12" s="50" customFormat="1" ht="11.25" customHeight="1">
      <c r="A50" s="272"/>
      <c r="B50" s="272"/>
      <c r="C50" s="272"/>
      <c r="D50" s="272"/>
      <c r="E50" s="272"/>
      <c r="F50" s="272"/>
      <c r="G50" s="272"/>
      <c r="H50" s="272"/>
      <c r="I50" s="272"/>
      <c r="J50" s="272"/>
      <c r="K50" s="276"/>
      <c r="L50" s="59"/>
    </row>
    <row r="51" spans="1:12" s="50" customFormat="1" ht="11.25" customHeight="1">
      <c r="A51" s="272"/>
      <c r="B51" s="272"/>
      <c r="C51" s="272"/>
      <c r="D51" s="272"/>
      <c r="E51" s="272"/>
      <c r="F51" s="272"/>
      <c r="G51" s="272"/>
      <c r="H51" s="272"/>
      <c r="I51" s="272"/>
      <c r="J51" s="272"/>
      <c r="K51" s="274"/>
    </row>
    <row r="52" spans="1:12" s="50" customFormat="1" ht="11.25" customHeight="1">
      <c r="A52" s="272"/>
      <c r="B52" s="272"/>
      <c r="C52" s="272"/>
      <c r="D52" s="272"/>
      <c r="E52" s="272"/>
      <c r="F52" s="272"/>
      <c r="G52" s="272"/>
      <c r="H52" s="272"/>
      <c r="I52" s="272"/>
      <c r="J52" s="272"/>
      <c r="K52" s="274"/>
    </row>
    <row r="53" spans="1:12" s="50" customFormat="1" ht="12.75">
      <c r="A53" s="272"/>
      <c r="B53" s="272"/>
      <c r="C53" s="272"/>
      <c r="D53" s="272"/>
      <c r="E53" s="272"/>
      <c r="F53" s="272"/>
      <c r="G53" s="272"/>
      <c r="H53" s="272"/>
      <c r="I53" s="272"/>
      <c r="J53" s="272"/>
      <c r="K53" s="274"/>
    </row>
    <row r="54" spans="1:12" s="50" customFormat="1" ht="12.75">
      <c r="A54" s="272"/>
      <c r="B54" s="272"/>
      <c r="C54" s="272"/>
      <c r="D54" s="272"/>
      <c r="E54" s="272"/>
      <c r="F54" s="272"/>
      <c r="G54" s="272"/>
      <c r="H54" s="272"/>
      <c r="I54" s="272"/>
      <c r="J54" s="272"/>
      <c r="K54" s="274"/>
    </row>
    <row r="55" spans="1:12" s="50" customFormat="1" ht="12.75">
      <c r="A55" s="272"/>
      <c r="B55" s="272"/>
      <c r="C55" s="272"/>
      <c r="D55" s="272"/>
      <c r="E55" s="272"/>
      <c r="F55" s="272"/>
      <c r="G55" s="272"/>
      <c r="H55" s="272"/>
      <c r="I55" s="272"/>
      <c r="J55" s="272"/>
      <c r="K55" s="274"/>
    </row>
    <row r="56" spans="1:12" s="50" customFormat="1" ht="12.75">
      <c r="A56" s="272"/>
      <c r="B56" s="272"/>
      <c r="C56" s="272"/>
      <c r="D56" s="272"/>
      <c r="E56" s="272"/>
      <c r="F56" s="272"/>
      <c r="G56" s="272"/>
      <c r="H56" s="272"/>
      <c r="I56" s="272"/>
      <c r="J56" s="272"/>
      <c r="K56" s="274"/>
    </row>
    <row r="57" spans="1:12" s="50" customFormat="1" ht="12.75">
      <c r="A57" s="272"/>
      <c r="B57" s="272"/>
      <c r="C57" s="272"/>
      <c r="D57" s="272"/>
      <c r="E57" s="272"/>
      <c r="F57" s="272"/>
      <c r="G57" s="272"/>
      <c r="H57" s="272"/>
      <c r="I57" s="272"/>
      <c r="J57" s="272"/>
      <c r="K57" s="274"/>
    </row>
    <row r="58" spans="1:12" s="50" customFormat="1" ht="12.75">
      <c r="A58" s="272"/>
      <c r="B58" s="132"/>
      <c r="C58" s="132"/>
      <c r="D58" s="132"/>
      <c r="E58" s="132"/>
      <c r="F58" s="132"/>
      <c r="G58" s="132"/>
      <c r="H58" s="132"/>
      <c r="I58" s="132"/>
      <c r="J58" s="132"/>
      <c r="K58" s="274"/>
    </row>
    <row r="59" spans="1:12" s="50" customFormat="1" ht="12.75">
      <c r="A59" s="272"/>
      <c r="B59" s="132"/>
      <c r="C59" s="132"/>
      <c r="D59" s="132"/>
      <c r="E59" s="132"/>
      <c r="F59" s="132"/>
      <c r="G59" s="132"/>
      <c r="H59" s="132"/>
      <c r="I59" s="132"/>
      <c r="J59" s="132"/>
      <c r="K59" s="274"/>
    </row>
    <row r="60" spans="1:12" s="50" customFormat="1" ht="12.75">
      <c r="A60" s="272"/>
      <c r="B60" s="132"/>
      <c r="C60" s="132"/>
      <c r="D60" s="132"/>
      <c r="E60" s="132"/>
      <c r="F60" s="132"/>
      <c r="G60" s="132"/>
      <c r="H60" s="132"/>
      <c r="I60" s="132"/>
      <c r="J60" s="132"/>
      <c r="K60" s="274"/>
    </row>
    <row r="61" spans="1:12" s="50" customFormat="1" ht="12.75">
      <c r="A61" s="272"/>
      <c r="B61" s="132"/>
      <c r="C61" s="132"/>
      <c r="D61" s="132"/>
      <c r="E61" s="132"/>
      <c r="F61" s="132"/>
      <c r="G61" s="132"/>
      <c r="H61" s="132"/>
      <c r="I61" s="132"/>
      <c r="J61" s="132"/>
      <c r="K61" s="274"/>
    </row>
    <row r="62" spans="1:12" s="50" customFormat="1" ht="12.75">
      <c r="A62" s="272"/>
      <c r="B62" s="132"/>
      <c r="C62" s="132"/>
      <c r="D62" s="132"/>
      <c r="E62" s="132"/>
      <c r="F62" s="132"/>
      <c r="G62" s="132"/>
      <c r="H62" s="132"/>
      <c r="I62" s="132"/>
      <c r="J62" s="132"/>
      <c r="K62" s="274"/>
    </row>
    <row r="63" spans="1:12" s="50" customFormat="1" ht="12.75">
      <c r="A63" s="272"/>
      <c r="B63" s="273"/>
      <c r="C63" s="273"/>
      <c r="D63" s="273"/>
      <c r="E63" s="273"/>
      <c r="F63" s="273"/>
      <c r="G63" s="273"/>
      <c r="H63" s="273"/>
      <c r="I63" s="273"/>
      <c r="J63" s="273"/>
      <c r="K63" s="274"/>
    </row>
    <row r="64" spans="1:12" s="50" customFormat="1" ht="12.75">
      <c r="A64" s="272"/>
      <c r="B64" s="273"/>
      <c r="C64" s="273"/>
      <c r="D64" s="273"/>
      <c r="E64" s="273"/>
      <c r="F64" s="273"/>
      <c r="G64" s="273"/>
      <c r="H64" s="273"/>
      <c r="I64" s="273"/>
      <c r="J64" s="273"/>
      <c r="K64" s="274"/>
    </row>
    <row r="65" spans="1:11" s="50" customFormat="1" ht="12.75">
      <c r="A65" s="272"/>
      <c r="B65" s="277"/>
      <c r="C65" s="274"/>
      <c r="D65" s="274"/>
      <c r="E65" s="274"/>
      <c r="F65" s="274"/>
      <c r="G65" s="273"/>
      <c r="H65" s="273"/>
      <c r="I65" s="273"/>
      <c r="J65" s="273"/>
      <c r="K65" s="274"/>
    </row>
    <row r="66" spans="1:11" s="50" customFormat="1" ht="12.75">
      <c r="A66" s="278"/>
      <c r="B66" s="279"/>
      <c r="C66" s="279"/>
      <c r="D66" s="279"/>
      <c r="E66" s="279"/>
      <c r="F66" s="279"/>
      <c r="G66" s="279"/>
      <c r="H66" s="273"/>
      <c r="I66" s="273"/>
      <c r="J66" s="273"/>
      <c r="K66" s="274"/>
    </row>
    <row r="67" spans="1:11" s="50" customFormat="1" ht="12.75">
      <c r="A67" s="278"/>
      <c r="B67" s="279"/>
      <c r="C67" s="279"/>
      <c r="D67" s="279"/>
      <c r="E67" s="279"/>
      <c r="F67" s="279"/>
      <c r="G67" s="279"/>
      <c r="H67" s="273"/>
      <c r="I67" s="273"/>
      <c r="J67" s="273"/>
      <c r="K67" s="273"/>
    </row>
    <row r="68" spans="1:11" s="50" customFormat="1" ht="12.75">
      <c r="A68" s="278"/>
      <c r="B68" s="279"/>
      <c r="C68" s="279"/>
      <c r="D68" s="279"/>
      <c r="E68" s="279"/>
      <c r="F68" s="279"/>
      <c r="G68" s="279"/>
      <c r="H68" s="273"/>
      <c r="I68" s="273"/>
      <c r="J68" s="273"/>
      <c r="K68" s="273"/>
    </row>
  </sheetData>
  <mergeCells count="3">
    <mergeCell ref="A9:A11"/>
    <mergeCell ref="B9:F9"/>
    <mergeCell ref="G9:K9"/>
  </mergeCells>
  <pageMargins left="0.7" right="0.7" top="0.86956521739130432" bottom="0.61458333333333337" header="0.3" footer="0.3"/>
  <pageSetup orientation="portrait" r:id="rId1"/>
  <headerFooter>
    <oddHeader>&amp;R&amp;7Informe de la Operación Mensual - Abril 2018
INFSGI-MES-04-2018
10/05/2018
Versión: 01</oddHeader>
    <oddFooter>&amp;L&amp;7COES SINAC, 2018
&amp;C24&amp;R&amp;7Dirección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E39E0-705A-4D89-9F74-B7CD13CD2C0A}">
  <sheetPr>
    <tabColor theme="4"/>
  </sheetPr>
  <dimension ref="A1:J163"/>
  <sheetViews>
    <sheetView showGridLines="0" view="pageBreakPreview" zoomScale="145" zoomScaleNormal="100" zoomScaleSheetLayoutView="145" zoomScalePageLayoutView="130" workbookViewId="0">
      <selection activeCell="P17" sqref="P17"/>
    </sheetView>
  </sheetViews>
  <sheetFormatPr defaultRowHeight="9"/>
  <cols>
    <col min="1" max="1" width="16.1640625" style="512" customWidth="1"/>
    <col min="2" max="2" width="19.6640625" style="512" customWidth="1"/>
    <col min="3" max="3" width="12.1640625" style="512" bestFit="1" customWidth="1"/>
    <col min="4" max="4" width="47.1640625" style="512" customWidth="1"/>
    <col min="5" max="5" width="11.5" style="512" customWidth="1"/>
    <col min="6" max="6" width="10.5" style="512" customWidth="1"/>
    <col min="7" max="8" width="9.33203125" style="512" customWidth="1"/>
    <col min="9" max="10" width="9.33203125" style="512"/>
    <col min="11" max="16384" width="9.33203125" style="521"/>
  </cols>
  <sheetData>
    <row r="1" spans="1:9" s="512" customFormat="1" ht="11.25" customHeight="1">
      <c r="A1" s="510" t="s">
        <v>479</v>
      </c>
      <c r="B1" s="511"/>
      <c r="C1" s="511"/>
      <c r="D1" s="511"/>
      <c r="E1" s="511"/>
      <c r="F1" s="511"/>
    </row>
    <row r="2" spans="1:9" s="512" customFormat="1" ht="30" customHeight="1">
      <c r="A2" s="523" t="s">
        <v>294</v>
      </c>
      <c r="B2" s="524" t="s">
        <v>480</v>
      </c>
      <c r="C2" s="523" t="s">
        <v>469</v>
      </c>
      <c r="D2" s="525" t="s">
        <v>481</v>
      </c>
      <c r="E2" s="526" t="s">
        <v>482</v>
      </c>
      <c r="F2" s="526" t="s">
        <v>483</v>
      </c>
      <c r="G2" s="478"/>
      <c r="H2" s="513"/>
      <c r="I2" s="476"/>
    </row>
    <row r="3" spans="1:9" s="512" customFormat="1" ht="69.75" customHeight="1">
      <c r="A3" s="709" t="s">
        <v>97</v>
      </c>
      <c r="B3" s="709" t="s">
        <v>549</v>
      </c>
      <c r="C3" s="710">
        <v>43191.40902777778</v>
      </c>
      <c r="D3" s="711" t="s">
        <v>623</v>
      </c>
      <c r="E3" s="712">
        <v>0.31</v>
      </c>
      <c r="F3" s="712"/>
      <c r="H3" s="478"/>
      <c r="I3" s="476"/>
    </row>
    <row r="4" spans="1:9" s="512" customFormat="1" ht="81" customHeight="1">
      <c r="A4" s="713" t="s">
        <v>624</v>
      </c>
      <c r="B4" s="713" t="s">
        <v>625</v>
      </c>
      <c r="C4" s="714">
        <v>43191.775000000001</v>
      </c>
      <c r="D4" s="715" t="s">
        <v>626</v>
      </c>
      <c r="E4" s="716">
        <v>15.73</v>
      </c>
      <c r="F4" s="716"/>
      <c r="G4" s="477"/>
      <c r="H4" s="477"/>
      <c r="I4" s="514"/>
    </row>
    <row r="5" spans="1:9" s="512" customFormat="1" ht="100.5" customHeight="1">
      <c r="A5" s="713" t="s">
        <v>550</v>
      </c>
      <c r="B5" s="713" t="s">
        <v>627</v>
      </c>
      <c r="C5" s="714">
        <v>43194.436111111114</v>
      </c>
      <c r="D5" s="715" t="s">
        <v>628</v>
      </c>
      <c r="E5" s="716">
        <v>180</v>
      </c>
      <c r="F5" s="716"/>
      <c r="G5" s="477"/>
      <c r="H5" s="477"/>
      <c r="I5" s="515"/>
    </row>
    <row r="6" spans="1:9" s="512" customFormat="1" ht="77.25" customHeight="1">
      <c r="A6" s="713" t="s">
        <v>491</v>
      </c>
      <c r="B6" s="713" t="s">
        <v>629</v>
      </c>
      <c r="C6" s="714">
        <v>43194.54583333333</v>
      </c>
      <c r="D6" s="715" t="s">
        <v>630</v>
      </c>
      <c r="E6" s="716">
        <v>2.41</v>
      </c>
      <c r="F6" s="716"/>
      <c r="G6" s="477"/>
      <c r="H6" s="477"/>
      <c r="I6" s="516"/>
    </row>
    <row r="7" spans="1:9" s="512" customFormat="1" ht="60.75" customHeight="1">
      <c r="A7" s="713" t="s">
        <v>99</v>
      </c>
      <c r="B7" s="713" t="s">
        <v>631</v>
      </c>
      <c r="C7" s="714">
        <v>43194.628472222219</v>
      </c>
      <c r="D7" s="715" t="s">
        <v>632</v>
      </c>
      <c r="E7" s="716"/>
      <c r="F7" s="716">
        <v>4.0999999999999996</v>
      </c>
      <c r="G7" s="477"/>
      <c r="H7" s="477"/>
      <c r="I7" s="517"/>
    </row>
    <row r="8" spans="1:9" s="512" customFormat="1" ht="119.25" customHeight="1">
      <c r="A8" s="713" t="s">
        <v>99</v>
      </c>
      <c r="B8" s="713" t="s">
        <v>633</v>
      </c>
      <c r="C8" s="714">
        <v>43194.640277777777</v>
      </c>
      <c r="D8" s="715" t="s">
        <v>634</v>
      </c>
      <c r="E8" s="716"/>
      <c r="F8" s="716">
        <v>21.2</v>
      </c>
      <c r="G8" s="477"/>
      <c r="H8" s="477"/>
      <c r="I8" s="516"/>
    </row>
    <row r="9" spans="1:9" s="512" customFormat="1" ht="76.5" customHeight="1">
      <c r="A9" s="713" t="s">
        <v>485</v>
      </c>
      <c r="B9" s="713" t="s">
        <v>486</v>
      </c>
      <c r="C9" s="714">
        <v>43195.15902777778</v>
      </c>
      <c r="D9" s="715" t="s">
        <v>635</v>
      </c>
      <c r="E9" s="716">
        <v>7.07</v>
      </c>
      <c r="F9" s="716"/>
      <c r="G9" s="477"/>
      <c r="H9" s="477"/>
      <c r="I9" s="516"/>
    </row>
    <row r="10" spans="1:9" s="512" customFormat="1" ht="102" customHeight="1">
      <c r="A10" s="713" t="s">
        <v>495</v>
      </c>
      <c r="B10" s="713" t="s">
        <v>636</v>
      </c>
      <c r="C10" s="714">
        <v>43195.362500000003</v>
      </c>
      <c r="D10" s="715" t="s">
        <v>637</v>
      </c>
      <c r="E10" s="716">
        <v>32.24</v>
      </c>
      <c r="F10" s="716"/>
      <c r="G10" s="477"/>
      <c r="H10" s="477"/>
      <c r="I10" s="516"/>
    </row>
    <row r="11" spans="1:9">
      <c r="E11" s="522"/>
      <c r="F11" s="522"/>
    </row>
    <row r="12" spans="1:9">
      <c r="E12" s="522"/>
      <c r="F12" s="522"/>
    </row>
    <row r="13" spans="1:9">
      <c r="E13" s="522"/>
      <c r="F13" s="522"/>
    </row>
    <row r="14" spans="1:9">
      <c r="E14" s="522"/>
      <c r="F14" s="522"/>
    </row>
    <row r="15" spans="1:9">
      <c r="E15" s="522"/>
      <c r="F15" s="522"/>
    </row>
    <row r="16" spans="1:9">
      <c r="E16" s="522"/>
      <c r="F16" s="522"/>
    </row>
    <row r="17" spans="5:6">
      <c r="E17" s="522"/>
      <c r="F17" s="522"/>
    </row>
    <row r="18" spans="5:6">
      <c r="E18" s="522"/>
      <c r="F18" s="522"/>
    </row>
    <row r="19" spans="5:6">
      <c r="E19" s="522"/>
      <c r="F19" s="522"/>
    </row>
    <row r="20" spans="5:6">
      <c r="E20" s="522"/>
      <c r="F20" s="522"/>
    </row>
    <row r="21" spans="5:6">
      <c r="E21" s="522"/>
      <c r="F21" s="522"/>
    </row>
    <row r="22" spans="5:6">
      <c r="E22" s="522"/>
      <c r="F22" s="522"/>
    </row>
    <row r="23" spans="5:6">
      <c r="E23" s="522"/>
      <c r="F23" s="522"/>
    </row>
    <row r="24" spans="5:6">
      <c r="E24" s="522"/>
      <c r="F24" s="522"/>
    </row>
    <row r="25" spans="5:6">
      <c r="E25" s="522"/>
      <c r="F25" s="522"/>
    </row>
    <row r="26" spans="5:6">
      <c r="E26" s="522"/>
      <c r="F26" s="522"/>
    </row>
    <row r="27" spans="5:6">
      <c r="E27" s="522"/>
      <c r="F27" s="522"/>
    </row>
    <row r="28" spans="5:6">
      <c r="E28" s="522"/>
      <c r="F28" s="522"/>
    </row>
    <row r="29" spans="5:6">
      <c r="E29" s="522"/>
      <c r="F29" s="522"/>
    </row>
    <row r="30" spans="5:6">
      <c r="E30" s="522"/>
      <c r="F30" s="522"/>
    </row>
    <row r="31" spans="5:6">
      <c r="E31" s="522"/>
      <c r="F31" s="522"/>
    </row>
    <row r="32" spans="5:6">
      <c r="E32" s="522"/>
      <c r="F32" s="522"/>
    </row>
    <row r="33" spans="5:6">
      <c r="E33" s="522"/>
      <c r="F33" s="522"/>
    </row>
    <row r="34" spans="5:6">
      <c r="E34" s="522"/>
      <c r="F34" s="522"/>
    </row>
    <row r="35" spans="5:6">
      <c r="E35" s="522"/>
      <c r="F35" s="522"/>
    </row>
    <row r="36" spans="5:6">
      <c r="E36" s="522"/>
      <c r="F36" s="522"/>
    </row>
    <row r="37" spans="5:6">
      <c r="E37" s="522"/>
      <c r="F37" s="522"/>
    </row>
    <row r="38" spans="5:6">
      <c r="E38" s="522"/>
      <c r="F38" s="522"/>
    </row>
    <row r="39" spans="5:6">
      <c r="E39" s="522"/>
      <c r="F39" s="522"/>
    </row>
    <row r="40" spans="5:6">
      <c r="E40" s="522"/>
      <c r="F40" s="522"/>
    </row>
    <row r="41" spans="5:6">
      <c r="E41" s="522"/>
      <c r="F41" s="522"/>
    </row>
    <row r="42" spans="5:6">
      <c r="E42" s="522"/>
      <c r="F42" s="522"/>
    </row>
    <row r="43" spans="5:6">
      <c r="E43" s="522"/>
      <c r="F43" s="522"/>
    </row>
    <row r="44" spans="5:6">
      <c r="E44" s="522"/>
      <c r="F44" s="522"/>
    </row>
    <row r="45" spans="5:6">
      <c r="E45" s="522"/>
      <c r="F45" s="522"/>
    </row>
    <row r="46" spans="5:6">
      <c r="E46" s="522"/>
      <c r="F46" s="522"/>
    </row>
    <row r="47" spans="5:6">
      <c r="E47" s="522"/>
      <c r="F47" s="522"/>
    </row>
    <row r="48" spans="5:6">
      <c r="E48" s="522"/>
      <c r="F48" s="522"/>
    </row>
    <row r="49" spans="5:6">
      <c r="E49" s="522"/>
      <c r="F49" s="522"/>
    </row>
    <row r="50" spans="5:6">
      <c r="E50" s="522"/>
      <c r="F50" s="522"/>
    </row>
    <row r="51" spans="5:6">
      <c r="E51" s="522"/>
      <c r="F51" s="522"/>
    </row>
    <row r="52" spans="5:6">
      <c r="E52" s="522"/>
      <c r="F52" s="522"/>
    </row>
    <row r="53" spans="5:6">
      <c r="E53" s="522"/>
      <c r="F53" s="522"/>
    </row>
    <row r="54" spans="5:6">
      <c r="E54" s="522"/>
      <c r="F54" s="522"/>
    </row>
    <row r="55" spans="5:6">
      <c r="E55" s="522"/>
      <c r="F55" s="522"/>
    </row>
    <row r="56" spans="5:6">
      <c r="E56" s="522"/>
      <c r="F56" s="522"/>
    </row>
    <row r="57" spans="5:6">
      <c r="E57" s="522"/>
      <c r="F57" s="522"/>
    </row>
    <row r="58" spans="5:6">
      <c r="E58" s="522"/>
      <c r="F58" s="522"/>
    </row>
    <row r="59" spans="5:6">
      <c r="E59" s="522"/>
      <c r="F59" s="522"/>
    </row>
    <row r="60" spans="5:6">
      <c r="E60" s="522"/>
      <c r="F60" s="522"/>
    </row>
    <row r="61" spans="5:6">
      <c r="E61" s="522"/>
      <c r="F61" s="522"/>
    </row>
    <row r="62" spans="5:6">
      <c r="E62" s="522"/>
      <c r="F62" s="522"/>
    </row>
    <row r="63" spans="5:6">
      <c r="E63" s="522"/>
      <c r="F63" s="522"/>
    </row>
    <row r="64" spans="5:6">
      <c r="E64" s="522"/>
      <c r="F64" s="522"/>
    </row>
    <row r="65" spans="5:6">
      <c r="E65" s="522"/>
      <c r="F65" s="522"/>
    </row>
    <row r="66" spans="5:6">
      <c r="E66" s="522"/>
      <c r="F66" s="522"/>
    </row>
    <row r="67" spans="5:6">
      <c r="E67" s="522"/>
      <c r="F67" s="522"/>
    </row>
    <row r="68" spans="5:6">
      <c r="E68" s="522"/>
      <c r="F68" s="522"/>
    </row>
    <row r="69" spans="5:6">
      <c r="E69" s="522"/>
      <c r="F69" s="522"/>
    </row>
    <row r="70" spans="5:6">
      <c r="E70" s="522"/>
      <c r="F70" s="522"/>
    </row>
    <row r="71" spans="5:6">
      <c r="E71" s="522"/>
      <c r="F71" s="522"/>
    </row>
    <row r="72" spans="5:6">
      <c r="E72" s="522"/>
      <c r="F72" s="522"/>
    </row>
    <row r="73" spans="5:6">
      <c r="E73" s="522"/>
      <c r="F73" s="522"/>
    </row>
    <row r="74" spans="5:6">
      <c r="E74" s="522"/>
      <c r="F74" s="522"/>
    </row>
    <row r="75" spans="5:6">
      <c r="E75" s="522"/>
      <c r="F75" s="522"/>
    </row>
    <row r="76" spans="5:6">
      <c r="E76" s="522"/>
      <c r="F76" s="522"/>
    </row>
    <row r="77" spans="5:6">
      <c r="E77" s="522"/>
      <c r="F77" s="522"/>
    </row>
    <row r="78" spans="5:6">
      <c r="E78" s="522"/>
      <c r="F78" s="522"/>
    </row>
    <row r="79" spans="5:6">
      <c r="E79" s="522"/>
      <c r="F79" s="522"/>
    </row>
    <row r="80" spans="5:6">
      <c r="E80" s="522"/>
      <c r="F80" s="522"/>
    </row>
    <row r="81" spans="5:6">
      <c r="E81" s="522"/>
      <c r="F81" s="522"/>
    </row>
    <row r="82" spans="5:6">
      <c r="E82" s="522"/>
      <c r="F82" s="522"/>
    </row>
    <row r="83" spans="5:6">
      <c r="E83" s="522"/>
      <c r="F83" s="522"/>
    </row>
    <row r="84" spans="5:6">
      <c r="E84" s="522"/>
      <c r="F84" s="522"/>
    </row>
    <row r="85" spans="5:6">
      <c r="E85" s="522"/>
      <c r="F85" s="522"/>
    </row>
    <row r="86" spans="5:6">
      <c r="E86" s="522"/>
      <c r="F86" s="522"/>
    </row>
    <row r="87" spans="5:6">
      <c r="E87" s="522"/>
      <c r="F87" s="522"/>
    </row>
    <row r="88" spans="5:6">
      <c r="E88" s="522"/>
      <c r="F88" s="522"/>
    </row>
    <row r="89" spans="5:6">
      <c r="E89" s="522"/>
      <c r="F89" s="522"/>
    </row>
    <row r="90" spans="5:6">
      <c r="E90" s="522"/>
      <c r="F90" s="522"/>
    </row>
    <row r="91" spans="5:6">
      <c r="E91" s="522"/>
      <c r="F91" s="522"/>
    </row>
    <row r="92" spans="5:6">
      <c r="E92" s="522"/>
      <c r="F92" s="522"/>
    </row>
    <row r="93" spans="5:6">
      <c r="E93" s="522"/>
      <c r="F93" s="522"/>
    </row>
    <row r="94" spans="5:6">
      <c r="E94" s="522"/>
      <c r="F94" s="522"/>
    </row>
    <row r="95" spans="5:6">
      <c r="E95" s="522"/>
      <c r="F95" s="522"/>
    </row>
    <row r="96" spans="5:6">
      <c r="E96" s="522"/>
      <c r="F96" s="522"/>
    </row>
    <row r="97" spans="5:6">
      <c r="E97" s="522"/>
      <c r="F97" s="522"/>
    </row>
    <row r="98" spans="5:6">
      <c r="E98" s="522"/>
      <c r="F98" s="522"/>
    </row>
    <row r="99" spans="5:6">
      <c r="E99" s="522"/>
      <c r="F99" s="522"/>
    </row>
    <row r="100" spans="5:6">
      <c r="E100" s="522"/>
      <c r="F100" s="522"/>
    </row>
    <row r="101" spans="5:6">
      <c r="E101" s="522"/>
      <c r="F101" s="522"/>
    </row>
    <row r="102" spans="5:6">
      <c r="E102" s="522"/>
      <c r="F102" s="522"/>
    </row>
    <row r="103" spans="5:6">
      <c r="E103" s="522"/>
      <c r="F103" s="522"/>
    </row>
    <row r="104" spans="5:6">
      <c r="E104" s="522"/>
      <c r="F104" s="522"/>
    </row>
    <row r="105" spans="5:6">
      <c r="E105" s="522"/>
      <c r="F105" s="522"/>
    </row>
    <row r="106" spans="5:6">
      <c r="E106" s="522"/>
      <c r="F106" s="522"/>
    </row>
    <row r="107" spans="5:6">
      <c r="E107" s="522"/>
      <c r="F107" s="522"/>
    </row>
    <row r="108" spans="5:6">
      <c r="E108" s="522"/>
      <c r="F108" s="522"/>
    </row>
    <row r="109" spans="5:6">
      <c r="E109" s="522"/>
      <c r="F109" s="522"/>
    </row>
    <row r="110" spans="5:6">
      <c r="E110" s="522"/>
      <c r="F110" s="522"/>
    </row>
    <row r="111" spans="5:6">
      <c r="E111" s="522"/>
      <c r="F111" s="522"/>
    </row>
    <row r="112" spans="5:6">
      <c r="E112" s="522"/>
      <c r="F112" s="522"/>
    </row>
    <row r="113" spans="5:6">
      <c r="E113" s="522"/>
      <c r="F113" s="522"/>
    </row>
    <row r="114" spans="5:6">
      <c r="E114" s="522"/>
      <c r="F114" s="522"/>
    </row>
    <row r="115" spans="5:6">
      <c r="E115" s="522"/>
      <c r="F115" s="522"/>
    </row>
    <row r="116" spans="5:6">
      <c r="E116" s="522"/>
      <c r="F116" s="522"/>
    </row>
    <row r="117" spans="5:6">
      <c r="E117" s="522"/>
      <c r="F117" s="522"/>
    </row>
    <row r="118" spans="5:6">
      <c r="E118" s="522"/>
      <c r="F118" s="522"/>
    </row>
    <row r="119" spans="5:6">
      <c r="E119" s="522"/>
      <c r="F119" s="522"/>
    </row>
    <row r="120" spans="5:6">
      <c r="E120" s="522"/>
      <c r="F120" s="522"/>
    </row>
    <row r="121" spans="5:6">
      <c r="E121" s="522"/>
      <c r="F121" s="522"/>
    </row>
    <row r="122" spans="5:6">
      <c r="E122" s="522"/>
      <c r="F122" s="522"/>
    </row>
    <row r="123" spans="5:6">
      <c r="E123" s="522"/>
      <c r="F123" s="522"/>
    </row>
    <row r="124" spans="5:6">
      <c r="E124" s="522"/>
      <c r="F124" s="522"/>
    </row>
    <row r="125" spans="5:6">
      <c r="E125" s="522"/>
      <c r="F125" s="522"/>
    </row>
    <row r="126" spans="5:6">
      <c r="E126" s="522"/>
      <c r="F126" s="522"/>
    </row>
    <row r="127" spans="5:6">
      <c r="E127" s="522"/>
      <c r="F127" s="522"/>
    </row>
    <row r="128" spans="5:6">
      <c r="E128" s="522"/>
      <c r="F128" s="522"/>
    </row>
    <row r="129" spans="5:6">
      <c r="E129" s="522"/>
      <c r="F129" s="522"/>
    </row>
    <row r="130" spans="5:6">
      <c r="E130" s="522"/>
      <c r="F130" s="522"/>
    </row>
    <row r="131" spans="5:6">
      <c r="E131" s="522"/>
      <c r="F131" s="522"/>
    </row>
    <row r="132" spans="5:6">
      <c r="E132" s="522"/>
      <c r="F132" s="522"/>
    </row>
    <row r="133" spans="5:6">
      <c r="E133" s="522"/>
      <c r="F133" s="522"/>
    </row>
    <row r="134" spans="5:6">
      <c r="E134" s="522"/>
      <c r="F134" s="522"/>
    </row>
    <row r="135" spans="5:6">
      <c r="E135" s="522"/>
      <c r="F135" s="522"/>
    </row>
    <row r="136" spans="5:6">
      <c r="E136" s="522"/>
      <c r="F136" s="522"/>
    </row>
    <row r="137" spans="5:6">
      <c r="E137" s="522"/>
      <c r="F137" s="522"/>
    </row>
    <row r="138" spans="5:6">
      <c r="E138" s="522"/>
      <c r="F138" s="522"/>
    </row>
    <row r="139" spans="5:6">
      <c r="E139" s="522"/>
      <c r="F139" s="522"/>
    </row>
    <row r="140" spans="5:6">
      <c r="E140" s="522"/>
      <c r="F140" s="522"/>
    </row>
    <row r="141" spans="5:6">
      <c r="E141" s="522"/>
      <c r="F141" s="522"/>
    </row>
    <row r="142" spans="5:6">
      <c r="E142" s="522"/>
      <c r="F142" s="522"/>
    </row>
    <row r="143" spans="5:6">
      <c r="E143" s="522"/>
      <c r="F143" s="522"/>
    </row>
    <row r="144" spans="5:6">
      <c r="E144" s="522"/>
      <c r="F144" s="522"/>
    </row>
    <row r="145" spans="5:6">
      <c r="E145" s="522"/>
      <c r="F145" s="522"/>
    </row>
    <row r="146" spans="5:6">
      <c r="E146" s="522"/>
      <c r="F146" s="522"/>
    </row>
    <row r="147" spans="5:6">
      <c r="E147" s="522"/>
      <c r="F147" s="522"/>
    </row>
    <row r="148" spans="5:6">
      <c r="E148" s="522"/>
      <c r="F148" s="522"/>
    </row>
    <row r="149" spans="5:6">
      <c r="E149" s="522"/>
      <c r="F149" s="522"/>
    </row>
    <row r="150" spans="5:6">
      <c r="E150" s="522"/>
      <c r="F150" s="522"/>
    </row>
    <row r="151" spans="5:6">
      <c r="E151" s="522"/>
      <c r="F151" s="522"/>
    </row>
    <row r="152" spans="5:6">
      <c r="E152" s="522"/>
      <c r="F152" s="522"/>
    </row>
    <row r="153" spans="5:6">
      <c r="E153" s="522"/>
      <c r="F153" s="522"/>
    </row>
    <row r="154" spans="5:6">
      <c r="E154" s="522"/>
      <c r="F154" s="522"/>
    </row>
    <row r="155" spans="5:6">
      <c r="E155" s="522"/>
      <c r="F155" s="522"/>
    </row>
    <row r="156" spans="5:6">
      <c r="E156" s="522"/>
      <c r="F156" s="522"/>
    </row>
    <row r="157" spans="5:6">
      <c r="E157" s="522"/>
      <c r="F157" s="522"/>
    </row>
    <row r="158" spans="5:6">
      <c r="E158" s="522"/>
      <c r="F158" s="522"/>
    </row>
    <row r="159" spans="5:6">
      <c r="E159" s="522"/>
      <c r="F159" s="522"/>
    </row>
    <row r="160" spans="5:6">
      <c r="E160" s="522"/>
      <c r="F160" s="522"/>
    </row>
    <row r="161" spans="5:6">
      <c r="E161" s="522"/>
      <c r="F161" s="522"/>
    </row>
    <row r="162" spans="5:6">
      <c r="E162" s="522"/>
      <c r="F162" s="522"/>
    </row>
    <row r="163" spans="5:6">
      <c r="E163" s="522"/>
      <c r="F163" s="522"/>
    </row>
  </sheetData>
  <pageMargins left="0.7" right="0.51432291666666663" top="0.86956521739130432" bottom="0.61458333333333337" header="0.3" footer="0.3"/>
  <pageSetup orientation="portrait" r:id="rId1"/>
  <headerFooter>
    <oddHeader>&amp;R&amp;7Informe de la Operación Mensual - Abril 2018
INFSGI-MES-04-2018
10/05/2018
Versión: 01</oddHeader>
    <oddFooter>&amp;L&amp;7COES SINAC, 2018
&amp;C25&amp;R&amp;7Dirección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2B29-AA80-4581-A249-398768758A33}">
  <sheetPr>
    <tabColor theme="4"/>
  </sheetPr>
  <dimension ref="A1:J137"/>
  <sheetViews>
    <sheetView showGridLines="0" view="pageBreakPreview" zoomScale="145" zoomScaleNormal="100" zoomScaleSheetLayoutView="145" zoomScalePageLayoutView="145" workbookViewId="0">
      <selection activeCell="P17" sqref="P17"/>
    </sheetView>
  </sheetViews>
  <sheetFormatPr defaultRowHeight="9"/>
  <cols>
    <col min="1" max="1" width="16.1640625" style="512" customWidth="1"/>
    <col min="2" max="2" width="19.6640625" style="512" customWidth="1"/>
    <col min="3" max="3" width="12.1640625" style="512" bestFit="1" customWidth="1"/>
    <col min="4" max="4" width="47.1640625" style="512" customWidth="1"/>
    <col min="5" max="5" width="11.5" style="512" customWidth="1"/>
    <col min="6" max="6" width="10.5" style="512" customWidth="1"/>
    <col min="7" max="8" width="9.33203125" style="512" customWidth="1"/>
    <col min="9" max="10" width="9.33203125" style="512"/>
    <col min="11" max="16384" width="9.33203125" style="521"/>
  </cols>
  <sheetData>
    <row r="1" spans="1:9" s="512" customFormat="1" ht="30" customHeight="1">
      <c r="A1" s="523" t="s">
        <v>294</v>
      </c>
      <c r="B1" s="524" t="s">
        <v>480</v>
      </c>
      <c r="C1" s="523" t="s">
        <v>469</v>
      </c>
      <c r="D1" s="525" t="s">
        <v>481</v>
      </c>
      <c r="E1" s="526" t="s">
        <v>482</v>
      </c>
      <c r="F1" s="526" t="s">
        <v>483</v>
      </c>
      <c r="G1" s="478"/>
      <c r="H1" s="513"/>
      <c r="I1" s="476"/>
    </row>
    <row r="2" spans="1:9" s="512" customFormat="1" ht="89.25" customHeight="1">
      <c r="A2" s="527" t="s">
        <v>97</v>
      </c>
      <c r="B2" s="527" t="s">
        <v>638</v>
      </c>
      <c r="C2" s="528">
        <v>43195.524305555555</v>
      </c>
      <c r="D2" s="715" t="s">
        <v>639</v>
      </c>
      <c r="E2" s="529">
        <v>27.27</v>
      </c>
      <c r="F2" s="529"/>
      <c r="G2" s="477"/>
      <c r="H2" s="477"/>
      <c r="I2" s="516"/>
    </row>
    <row r="3" spans="1:9" s="512" customFormat="1" ht="102.75" customHeight="1">
      <c r="A3" s="527" t="s">
        <v>496</v>
      </c>
      <c r="B3" s="527" t="s">
        <v>640</v>
      </c>
      <c r="C3" s="528">
        <v>43195.668055555558</v>
      </c>
      <c r="D3" s="715" t="s">
        <v>641</v>
      </c>
      <c r="E3" s="529">
        <v>15.15</v>
      </c>
      <c r="F3" s="529"/>
      <c r="G3" s="477"/>
      <c r="H3" s="477"/>
      <c r="I3" s="516"/>
    </row>
    <row r="4" spans="1:9" s="512" customFormat="1" ht="63" customHeight="1">
      <c r="A4" s="527" t="s">
        <v>642</v>
      </c>
      <c r="B4" s="527" t="s">
        <v>643</v>
      </c>
      <c r="C4" s="528">
        <v>43195.929861111108</v>
      </c>
      <c r="D4" s="715" t="s">
        <v>644</v>
      </c>
      <c r="E4" s="529">
        <v>44.57</v>
      </c>
      <c r="F4" s="529"/>
      <c r="G4" s="477"/>
      <c r="H4" s="477"/>
      <c r="I4" s="516"/>
    </row>
    <row r="5" spans="1:9" s="512" customFormat="1" ht="121.5" customHeight="1">
      <c r="A5" s="527" t="s">
        <v>97</v>
      </c>
      <c r="B5" s="527" t="s">
        <v>551</v>
      </c>
      <c r="C5" s="528">
        <v>43195.975694444445</v>
      </c>
      <c r="D5" s="715" t="s">
        <v>645</v>
      </c>
      <c r="E5" s="529">
        <v>12.12</v>
      </c>
      <c r="F5" s="529"/>
      <c r="G5" s="477"/>
      <c r="H5" s="477"/>
      <c r="I5" s="517"/>
    </row>
    <row r="6" spans="1:9" s="512" customFormat="1" ht="118.5" customHeight="1">
      <c r="A6" s="527" t="s">
        <v>97</v>
      </c>
      <c r="B6" s="527" t="s">
        <v>551</v>
      </c>
      <c r="C6" s="528">
        <v>43196.004861111112</v>
      </c>
      <c r="D6" s="715" t="s">
        <v>646</v>
      </c>
      <c r="E6" s="529">
        <v>12.12</v>
      </c>
      <c r="F6" s="529"/>
      <c r="G6" s="477"/>
      <c r="H6" s="477"/>
      <c r="I6" s="516"/>
    </row>
    <row r="7" spans="1:9" s="512" customFormat="1" ht="82.5" customHeight="1">
      <c r="A7" s="527" t="s">
        <v>496</v>
      </c>
      <c r="B7" s="527" t="s">
        <v>647</v>
      </c>
      <c r="C7" s="528">
        <v>43196.05972222222</v>
      </c>
      <c r="D7" s="715" t="s">
        <v>648</v>
      </c>
      <c r="E7" s="529"/>
      <c r="F7" s="529">
        <v>15</v>
      </c>
      <c r="G7" s="477"/>
      <c r="H7" s="477"/>
      <c r="I7" s="516"/>
    </row>
    <row r="8" spans="1:9" s="512" customFormat="1" ht="117" customHeight="1">
      <c r="A8" s="527" t="s">
        <v>649</v>
      </c>
      <c r="B8" s="527" t="s">
        <v>650</v>
      </c>
      <c r="C8" s="528">
        <v>43196.575694444444</v>
      </c>
      <c r="D8" s="715" t="s">
        <v>651</v>
      </c>
      <c r="E8" s="529">
        <v>3.71</v>
      </c>
      <c r="F8" s="529"/>
      <c r="G8" s="477"/>
      <c r="H8" s="477"/>
      <c r="I8" s="516"/>
    </row>
    <row r="9" spans="1:9">
      <c r="E9" s="522"/>
      <c r="F9" s="522"/>
    </row>
    <row r="10" spans="1:9">
      <c r="E10" s="522"/>
      <c r="F10" s="522"/>
    </row>
    <row r="11" spans="1:9">
      <c r="E11" s="522"/>
      <c r="F11" s="522"/>
    </row>
    <row r="12" spans="1:9">
      <c r="E12" s="522"/>
      <c r="F12" s="522"/>
    </row>
    <row r="13" spans="1:9">
      <c r="E13" s="522"/>
      <c r="F13" s="522"/>
    </row>
    <row r="14" spans="1:9">
      <c r="E14" s="522"/>
      <c r="F14" s="522"/>
    </row>
    <row r="15" spans="1:9">
      <c r="E15" s="522"/>
      <c r="F15" s="522"/>
    </row>
    <row r="16" spans="1:9">
      <c r="E16" s="522"/>
      <c r="F16" s="522"/>
    </row>
    <row r="17" spans="5:6">
      <c r="E17" s="522"/>
      <c r="F17" s="522"/>
    </row>
    <row r="18" spans="5:6">
      <c r="E18" s="522"/>
      <c r="F18" s="522"/>
    </row>
    <row r="19" spans="5:6">
      <c r="E19" s="522"/>
      <c r="F19" s="522"/>
    </row>
    <row r="20" spans="5:6">
      <c r="E20" s="522"/>
      <c r="F20" s="522"/>
    </row>
    <row r="21" spans="5:6">
      <c r="E21" s="522"/>
      <c r="F21" s="522"/>
    </row>
    <row r="22" spans="5:6">
      <c r="E22" s="522"/>
      <c r="F22" s="522"/>
    </row>
    <row r="23" spans="5:6">
      <c r="E23" s="522"/>
      <c r="F23" s="522"/>
    </row>
    <row r="24" spans="5:6">
      <c r="E24" s="522"/>
      <c r="F24" s="522"/>
    </row>
    <row r="25" spans="5:6">
      <c r="E25" s="522"/>
      <c r="F25" s="522"/>
    </row>
    <row r="26" spans="5:6">
      <c r="E26" s="522"/>
      <c r="F26" s="522"/>
    </row>
    <row r="27" spans="5:6">
      <c r="E27" s="522"/>
      <c r="F27" s="522"/>
    </row>
    <row r="28" spans="5:6">
      <c r="E28" s="522"/>
      <c r="F28" s="522"/>
    </row>
    <row r="29" spans="5:6">
      <c r="E29" s="522"/>
      <c r="F29" s="522"/>
    </row>
    <row r="30" spans="5:6">
      <c r="E30" s="522"/>
      <c r="F30" s="522"/>
    </row>
    <row r="31" spans="5:6">
      <c r="E31" s="522"/>
      <c r="F31" s="522"/>
    </row>
    <row r="32" spans="5:6">
      <c r="E32" s="522"/>
      <c r="F32" s="522"/>
    </row>
    <row r="33" spans="5:6">
      <c r="E33" s="522"/>
      <c r="F33" s="522"/>
    </row>
    <row r="34" spans="5:6">
      <c r="E34" s="522"/>
      <c r="F34" s="522"/>
    </row>
    <row r="35" spans="5:6">
      <c r="E35" s="522"/>
      <c r="F35" s="522"/>
    </row>
    <row r="36" spans="5:6">
      <c r="E36" s="522"/>
      <c r="F36" s="522"/>
    </row>
    <row r="37" spans="5:6">
      <c r="E37" s="522"/>
      <c r="F37" s="522"/>
    </row>
    <row r="38" spans="5:6">
      <c r="E38" s="522"/>
      <c r="F38" s="522"/>
    </row>
    <row r="39" spans="5:6">
      <c r="E39" s="522"/>
      <c r="F39" s="522"/>
    </row>
    <row r="40" spans="5:6">
      <c r="E40" s="522"/>
      <c r="F40" s="522"/>
    </row>
    <row r="41" spans="5:6">
      <c r="E41" s="522"/>
      <c r="F41" s="522"/>
    </row>
    <row r="42" spans="5:6">
      <c r="E42" s="522"/>
      <c r="F42" s="522"/>
    </row>
    <row r="43" spans="5:6">
      <c r="E43" s="522"/>
      <c r="F43" s="522"/>
    </row>
    <row r="44" spans="5:6">
      <c r="E44" s="522"/>
      <c r="F44" s="522"/>
    </row>
    <row r="45" spans="5:6">
      <c r="E45" s="522"/>
      <c r="F45" s="522"/>
    </row>
    <row r="46" spans="5:6">
      <c r="E46" s="522"/>
      <c r="F46" s="522"/>
    </row>
    <row r="47" spans="5:6">
      <c r="E47" s="522"/>
      <c r="F47" s="522"/>
    </row>
    <row r="48" spans="5:6">
      <c r="E48" s="522"/>
      <c r="F48" s="522"/>
    </row>
    <row r="49" spans="5:6">
      <c r="E49" s="522"/>
      <c r="F49" s="522"/>
    </row>
    <row r="50" spans="5:6">
      <c r="E50" s="522"/>
      <c r="F50" s="522"/>
    </row>
    <row r="51" spans="5:6">
      <c r="E51" s="522"/>
      <c r="F51" s="522"/>
    </row>
    <row r="52" spans="5:6">
      <c r="E52" s="522"/>
      <c r="F52" s="522"/>
    </row>
    <row r="53" spans="5:6">
      <c r="E53" s="522"/>
      <c r="F53" s="522"/>
    </row>
    <row r="54" spans="5:6">
      <c r="E54" s="522"/>
      <c r="F54" s="522"/>
    </row>
    <row r="55" spans="5:6">
      <c r="E55" s="522"/>
      <c r="F55" s="522"/>
    </row>
    <row r="56" spans="5:6">
      <c r="E56" s="522"/>
      <c r="F56" s="522"/>
    </row>
    <row r="57" spans="5:6">
      <c r="E57" s="522"/>
      <c r="F57" s="522"/>
    </row>
    <row r="58" spans="5:6">
      <c r="E58" s="522"/>
      <c r="F58" s="522"/>
    </row>
    <row r="59" spans="5:6">
      <c r="E59" s="522"/>
      <c r="F59" s="522"/>
    </row>
    <row r="60" spans="5:6">
      <c r="E60" s="522"/>
      <c r="F60" s="522"/>
    </row>
    <row r="61" spans="5:6">
      <c r="E61" s="522"/>
      <c r="F61" s="522"/>
    </row>
    <row r="62" spans="5:6">
      <c r="E62" s="522"/>
      <c r="F62" s="522"/>
    </row>
    <row r="63" spans="5:6">
      <c r="E63" s="522"/>
      <c r="F63" s="522"/>
    </row>
    <row r="64" spans="5:6">
      <c r="E64" s="522"/>
      <c r="F64" s="522"/>
    </row>
    <row r="65" spans="5:6">
      <c r="E65" s="522"/>
      <c r="F65" s="522"/>
    </row>
    <row r="66" spans="5:6">
      <c r="E66" s="522"/>
      <c r="F66" s="522"/>
    </row>
    <row r="67" spans="5:6">
      <c r="E67" s="522"/>
      <c r="F67" s="522"/>
    </row>
    <row r="68" spans="5:6">
      <c r="E68" s="522"/>
      <c r="F68" s="522"/>
    </row>
    <row r="69" spans="5:6">
      <c r="E69" s="522"/>
      <c r="F69" s="522"/>
    </row>
    <row r="70" spans="5:6">
      <c r="E70" s="522"/>
      <c r="F70" s="522"/>
    </row>
    <row r="71" spans="5:6">
      <c r="E71" s="522"/>
      <c r="F71" s="522"/>
    </row>
    <row r="72" spans="5:6">
      <c r="E72" s="522"/>
      <c r="F72" s="522"/>
    </row>
    <row r="73" spans="5:6">
      <c r="E73" s="522"/>
      <c r="F73" s="522"/>
    </row>
    <row r="74" spans="5:6">
      <c r="E74" s="522"/>
      <c r="F74" s="522"/>
    </row>
    <row r="75" spans="5:6">
      <c r="E75" s="522"/>
      <c r="F75" s="522"/>
    </row>
    <row r="76" spans="5:6">
      <c r="E76" s="522"/>
      <c r="F76" s="522"/>
    </row>
    <row r="77" spans="5:6">
      <c r="E77" s="522"/>
      <c r="F77" s="522"/>
    </row>
    <row r="78" spans="5:6">
      <c r="E78" s="522"/>
      <c r="F78" s="522"/>
    </row>
    <row r="79" spans="5:6">
      <c r="E79" s="522"/>
      <c r="F79" s="522"/>
    </row>
    <row r="80" spans="5:6">
      <c r="E80" s="522"/>
      <c r="F80" s="522"/>
    </row>
    <row r="81" spans="5:6">
      <c r="E81" s="522"/>
      <c r="F81" s="522"/>
    </row>
    <row r="82" spans="5:6">
      <c r="E82" s="522"/>
      <c r="F82" s="522"/>
    </row>
    <row r="83" spans="5:6">
      <c r="E83" s="522"/>
      <c r="F83" s="522"/>
    </row>
    <row r="84" spans="5:6">
      <c r="E84" s="522"/>
      <c r="F84" s="522"/>
    </row>
    <row r="85" spans="5:6">
      <c r="E85" s="522"/>
      <c r="F85" s="522"/>
    </row>
    <row r="86" spans="5:6">
      <c r="E86" s="522"/>
      <c r="F86" s="522"/>
    </row>
    <row r="87" spans="5:6">
      <c r="E87" s="522"/>
      <c r="F87" s="522"/>
    </row>
    <row r="88" spans="5:6">
      <c r="E88" s="522"/>
      <c r="F88" s="522"/>
    </row>
    <row r="89" spans="5:6">
      <c r="E89" s="522"/>
      <c r="F89" s="522"/>
    </row>
    <row r="90" spans="5:6">
      <c r="E90" s="522"/>
      <c r="F90" s="522"/>
    </row>
    <row r="91" spans="5:6">
      <c r="E91" s="522"/>
      <c r="F91" s="522"/>
    </row>
    <row r="92" spans="5:6">
      <c r="E92" s="522"/>
      <c r="F92" s="522"/>
    </row>
    <row r="93" spans="5:6">
      <c r="E93" s="522"/>
      <c r="F93" s="522"/>
    </row>
    <row r="94" spans="5:6">
      <c r="E94" s="522"/>
      <c r="F94" s="522"/>
    </row>
    <row r="95" spans="5:6">
      <c r="E95" s="522"/>
      <c r="F95" s="522"/>
    </row>
    <row r="96" spans="5:6">
      <c r="E96" s="522"/>
      <c r="F96" s="522"/>
    </row>
    <row r="97" spans="5:6">
      <c r="E97" s="522"/>
      <c r="F97" s="522"/>
    </row>
    <row r="98" spans="5:6">
      <c r="E98" s="522"/>
      <c r="F98" s="522"/>
    </row>
    <row r="99" spans="5:6">
      <c r="E99" s="522"/>
      <c r="F99" s="522"/>
    </row>
    <row r="100" spans="5:6">
      <c r="E100" s="522"/>
      <c r="F100" s="522"/>
    </row>
    <row r="101" spans="5:6">
      <c r="E101" s="522"/>
      <c r="F101" s="522"/>
    </row>
    <row r="102" spans="5:6">
      <c r="E102" s="522"/>
      <c r="F102" s="522"/>
    </row>
    <row r="103" spans="5:6">
      <c r="E103" s="522"/>
      <c r="F103" s="522"/>
    </row>
    <row r="104" spans="5:6">
      <c r="E104" s="522"/>
      <c r="F104" s="522"/>
    </row>
    <row r="105" spans="5:6">
      <c r="E105" s="522"/>
      <c r="F105" s="522"/>
    </row>
    <row r="106" spans="5:6">
      <c r="E106" s="522"/>
      <c r="F106" s="522"/>
    </row>
    <row r="107" spans="5:6">
      <c r="E107" s="522"/>
      <c r="F107" s="522"/>
    </row>
    <row r="108" spans="5:6">
      <c r="E108" s="522"/>
      <c r="F108" s="522"/>
    </row>
    <row r="109" spans="5:6">
      <c r="E109" s="522"/>
      <c r="F109" s="522"/>
    </row>
    <row r="110" spans="5:6">
      <c r="E110" s="522"/>
      <c r="F110" s="522"/>
    </row>
    <row r="111" spans="5:6">
      <c r="E111" s="522"/>
      <c r="F111" s="522"/>
    </row>
    <row r="112" spans="5:6">
      <c r="E112" s="522"/>
      <c r="F112" s="522"/>
    </row>
    <row r="113" spans="5:6">
      <c r="E113" s="522"/>
      <c r="F113" s="522"/>
    </row>
    <row r="114" spans="5:6">
      <c r="E114" s="522"/>
      <c r="F114" s="522"/>
    </row>
    <row r="115" spans="5:6">
      <c r="E115" s="522"/>
      <c r="F115" s="522"/>
    </row>
    <row r="116" spans="5:6">
      <c r="E116" s="522"/>
      <c r="F116" s="522"/>
    </row>
    <row r="117" spans="5:6">
      <c r="E117" s="522"/>
      <c r="F117" s="522"/>
    </row>
    <row r="118" spans="5:6">
      <c r="E118" s="522"/>
      <c r="F118" s="522"/>
    </row>
    <row r="119" spans="5:6">
      <c r="E119" s="522"/>
      <c r="F119" s="522"/>
    </row>
    <row r="120" spans="5:6">
      <c r="E120" s="522"/>
      <c r="F120" s="522"/>
    </row>
    <row r="121" spans="5:6">
      <c r="E121" s="522"/>
      <c r="F121" s="522"/>
    </row>
    <row r="122" spans="5:6">
      <c r="E122" s="522"/>
      <c r="F122" s="522"/>
    </row>
    <row r="123" spans="5:6">
      <c r="E123" s="522"/>
      <c r="F123" s="522"/>
    </row>
    <row r="124" spans="5:6">
      <c r="E124" s="522"/>
      <c r="F124" s="522"/>
    </row>
    <row r="125" spans="5:6">
      <c r="E125" s="522"/>
      <c r="F125" s="522"/>
    </row>
    <row r="126" spans="5:6">
      <c r="E126" s="522"/>
      <c r="F126" s="522"/>
    </row>
    <row r="127" spans="5:6">
      <c r="E127" s="522"/>
      <c r="F127" s="522"/>
    </row>
    <row r="128" spans="5:6">
      <c r="E128" s="522"/>
      <c r="F128" s="522"/>
    </row>
    <row r="129" spans="5:6">
      <c r="E129" s="522"/>
      <c r="F129" s="522"/>
    </row>
    <row r="130" spans="5:6">
      <c r="E130" s="522"/>
      <c r="F130" s="522"/>
    </row>
    <row r="131" spans="5:6">
      <c r="E131" s="522"/>
      <c r="F131" s="522"/>
    </row>
    <row r="132" spans="5:6">
      <c r="E132" s="522"/>
      <c r="F132" s="522"/>
    </row>
    <row r="133" spans="5:6">
      <c r="E133" s="522"/>
      <c r="F133" s="522"/>
    </row>
    <row r="134" spans="5:6">
      <c r="E134" s="522"/>
      <c r="F134" s="522"/>
    </row>
    <row r="135" spans="5:6">
      <c r="E135" s="522"/>
      <c r="F135" s="522"/>
    </row>
    <row r="136" spans="5:6">
      <c r="E136" s="522"/>
      <c r="F136" s="522"/>
    </row>
    <row r="137" spans="5:6">
      <c r="E137" s="522"/>
      <c r="F137" s="522"/>
    </row>
  </sheetData>
  <pageMargins left="0.7" right="0.51432291666666663" top="0.86956521739130432" bottom="0.61458333333333337" header="0.3" footer="0.3"/>
  <pageSetup orientation="portrait" r:id="rId1"/>
  <headerFooter>
    <oddHeader>&amp;R&amp;7Informe de la Operación Mensual - Abril 2018
INFSGI-MES-04-2018
10/05/2018
Versión: 01</oddHeader>
    <oddFooter>&amp;L&amp;7COES SINAC, 2018
&amp;C26&amp;R&amp;7Dirección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48C0E-AD5A-486C-961F-0EB626B94238}">
  <sheetPr>
    <tabColor theme="4"/>
  </sheetPr>
  <dimension ref="A1:J119"/>
  <sheetViews>
    <sheetView showGridLines="0" view="pageBreakPreview" zoomScale="160" zoomScaleNormal="100" zoomScaleSheetLayoutView="160" zoomScalePageLayoutView="130" workbookViewId="0">
      <selection activeCell="P17" sqref="P17"/>
    </sheetView>
  </sheetViews>
  <sheetFormatPr defaultRowHeight="9"/>
  <cols>
    <col min="1" max="1" width="16.1640625" style="512" customWidth="1"/>
    <col min="2" max="2" width="19.6640625" style="512" customWidth="1"/>
    <col min="3" max="3" width="12.1640625" style="512" bestFit="1" customWidth="1"/>
    <col min="4" max="4" width="47.1640625" style="512" customWidth="1"/>
    <col min="5" max="5" width="11.5" style="512" customWidth="1"/>
    <col min="6" max="6" width="10.5" style="512" customWidth="1"/>
    <col min="7" max="8" width="9.33203125" style="512" customWidth="1"/>
    <col min="9" max="10" width="9.33203125" style="512"/>
    <col min="11" max="16384" width="9.33203125" style="521"/>
  </cols>
  <sheetData>
    <row r="1" spans="1:9" s="512" customFormat="1" ht="30" customHeight="1">
      <c r="A1" s="523" t="s">
        <v>294</v>
      </c>
      <c r="B1" s="524" t="s">
        <v>480</v>
      </c>
      <c r="C1" s="523" t="s">
        <v>469</v>
      </c>
      <c r="D1" s="525" t="s">
        <v>481</v>
      </c>
      <c r="E1" s="526" t="s">
        <v>482</v>
      </c>
      <c r="F1" s="526" t="s">
        <v>483</v>
      </c>
      <c r="G1" s="478"/>
      <c r="H1" s="513"/>
      <c r="I1" s="476"/>
    </row>
    <row r="2" spans="1:9" s="512" customFormat="1" ht="165" customHeight="1">
      <c r="A2" s="527" t="s">
        <v>494</v>
      </c>
      <c r="B2" s="527" t="s">
        <v>497</v>
      </c>
      <c r="C2" s="528">
        <v>43196.597916666666</v>
      </c>
      <c r="D2" s="715" t="s">
        <v>652</v>
      </c>
      <c r="E2" s="529">
        <v>4.4000000000000004</v>
      </c>
      <c r="F2" s="529">
        <v>13.38</v>
      </c>
      <c r="G2" s="477"/>
      <c r="H2" s="477"/>
      <c r="I2" s="516"/>
    </row>
    <row r="3" spans="1:9" s="512" customFormat="1" ht="143.25" customHeight="1">
      <c r="A3" s="527" t="s">
        <v>494</v>
      </c>
      <c r="B3" s="527" t="s">
        <v>497</v>
      </c>
      <c r="C3" s="528">
        <v>43196.65</v>
      </c>
      <c r="D3" s="715" t="s">
        <v>653</v>
      </c>
      <c r="E3" s="529">
        <v>10.73</v>
      </c>
      <c r="F3" s="529">
        <v>12.88</v>
      </c>
      <c r="G3" s="477"/>
      <c r="H3" s="477"/>
      <c r="I3" s="516"/>
    </row>
    <row r="4" spans="1:9" s="512" customFormat="1" ht="107.25" customHeight="1">
      <c r="A4" s="527" t="s">
        <v>649</v>
      </c>
      <c r="B4" s="527" t="s">
        <v>650</v>
      </c>
      <c r="C4" s="528">
        <v>43196.67291666667</v>
      </c>
      <c r="D4" s="715" t="s">
        <v>654</v>
      </c>
      <c r="E4" s="529">
        <v>3.41</v>
      </c>
      <c r="F4" s="529"/>
      <c r="G4" s="477"/>
      <c r="H4" s="477"/>
      <c r="I4" s="516"/>
    </row>
    <row r="5" spans="1:9" s="512" customFormat="1" ht="81.75" customHeight="1">
      <c r="A5" s="527" t="s">
        <v>97</v>
      </c>
      <c r="B5" s="527" t="s">
        <v>638</v>
      </c>
      <c r="C5" s="528">
        <v>43196.722222222219</v>
      </c>
      <c r="D5" s="715" t="s">
        <v>655</v>
      </c>
      <c r="E5" s="529">
        <v>3.8</v>
      </c>
      <c r="F5" s="529"/>
      <c r="G5" s="477"/>
      <c r="H5" s="477"/>
      <c r="I5" s="516"/>
    </row>
    <row r="6" spans="1:9" s="512" customFormat="1" ht="83.25" customHeight="1">
      <c r="A6" s="527" t="s">
        <v>538</v>
      </c>
      <c r="B6" s="527" t="s">
        <v>656</v>
      </c>
      <c r="C6" s="528">
        <v>43196.740972222222</v>
      </c>
      <c r="D6" s="715" t="s">
        <v>657</v>
      </c>
      <c r="E6" s="529">
        <v>1.04</v>
      </c>
      <c r="F6" s="529"/>
      <c r="G6" s="477"/>
      <c r="H6" s="477"/>
      <c r="I6" s="518"/>
    </row>
    <row r="7" spans="1:9" s="512" customFormat="1" ht="87.75" customHeight="1">
      <c r="A7" s="527" t="s">
        <v>538</v>
      </c>
      <c r="B7" s="527" t="s">
        <v>656</v>
      </c>
      <c r="C7" s="528">
        <v>43196.770833333336</v>
      </c>
      <c r="D7" s="715" t="s">
        <v>658</v>
      </c>
      <c r="E7" s="529">
        <v>1.5</v>
      </c>
      <c r="F7" s="529"/>
      <c r="G7" s="477"/>
      <c r="H7" s="477"/>
      <c r="I7" s="516"/>
    </row>
    <row r="8" spans="1:9">
      <c r="E8" s="522"/>
      <c r="F8" s="522"/>
    </row>
    <row r="9" spans="1:9">
      <c r="E9" s="522"/>
      <c r="F9" s="522"/>
    </row>
    <row r="10" spans="1:9">
      <c r="E10" s="522"/>
      <c r="F10" s="522"/>
    </row>
    <row r="11" spans="1:9">
      <c r="E11" s="522"/>
      <c r="F11" s="522"/>
    </row>
    <row r="12" spans="1:9">
      <c r="E12" s="522"/>
      <c r="F12" s="522"/>
    </row>
    <row r="13" spans="1:9">
      <c r="E13" s="522"/>
      <c r="F13" s="522"/>
    </row>
    <row r="14" spans="1:9">
      <c r="E14" s="522"/>
      <c r="F14" s="522"/>
    </row>
    <row r="15" spans="1:9">
      <c r="E15" s="522"/>
      <c r="F15" s="522"/>
    </row>
    <row r="16" spans="1:9">
      <c r="E16" s="522"/>
      <c r="F16" s="522"/>
    </row>
    <row r="17" spans="5:6">
      <c r="E17" s="522"/>
      <c r="F17" s="522"/>
    </row>
    <row r="18" spans="5:6">
      <c r="E18" s="522"/>
      <c r="F18" s="522"/>
    </row>
    <row r="19" spans="5:6">
      <c r="E19" s="522"/>
      <c r="F19" s="522"/>
    </row>
    <row r="20" spans="5:6">
      <c r="E20" s="522"/>
      <c r="F20" s="522"/>
    </row>
    <row r="21" spans="5:6">
      <c r="E21" s="522"/>
      <c r="F21" s="522"/>
    </row>
    <row r="22" spans="5:6">
      <c r="E22" s="522"/>
      <c r="F22" s="522"/>
    </row>
    <row r="23" spans="5:6">
      <c r="E23" s="522"/>
      <c r="F23" s="522"/>
    </row>
    <row r="24" spans="5:6">
      <c r="E24" s="522"/>
      <c r="F24" s="522"/>
    </row>
    <row r="25" spans="5:6">
      <c r="E25" s="522"/>
      <c r="F25" s="522"/>
    </row>
    <row r="26" spans="5:6">
      <c r="E26" s="522"/>
      <c r="F26" s="522"/>
    </row>
    <row r="27" spans="5:6">
      <c r="E27" s="522"/>
      <c r="F27" s="522"/>
    </row>
    <row r="28" spans="5:6">
      <c r="E28" s="522"/>
      <c r="F28" s="522"/>
    </row>
    <row r="29" spans="5:6">
      <c r="E29" s="522"/>
      <c r="F29" s="522"/>
    </row>
    <row r="30" spans="5:6">
      <c r="E30" s="522"/>
      <c r="F30" s="522"/>
    </row>
    <row r="31" spans="5:6">
      <c r="E31" s="522"/>
      <c r="F31" s="522"/>
    </row>
    <row r="32" spans="5:6">
      <c r="E32" s="522"/>
      <c r="F32" s="522"/>
    </row>
    <row r="33" spans="5:6">
      <c r="E33" s="522"/>
      <c r="F33" s="522"/>
    </row>
    <row r="34" spans="5:6">
      <c r="E34" s="522"/>
      <c r="F34" s="522"/>
    </row>
    <row r="35" spans="5:6">
      <c r="E35" s="522"/>
      <c r="F35" s="522"/>
    </row>
    <row r="36" spans="5:6">
      <c r="E36" s="522"/>
      <c r="F36" s="522"/>
    </row>
    <row r="37" spans="5:6">
      <c r="E37" s="522"/>
      <c r="F37" s="522"/>
    </row>
    <row r="38" spans="5:6">
      <c r="E38" s="522"/>
      <c r="F38" s="522"/>
    </row>
    <row r="39" spans="5:6">
      <c r="E39" s="522"/>
      <c r="F39" s="522"/>
    </row>
    <row r="40" spans="5:6">
      <c r="E40" s="522"/>
      <c r="F40" s="522"/>
    </row>
    <row r="41" spans="5:6">
      <c r="E41" s="522"/>
      <c r="F41" s="522"/>
    </row>
    <row r="42" spans="5:6">
      <c r="E42" s="522"/>
      <c r="F42" s="522"/>
    </row>
    <row r="43" spans="5:6">
      <c r="E43" s="522"/>
      <c r="F43" s="522"/>
    </row>
    <row r="44" spans="5:6">
      <c r="E44" s="522"/>
      <c r="F44" s="522"/>
    </row>
    <row r="45" spans="5:6">
      <c r="E45" s="522"/>
      <c r="F45" s="522"/>
    </row>
    <row r="46" spans="5:6">
      <c r="E46" s="522"/>
      <c r="F46" s="522"/>
    </row>
    <row r="47" spans="5:6">
      <c r="E47" s="522"/>
      <c r="F47" s="522"/>
    </row>
    <row r="48" spans="5:6">
      <c r="E48" s="522"/>
      <c r="F48" s="522"/>
    </row>
    <row r="49" spans="5:6">
      <c r="E49" s="522"/>
      <c r="F49" s="522"/>
    </row>
    <row r="50" spans="5:6">
      <c r="E50" s="522"/>
      <c r="F50" s="522"/>
    </row>
    <row r="51" spans="5:6">
      <c r="E51" s="522"/>
      <c r="F51" s="522"/>
    </row>
    <row r="52" spans="5:6">
      <c r="E52" s="522"/>
      <c r="F52" s="522"/>
    </row>
    <row r="53" spans="5:6">
      <c r="E53" s="522"/>
      <c r="F53" s="522"/>
    </row>
    <row r="54" spans="5:6">
      <c r="E54" s="522"/>
      <c r="F54" s="522"/>
    </row>
    <row r="55" spans="5:6">
      <c r="E55" s="522"/>
      <c r="F55" s="522"/>
    </row>
    <row r="56" spans="5:6">
      <c r="E56" s="522"/>
      <c r="F56" s="522"/>
    </row>
    <row r="57" spans="5:6">
      <c r="E57" s="522"/>
      <c r="F57" s="522"/>
    </row>
    <row r="58" spans="5:6">
      <c r="E58" s="522"/>
      <c r="F58" s="522"/>
    </row>
    <row r="59" spans="5:6">
      <c r="E59" s="522"/>
      <c r="F59" s="522"/>
    </row>
    <row r="60" spans="5:6">
      <c r="E60" s="522"/>
      <c r="F60" s="522"/>
    </row>
    <row r="61" spans="5:6">
      <c r="E61" s="522"/>
      <c r="F61" s="522"/>
    </row>
    <row r="62" spans="5:6">
      <c r="E62" s="522"/>
      <c r="F62" s="522"/>
    </row>
    <row r="63" spans="5:6">
      <c r="E63" s="522"/>
      <c r="F63" s="522"/>
    </row>
    <row r="64" spans="5:6">
      <c r="E64" s="522"/>
      <c r="F64" s="522"/>
    </row>
    <row r="65" spans="5:6">
      <c r="E65" s="522"/>
      <c r="F65" s="522"/>
    </row>
    <row r="66" spans="5:6">
      <c r="E66" s="522"/>
      <c r="F66" s="522"/>
    </row>
    <row r="67" spans="5:6">
      <c r="E67" s="522"/>
      <c r="F67" s="522"/>
    </row>
    <row r="68" spans="5:6">
      <c r="E68" s="522"/>
      <c r="F68" s="522"/>
    </row>
    <row r="69" spans="5:6">
      <c r="E69" s="522"/>
      <c r="F69" s="522"/>
    </row>
    <row r="70" spans="5:6">
      <c r="E70" s="522"/>
      <c r="F70" s="522"/>
    </row>
    <row r="71" spans="5:6">
      <c r="E71" s="522"/>
      <c r="F71" s="522"/>
    </row>
    <row r="72" spans="5:6">
      <c r="E72" s="522"/>
      <c r="F72" s="522"/>
    </row>
    <row r="73" spans="5:6">
      <c r="E73" s="522"/>
      <c r="F73" s="522"/>
    </row>
    <row r="74" spans="5:6">
      <c r="E74" s="522"/>
      <c r="F74" s="522"/>
    </row>
    <row r="75" spans="5:6">
      <c r="E75" s="522"/>
      <c r="F75" s="522"/>
    </row>
    <row r="76" spans="5:6">
      <c r="E76" s="522"/>
      <c r="F76" s="522"/>
    </row>
    <row r="77" spans="5:6">
      <c r="E77" s="522"/>
      <c r="F77" s="522"/>
    </row>
    <row r="78" spans="5:6">
      <c r="E78" s="522"/>
      <c r="F78" s="522"/>
    </row>
    <row r="79" spans="5:6">
      <c r="E79" s="522"/>
      <c r="F79" s="522"/>
    </row>
    <row r="80" spans="5:6">
      <c r="E80" s="522"/>
      <c r="F80" s="522"/>
    </row>
    <row r="81" spans="5:6">
      <c r="E81" s="522"/>
      <c r="F81" s="522"/>
    </row>
    <row r="82" spans="5:6">
      <c r="E82" s="522"/>
      <c r="F82" s="522"/>
    </row>
    <row r="83" spans="5:6">
      <c r="E83" s="522"/>
      <c r="F83" s="522"/>
    </row>
    <row r="84" spans="5:6">
      <c r="E84" s="522"/>
      <c r="F84" s="522"/>
    </row>
    <row r="85" spans="5:6">
      <c r="E85" s="522"/>
      <c r="F85" s="522"/>
    </row>
    <row r="86" spans="5:6">
      <c r="E86" s="522"/>
      <c r="F86" s="522"/>
    </row>
    <row r="87" spans="5:6">
      <c r="E87" s="522"/>
      <c r="F87" s="522"/>
    </row>
    <row r="88" spans="5:6">
      <c r="E88" s="522"/>
      <c r="F88" s="522"/>
    </row>
    <row r="89" spans="5:6">
      <c r="E89" s="522"/>
      <c r="F89" s="522"/>
    </row>
    <row r="90" spans="5:6">
      <c r="E90" s="522"/>
      <c r="F90" s="522"/>
    </row>
    <row r="91" spans="5:6">
      <c r="E91" s="522"/>
      <c r="F91" s="522"/>
    </row>
    <row r="92" spans="5:6">
      <c r="E92" s="522"/>
      <c r="F92" s="522"/>
    </row>
    <row r="93" spans="5:6">
      <c r="E93" s="522"/>
      <c r="F93" s="522"/>
    </row>
    <row r="94" spans="5:6">
      <c r="E94" s="522"/>
      <c r="F94" s="522"/>
    </row>
    <row r="95" spans="5:6">
      <c r="E95" s="522"/>
      <c r="F95" s="522"/>
    </row>
    <row r="96" spans="5:6">
      <c r="E96" s="522"/>
      <c r="F96" s="522"/>
    </row>
    <row r="97" spans="5:6">
      <c r="E97" s="522"/>
      <c r="F97" s="522"/>
    </row>
    <row r="98" spans="5:6">
      <c r="E98" s="522"/>
      <c r="F98" s="522"/>
    </row>
    <row r="99" spans="5:6">
      <c r="E99" s="522"/>
      <c r="F99" s="522"/>
    </row>
    <row r="100" spans="5:6">
      <c r="E100" s="522"/>
      <c r="F100" s="522"/>
    </row>
    <row r="101" spans="5:6">
      <c r="E101" s="522"/>
      <c r="F101" s="522"/>
    </row>
    <row r="102" spans="5:6">
      <c r="E102" s="522"/>
      <c r="F102" s="522"/>
    </row>
    <row r="103" spans="5:6">
      <c r="E103" s="522"/>
      <c r="F103" s="522"/>
    </row>
    <row r="104" spans="5:6">
      <c r="E104" s="522"/>
      <c r="F104" s="522"/>
    </row>
    <row r="105" spans="5:6">
      <c r="E105" s="522"/>
      <c r="F105" s="522"/>
    </row>
    <row r="106" spans="5:6">
      <c r="E106" s="522"/>
      <c r="F106" s="522"/>
    </row>
    <row r="107" spans="5:6">
      <c r="E107" s="522"/>
      <c r="F107" s="522"/>
    </row>
    <row r="108" spans="5:6">
      <c r="E108" s="522"/>
      <c r="F108" s="522"/>
    </row>
    <row r="109" spans="5:6">
      <c r="E109" s="522"/>
      <c r="F109" s="522"/>
    </row>
    <row r="110" spans="5:6">
      <c r="E110" s="522"/>
      <c r="F110" s="522"/>
    </row>
    <row r="111" spans="5:6">
      <c r="E111" s="522"/>
      <c r="F111" s="522"/>
    </row>
    <row r="112" spans="5:6">
      <c r="E112" s="522"/>
      <c r="F112" s="522"/>
    </row>
    <row r="113" spans="5:6">
      <c r="E113" s="522"/>
      <c r="F113" s="522"/>
    </row>
    <row r="114" spans="5:6">
      <c r="E114" s="522"/>
      <c r="F114" s="522"/>
    </row>
    <row r="115" spans="5:6">
      <c r="E115" s="522"/>
      <c r="F115" s="522"/>
    </row>
    <row r="116" spans="5:6">
      <c r="E116" s="522"/>
      <c r="F116" s="522"/>
    </row>
    <row r="117" spans="5:6">
      <c r="E117" s="522"/>
      <c r="F117" s="522"/>
    </row>
    <row r="118" spans="5:6">
      <c r="E118" s="522"/>
      <c r="F118" s="522"/>
    </row>
    <row r="119" spans="5:6">
      <c r="E119" s="522"/>
      <c r="F119" s="522"/>
    </row>
  </sheetData>
  <pageMargins left="0.7" right="0.51432291666666663" top="0.86956521739130432" bottom="0.61458333333333337" header="0.3" footer="0.3"/>
  <pageSetup orientation="portrait" r:id="rId1"/>
  <headerFooter>
    <oddHeader>&amp;R&amp;7Informe de la Operación Mensual - Abril 2018
INFSGI-MES-04-2018
10/05/2018
Versión: 01</oddHeader>
    <oddFooter>&amp;L&amp;7COES SINAC, 2018
&amp;C27&amp;R&amp;7Dirección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E7E1-8BF2-40B7-8695-3BE9B4A6D9E6}">
  <sheetPr>
    <tabColor theme="4"/>
  </sheetPr>
  <dimension ref="A1:W67"/>
  <sheetViews>
    <sheetView showGridLines="0" view="pageBreakPreview" zoomScale="115" zoomScaleNormal="100" zoomScaleSheetLayoutView="115" zoomScalePageLayoutView="115" workbookViewId="0">
      <selection activeCell="P17" sqref="P17"/>
    </sheetView>
  </sheetViews>
  <sheetFormatPr defaultRowHeight="11.25"/>
  <cols>
    <col min="1" max="1" width="7.5" style="61" customWidth="1"/>
    <col min="2" max="9" width="9.33203125" style="61"/>
    <col min="10" max="11" width="9.33203125" style="61" customWidth="1"/>
    <col min="12" max="12" width="10.33203125" style="61" customWidth="1"/>
    <col min="13" max="13" width="9.33203125" style="61"/>
    <col min="14" max="14" width="9.33203125" style="534"/>
    <col min="15" max="16" width="10.1640625" style="593" bestFit="1" customWidth="1"/>
    <col min="17" max="17" width="11.5" style="593" customWidth="1"/>
    <col min="18" max="23" width="9.33203125" style="593"/>
    <col min="24" max="16384" width="9.33203125" style="61"/>
  </cols>
  <sheetData>
    <row r="1" spans="1:20" ht="27.75" customHeight="1">
      <c r="A1" s="855" t="s">
        <v>22</v>
      </c>
      <c r="B1" s="855"/>
      <c r="C1" s="855"/>
      <c r="D1" s="855"/>
      <c r="E1" s="855"/>
      <c r="F1" s="855"/>
      <c r="G1" s="855"/>
      <c r="H1" s="855"/>
      <c r="I1" s="855"/>
      <c r="J1" s="855"/>
      <c r="K1" s="855"/>
      <c r="L1" s="855"/>
      <c r="M1" s="855"/>
      <c r="N1" s="533"/>
      <c r="O1" s="592"/>
      <c r="P1" s="592"/>
      <c r="Q1" s="592"/>
    </row>
    <row r="2" spans="1:20" ht="11.25" customHeight="1">
      <c r="A2" s="52"/>
      <c r="B2" s="53"/>
      <c r="C2" s="82"/>
      <c r="D2" s="82"/>
      <c r="E2" s="82"/>
      <c r="F2" s="82"/>
      <c r="G2" s="82"/>
      <c r="H2" s="82"/>
      <c r="I2" s="82"/>
      <c r="J2" s="82"/>
      <c r="K2" s="53"/>
      <c r="L2" s="53"/>
      <c r="M2" s="53"/>
      <c r="N2" s="535"/>
      <c r="O2" s="594"/>
      <c r="P2" s="594"/>
      <c r="Q2" s="594"/>
    </row>
    <row r="3" spans="1:20" ht="21.75" customHeight="1">
      <c r="A3" s="53"/>
      <c r="B3" s="54"/>
      <c r="C3" s="862" t="str">
        <f>+UPPER(Q4)&amp;" "&amp;Q5</f>
        <v>ABRIL 2018</v>
      </c>
      <c r="D3" s="855"/>
      <c r="E3" s="855"/>
      <c r="F3" s="855"/>
      <c r="G3" s="855"/>
      <c r="H3" s="855"/>
      <c r="I3" s="855"/>
      <c r="J3" s="855"/>
      <c r="K3" s="53"/>
      <c r="L3" s="53"/>
      <c r="M3" s="53"/>
      <c r="N3" s="535"/>
      <c r="O3" s="594"/>
      <c r="P3" s="594"/>
      <c r="Q3" s="594"/>
      <c r="R3" s="595"/>
      <c r="S3" s="595"/>
      <c r="T3" s="595"/>
    </row>
    <row r="4" spans="1:20" ht="11.25" customHeight="1">
      <c r="A4" s="51"/>
      <c r="B4" s="54"/>
      <c r="C4" s="51"/>
      <c r="D4" s="51"/>
      <c r="E4" s="51"/>
      <c r="F4" s="51"/>
      <c r="G4" s="51"/>
      <c r="H4" s="51"/>
      <c r="I4" s="51"/>
      <c r="J4" s="51"/>
      <c r="K4" s="51"/>
      <c r="L4" s="51"/>
      <c r="M4" s="51"/>
      <c r="N4" s="536"/>
      <c r="O4" s="596"/>
      <c r="P4" s="592" t="s">
        <v>233</v>
      </c>
      <c r="Q4" s="597" t="s">
        <v>614</v>
      </c>
      <c r="R4" s="595"/>
      <c r="S4" s="595"/>
      <c r="T4" s="595"/>
    </row>
    <row r="5" spans="1:20" ht="11.25" customHeight="1">
      <c r="A5" s="62"/>
      <c r="B5" s="63"/>
      <c r="C5" s="64"/>
      <c r="D5" s="64"/>
      <c r="E5" s="64"/>
      <c r="F5" s="64"/>
      <c r="G5" s="64"/>
      <c r="H5" s="64"/>
      <c r="I5" s="64"/>
      <c r="J5" s="64"/>
      <c r="K5" s="64"/>
      <c r="L5" s="64"/>
      <c r="M5" s="51"/>
      <c r="N5" s="536"/>
      <c r="O5" s="596"/>
      <c r="P5" s="592" t="s">
        <v>234</v>
      </c>
      <c r="Q5" s="596">
        <v>2018</v>
      </c>
      <c r="R5" s="595"/>
      <c r="S5" s="595"/>
      <c r="T5" s="595"/>
    </row>
    <row r="6" spans="1:20" ht="17.25" customHeight="1">
      <c r="A6" s="77" t="s">
        <v>535</v>
      </c>
      <c r="B6" s="51"/>
      <c r="C6" s="51"/>
      <c r="D6" s="51"/>
      <c r="E6" s="51"/>
      <c r="F6" s="51"/>
      <c r="G6" s="51"/>
      <c r="H6" s="51"/>
      <c r="I6" s="51"/>
      <c r="J6" s="51"/>
      <c r="K6" s="51"/>
      <c r="L6" s="51"/>
      <c r="M6" s="51"/>
      <c r="N6" s="533"/>
      <c r="O6" s="592"/>
      <c r="P6" s="592"/>
      <c r="Q6" s="606">
        <v>43191</v>
      </c>
      <c r="R6" s="595"/>
      <c r="S6" s="595"/>
      <c r="T6" s="595"/>
    </row>
    <row r="7" spans="1:20" ht="11.25" customHeight="1">
      <c r="A7" s="51"/>
      <c r="B7" s="51"/>
      <c r="C7" s="51"/>
      <c r="D7" s="51"/>
      <c r="E7" s="51"/>
      <c r="F7" s="51"/>
      <c r="G7" s="51"/>
      <c r="H7" s="51"/>
      <c r="I7" s="51"/>
      <c r="J7" s="51"/>
      <c r="K7" s="51"/>
      <c r="L7" s="51"/>
      <c r="M7" s="51"/>
      <c r="N7" s="533"/>
      <c r="O7" s="592"/>
      <c r="P7" s="592"/>
      <c r="Q7" s="592">
        <v>30</v>
      </c>
      <c r="R7" s="595"/>
      <c r="S7" s="595"/>
      <c r="T7" s="595"/>
    </row>
    <row r="8" spans="1:20" ht="11.25" customHeight="1">
      <c r="A8" s="55"/>
      <c r="B8" s="55"/>
      <c r="C8" s="55"/>
      <c r="D8" s="55"/>
      <c r="E8" s="55"/>
      <c r="F8" s="55"/>
      <c r="G8" s="55"/>
      <c r="H8" s="55"/>
      <c r="I8" s="55"/>
      <c r="J8" s="55"/>
      <c r="K8" s="55"/>
      <c r="L8" s="55"/>
      <c r="M8" s="55"/>
      <c r="N8" s="537"/>
      <c r="O8" s="598"/>
      <c r="P8" s="598"/>
      <c r="Q8" s="598"/>
      <c r="R8" s="595"/>
      <c r="S8" s="595"/>
      <c r="T8" s="595"/>
    </row>
    <row r="9" spans="1:20" ht="11.25" customHeight="1">
      <c r="A9" s="53" t="str">
        <f>"1.1. Producción de energía eléctrica en "&amp;LOWER(Q4)&amp;" "&amp;Q5&amp;" en comparación al mismo mes del año anterior"</f>
        <v>1.1. Producción de energía eléctrica en abril 2018 en comparación al mismo mes del año anterior</v>
      </c>
      <c r="B9" s="53"/>
      <c r="C9" s="53"/>
      <c r="D9" s="53"/>
      <c r="E9" s="53"/>
      <c r="F9" s="53"/>
      <c r="G9" s="53"/>
      <c r="H9" s="53"/>
      <c r="I9" s="53"/>
      <c r="J9" s="53"/>
      <c r="K9" s="53"/>
      <c r="L9" s="53"/>
      <c r="M9" s="53"/>
      <c r="N9" s="535"/>
      <c r="O9" s="594"/>
      <c r="P9" s="594"/>
      <c r="Q9" s="594"/>
      <c r="R9" s="595"/>
      <c r="S9" s="595"/>
      <c r="T9" s="595"/>
    </row>
    <row r="10" spans="1:20" ht="11.25" customHeight="1">
      <c r="A10" s="62"/>
      <c r="B10" s="56"/>
      <c r="C10" s="56"/>
      <c r="D10" s="56"/>
      <c r="E10" s="56"/>
      <c r="F10" s="56"/>
      <c r="G10" s="56"/>
      <c r="H10" s="56"/>
      <c r="I10" s="56"/>
      <c r="J10" s="56"/>
      <c r="K10" s="56"/>
      <c r="L10" s="56"/>
      <c r="M10" s="56"/>
      <c r="N10" s="536"/>
      <c r="O10" s="596"/>
      <c r="P10" s="596"/>
      <c r="Q10" s="596"/>
      <c r="R10" s="595"/>
      <c r="S10" s="595"/>
      <c r="T10" s="595"/>
    </row>
    <row r="11" spans="1:20" ht="11.25" customHeight="1">
      <c r="A11" s="65"/>
      <c r="B11" s="65"/>
      <c r="C11" s="65"/>
      <c r="D11" s="65"/>
      <c r="E11" s="65"/>
      <c r="F11" s="65"/>
      <c r="G11" s="65"/>
      <c r="H11" s="65"/>
      <c r="I11" s="65"/>
      <c r="J11" s="65"/>
      <c r="K11" s="65"/>
      <c r="L11" s="65"/>
      <c r="M11" s="65"/>
      <c r="N11" s="538"/>
      <c r="O11" s="599"/>
      <c r="P11" s="599"/>
      <c r="Q11" s="599"/>
    </row>
    <row r="12" spans="1:20" ht="26.25" customHeight="1">
      <c r="A12" s="79" t="s">
        <v>23</v>
      </c>
      <c r="B12" s="861" t="s">
        <v>615</v>
      </c>
      <c r="C12" s="861"/>
      <c r="D12" s="861"/>
      <c r="E12" s="861"/>
      <c r="F12" s="861"/>
      <c r="G12" s="861"/>
      <c r="H12" s="861"/>
      <c r="I12" s="861"/>
      <c r="J12" s="861"/>
      <c r="K12" s="861"/>
      <c r="L12" s="861"/>
      <c r="M12" s="861"/>
      <c r="N12" s="536"/>
      <c r="O12" s="596"/>
      <c r="P12" s="596"/>
      <c r="Q12" s="596"/>
    </row>
    <row r="13" spans="1:20" ht="12.75" customHeight="1">
      <c r="A13" s="51"/>
      <c r="B13" s="81"/>
      <c r="C13" s="81"/>
      <c r="D13" s="81"/>
      <c r="E13" s="81"/>
      <c r="F13" s="81"/>
      <c r="G13" s="81"/>
      <c r="H13" s="81"/>
      <c r="I13" s="81"/>
      <c r="J13" s="81"/>
      <c r="K13" s="81"/>
      <c r="L13" s="81"/>
      <c r="M13" s="56"/>
      <c r="N13" s="536"/>
      <c r="O13" s="596"/>
      <c r="P13" s="596"/>
      <c r="Q13" s="596"/>
    </row>
    <row r="14" spans="1:20" ht="28.5" customHeight="1">
      <c r="A14" s="79" t="s">
        <v>23</v>
      </c>
      <c r="B14" s="861" t="s">
        <v>616</v>
      </c>
      <c r="C14" s="861"/>
      <c r="D14" s="861"/>
      <c r="E14" s="861"/>
      <c r="F14" s="861"/>
      <c r="G14" s="861"/>
      <c r="H14" s="861"/>
      <c r="I14" s="861"/>
      <c r="J14" s="861"/>
      <c r="K14" s="861"/>
      <c r="L14" s="861"/>
      <c r="M14" s="861"/>
      <c r="N14" s="536"/>
      <c r="O14" s="596"/>
      <c r="P14" s="596"/>
      <c r="Q14" s="596"/>
    </row>
    <row r="15" spans="1:20" ht="15" customHeight="1">
      <c r="A15" s="80"/>
      <c r="B15" s="81"/>
      <c r="C15" s="81"/>
      <c r="D15" s="81"/>
      <c r="E15" s="81"/>
      <c r="F15" s="81"/>
      <c r="G15" s="81"/>
      <c r="H15" s="81"/>
      <c r="I15" s="81"/>
      <c r="J15" s="81"/>
      <c r="K15" s="81"/>
      <c r="L15" s="81"/>
      <c r="M15" s="56"/>
      <c r="N15" s="536"/>
      <c r="O15" s="596"/>
      <c r="P15" s="596"/>
      <c r="Q15" s="596"/>
    </row>
    <row r="16" spans="1:20" ht="57" customHeight="1">
      <c r="A16" s="79" t="s">
        <v>23</v>
      </c>
      <c r="B16" s="861" t="s">
        <v>617</v>
      </c>
      <c r="C16" s="861"/>
      <c r="D16" s="861"/>
      <c r="E16" s="861"/>
      <c r="F16" s="861"/>
      <c r="G16" s="861"/>
      <c r="H16" s="861"/>
      <c r="I16" s="861"/>
      <c r="J16" s="861"/>
      <c r="K16" s="861"/>
      <c r="L16" s="861"/>
      <c r="M16" s="861"/>
      <c r="N16" s="536"/>
      <c r="O16" s="596"/>
      <c r="P16" s="596"/>
      <c r="Q16" s="596"/>
    </row>
    <row r="17" spans="1:18" ht="17.25" customHeight="1">
      <c r="A17" s="56"/>
      <c r="B17" s="56"/>
      <c r="C17" s="56"/>
      <c r="D17" s="56"/>
      <c r="E17" s="56"/>
      <c r="F17" s="56"/>
      <c r="G17" s="56"/>
      <c r="H17" s="56"/>
      <c r="I17" s="56"/>
      <c r="J17" s="56"/>
      <c r="K17" s="56"/>
      <c r="L17" s="56"/>
      <c r="M17" s="56"/>
      <c r="N17" s="536"/>
      <c r="O17" s="596"/>
      <c r="P17" s="596"/>
      <c r="Q17" s="596"/>
    </row>
    <row r="18" spans="1:18" ht="25.5" customHeight="1">
      <c r="A18" s="78" t="s">
        <v>23</v>
      </c>
      <c r="B18" s="860" t="s">
        <v>618</v>
      </c>
      <c r="C18" s="860"/>
      <c r="D18" s="860"/>
      <c r="E18" s="860"/>
      <c r="F18" s="860"/>
      <c r="G18" s="860"/>
      <c r="H18" s="860"/>
      <c r="I18" s="860"/>
      <c r="J18" s="860"/>
      <c r="K18" s="860"/>
      <c r="L18" s="860"/>
      <c r="M18" s="860"/>
      <c r="N18" s="536"/>
      <c r="O18" s="596"/>
      <c r="P18" s="596"/>
      <c r="Q18" s="596"/>
    </row>
    <row r="19" spans="1:18" ht="11.25" customHeight="1">
      <c r="A19" s="56"/>
      <c r="B19" s="56"/>
      <c r="C19" s="56"/>
      <c r="D19" s="56"/>
      <c r="E19" s="56"/>
      <c r="F19" s="56"/>
      <c r="G19" s="56"/>
      <c r="H19" s="56"/>
      <c r="I19" s="56"/>
      <c r="J19" s="56"/>
      <c r="K19" s="56"/>
      <c r="L19" s="56"/>
      <c r="M19" s="56"/>
      <c r="N19" s="536"/>
      <c r="O19" s="596"/>
      <c r="P19" s="596"/>
      <c r="Q19" s="596"/>
    </row>
    <row r="20" spans="1:18" ht="15.75" customHeight="1">
      <c r="A20" s="56"/>
      <c r="B20" s="56"/>
      <c r="C20" s="857" t="str">
        <f>+UPPER(Q4)&amp;" "&amp;Q5</f>
        <v>ABRIL 2018</v>
      </c>
      <c r="D20" s="858"/>
      <c r="E20" s="51"/>
      <c r="F20" s="51"/>
      <c r="G20" s="51"/>
      <c r="H20" s="51"/>
      <c r="I20" s="857" t="str">
        <f>+UPPER(Q4)&amp;" "&amp;Q5-1</f>
        <v>ABRIL 2017</v>
      </c>
      <c r="J20" s="857"/>
      <c r="K20" s="857"/>
      <c r="L20" s="56"/>
      <c r="M20" s="56"/>
      <c r="Q20" s="596"/>
    </row>
    <row r="21" spans="1:18" ht="11.25" customHeight="1">
      <c r="A21" s="56"/>
      <c r="B21" s="56"/>
      <c r="C21" s="56"/>
      <c r="D21" s="56"/>
      <c r="E21" s="56"/>
      <c r="F21" s="56"/>
      <c r="G21" s="56"/>
      <c r="H21" s="56"/>
      <c r="I21" s="56"/>
      <c r="J21" s="56"/>
      <c r="K21" s="56"/>
      <c r="L21" s="56"/>
      <c r="M21" s="56"/>
      <c r="Q21" s="596"/>
    </row>
    <row r="22" spans="1:18" ht="11.25" customHeight="1">
      <c r="A22" s="66"/>
      <c r="B22" s="67"/>
      <c r="C22" s="67"/>
      <c r="D22" s="67"/>
      <c r="E22" s="67"/>
      <c r="F22" s="67"/>
      <c r="G22" s="67"/>
      <c r="H22" s="67"/>
      <c r="I22" s="67"/>
      <c r="J22" s="67"/>
      <c r="K22" s="67"/>
      <c r="L22" s="67"/>
      <c r="M22" s="67"/>
      <c r="N22" s="642" t="s">
        <v>31</v>
      </c>
      <c r="O22" s="600" t="s">
        <v>619</v>
      </c>
      <c r="P22" s="600" t="s">
        <v>620</v>
      </c>
    </row>
    <row r="23" spans="1:18" ht="11.25" customHeight="1">
      <c r="A23" s="66"/>
      <c r="B23" s="67"/>
      <c r="C23" s="67"/>
      <c r="D23" s="67"/>
      <c r="E23" s="67"/>
      <c r="F23" s="67"/>
      <c r="G23" s="67"/>
      <c r="H23" s="67"/>
      <c r="I23" s="67"/>
      <c r="J23" s="67"/>
      <c r="K23" s="67"/>
      <c r="L23" s="67"/>
      <c r="M23" s="67"/>
      <c r="N23" s="642" t="s">
        <v>24</v>
      </c>
      <c r="O23" s="601">
        <v>3012.519140195001</v>
      </c>
      <c r="P23" s="601">
        <v>2575.6931020716493</v>
      </c>
      <c r="Q23" s="602"/>
    </row>
    <row r="24" spans="1:18" ht="11.25" customHeight="1">
      <c r="A24" s="56"/>
      <c r="B24" s="56"/>
      <c r="C24" s="56"/>
      <c r="D24" s="56"/>
      <c r="E24" s="60"/>
      <c r="F24" s="68"/>
      <c r="G24" s="68"/>
      <c r="H24" s="68"/>
      <c r="I24" s="68"/>
      <c r="J24" s="68"/>
      <c r="K24" s="68"/>
      <c r="L24" s="68"/>
      <c r="M24" s="60"/>
      <c r="N24" s="643" t="s">
        <v>25</v>
      </c>
      <c r="O24" s="603">
        <v>995.94077303749975</v>
      </c>
      <c r="P24" s="603">
        <v>1198.4361964136247</v>
      </c>
      <c r="Q24" s="601"/>
      <c r="R24" s="601"/>
    </row>
    <row r="25" spans="1:18" ht="11.25" customHeight="1">
      <c r="A25" s="56"/>
      <c r="B25" s="56"/>
      <c r="C25" s="56"/>
      <c r="D25" s="56"/>
      <c r="E25" s="56"/>
      <c r="F25" s="56"/>
      <c r="G25" s="56"/>
      <c r="H25" s="56"/>
      <c r="I25" s="56"/>
      <c r="J25" s="69"/>
      <c r="K25" s="69"/>
      <c r="L25" s="56"/>
      <c r="M25" s="56"/>
      <c r="N25" s="643" t="s">
        <v>26</v>
      </c>
      <c r="O25" s="603">
        <v>6.6665021175000003</v>
      </c>
      <c r="P25" s="603">
        <v>61.619238063476601</v>
      </c>
      <c r="Q25" s="604"/>
    </row>
    <row r="26" spans="1:18" ht="11.25" customHeight="1">
      <c r="A26" s="56"/>
      <c r="B26" s="56"/>
      <c r="C26" s="56"/>
      <c r="D26" s="56"/>
      <c r="E26" s="56"/>
      <c r="F26" s="56"/>
      <c r="G26" s="56"/>
      <c r="H26" s="56"/>
      <c r="I26" s="56"/>
      <c r="J26" s="69"/>
      <c r="K26" s="69"/>
      <c r="L26" s="56"/>
      <c r="M26" s="56"/>
      <c r="N26" s="644" t="s">
        <v>27</v>
      </c>
      <c r="O26" s="601">
        <v>8.2433951325000017</v>
      </c>
      <c r="P26" s="601">
        <v>8.758008694878999</v>
      </c>
      <c r="Q26" s="604"/>
    </row>
    <row r="27" spans="1:18" ht="11.25" customHeight="1">
      <c r="A27" s="56"/>
      <c r="B27" s="56"/>
      <c r="C27" s="56"/>
      <c r="D27" s="56"/>
      <c r="E27" s="56"/>
      <c r="F27" s="56"/>
      <c r="G27" s="56"/>
      <c r="H27" s="56"/>
      <c r="I27" s="56"/>
      <c r="J27" s="69"/>
      <c r="K27" s="56"/>
      <c r="L27" s="56"/>
      <c r="M27" s="56"/>
      <c r="N27" s="642" t="s">
        <v>28</v>
      </c>
      <c r="O27" s="601">
        <v>11.345513060000002</v>
      </c>
      <c r="P27" s="601">
        <v>7.1728792886017505</v>
      </c>
      <c r="Q27" s="604"/>
    </row>
    <row r="28" spans="1:18" ht="11.25" customHeight="1">
      <c r="A28" s="56"/>
      <c r="B28" s="56"/>
      <c r="C28" s="69"/>
      <c r="D28" s="69"/>
      <c r="E28" s="69"/>
      <c r="F28" s="69"/>
      <c r="G28" s="69"/>
      <c r="H28" s="69"/>
      <c r="I28" s="69"/>
      <c r="J28" s="69"/>
      <c r="K28" s="69"/>
      <c r="L28" s="56"/>
      <c r="M28" s="56"/>
      <c r="N28" s="642" t="s">
        <v>29</v>
      </c>
      <c r="O28" s="601">
        <v>115.011208025</v>
      </c>
      <c r="P28" s="601">
        <v>92.967202730385409</v>
      </c>
      <c r="Q28" s="604"/>
    </row>
    <row r="29" spans="1:18" ht="11.25" customHeight="1">
      <c r="A29" s="56"/>
      <c r="B29" s="56"/>
      <c r="C29" s="69"/>
      <c r="D29" s="69"/>
      <c r="E29" s="69"/>
      <c r="F29" s="69"/>
      <c r="G29" s="69"/>
      <c r="H29" s="69"/>
      <c r="I29" s="69"/>
      <c r="J29" s="69"/>
      <c r="K29" s="69"/>
      <c r="L29" s="56"/>
      <c r="M29" s="56"/>
      <c r="N29" s="642" t="s">
        <v>30</v>
      </c>
      <c r="O29" s="601">
        <v>58.171585880000009</v>
      </c>
      <c r="P29" s="601">
        <v>19.088536792355001</v>
      </c>
      <c r="Q29" s="604"/>
    </row>
    <row r="30" spans="1:18" ht="11.25" customHeight="1">
      <c r="A30" s="56"/>
      <c r="B30" s="56"/>
      <c r="C30" s="69"/>
      <c r="D30" s="69"/>
      <c r="E30" s="69"/>
      <c r="F30" s="69"/>
      <c r="G30" s="69"/>
      <c r="H30" s="69"/>
      <c r="I30" s="69"/>
      <c r="J30" s="69"/>
      <c r="K30" s="69"/>
      <c r="L30" s="56"/>
      <c r="M30" s="56"/>
      <c r="N30" s="645"/>
      <c r="O30" s="605"/>
      <c r="P30" s="605"/>
      <c r="Q30" s="604"/>
    </row>
    <row r="31" spans="1:18" ht="11.25" customHeight="1">
      <c r="A31" s="56"/>
      <c r="B31" s="56"/>
      <c r="C31" s="69"/>
      <c r="D31" s="69"/>
      <c r="E31" s="69"/>
      <c r="F31" s="69"/>
      <c r="G31" s="69"/>
      <c r="H31" s="69"/>
      <c r="I31" s="69"/>
      <c r="J31" s="69"/>
      <c r="K31" s="69"/>
      <c r="L31" s="56"/>
      <c r="M31" s="56"/>
      <c r="O31" s="707"/>
      <c r="P31" s="707"/>
      <c r="Q31" s="708"/>
    </row>
    <row r="32" spans="1:18" ht="11.25" customHeight="1">
      <c r="A32" s="56"/>
      <c r="B32" s="56"/>
      <c r="C32" s="69"/>
      <c r="D32" s="69"/>
      <c r="E32" s="69"/>
      <c r="F32" s="69"/>
      <c r="G32" s="69"/>
      <c r="H32" s="69"/>
      <c r="I32" s="69"/>
      <c r="J32" s="69"/>
      <c r="K32" s="69"/>
      <c r="L32" s="56"/>
      <c r="M32" s="56"/>
      <c r="Q32" s="596"/>
    </row>
    <row r="33" spans="1:17" ht="11.25" customHeight="1">
      <c r="A33" s="56"/>
      <c r="B33" s="56"/>
      <c r="C33" s="69"/>
      <c r="D33" s="69"/>
      <c r="E33" s="69"/>
      <c r="F33" s="69"/>
      <c r="G33" s="69"/>
      <c r="H33" s="69"/>
      <c r="I33" s="69"/>
      <c r="J33" s="69"/>
      <c r="K33" s="69"/>
      <c r="L33" s="56"/>
      <c r="M33" s="56"/>
      <c r="Q33" s="596"/>
    </row>
    <row r="34" spans="1:17" ht="11.25" customHeight="1">
      <c r="A34" s="56"/>
      <c r="B34" s="56"/>
      <c r="C34" s="69"/>
      <c r="D34" s="69"/>
      <c r="E34" s="69"/>
      <c r="F34" s="69"/>
      <c r="G34" s="69"/>
      <c r="H34" s="69"/>
      <c r="I34" s="69"/>
      <c r="J34" s="69"/>
      <c r="K34" s="69"/>
      <c r="L34" s="56"/>
      <c r="M34" s="56"/>
      <c r="Q34" s="596"/>
    </row>
    <row r="35" spans="1:17" ht="11.25" customHeight="1">
      <c r="A35" s="70"/>
      <c r="B35" s="70"/>
      <c r="C35" s="71"/>
      <c r="D35" s="71"/>
      <c r="E35" s="71"/>
      <c r="F35" s="71"/>
      <c r="G35" s="71"/>
      <c r="H35" s="71"/>
      <c r="I35" s="71"/>
      <c r="J35" s="70"/>
      <c r="K35" s="70"/>
      <c r="L35" s="70"/>
      <c r="M35" s="70"/>
      <c r="Q35" s="596"/>
    </row>
    <row r="36" spans="1:17" ht="11.25" customHeight="1">
      <c r="A36" s="70"/>
      <c r="B36" s="70"/>
      <c r="C36" s="71"/>
      <c r="D36" s="71"/>
      <c r="E36" s="71"/>
      <c r="F36" s="71"/>
      <c r="G36" s="71"/>
      <c r="H36" s="71"/>
      <c r="I36" s="71"/>
      <c r="J36" s="70"/>
      <c r="K36" s="70"/>
      <c r="L36" s="70"/>
      <c r="M36" s="70"/>
      <c r="Q36" s="596"/>
    </row>
    <row r="37" spans="1:17" ht="11.25" customHeight="1">
      <c r="A37" s="70"/>
      <c r="B37" s="70"/>
      <c r="C37" s="71"/>
      <c r="D37" s="71"/>
      <c r="E37" s="71"/>
      <c r="F37" s="71"/>
      <c r="G37" s="71"/>
      <c r="H37" s="71"/>
      <c r="I37" s="71"/>
      <c r="J37" s="70"/>
      <c r="K37" s="70"/>
      <c r="L37" s="70"/>
      <c r="M37" s="70"/>
      <c r="N37" s="536"/>
      <c r="O37" s="596"/>
      <c r="P37" s="596"/>
      <c r="Q37" s="596"/>
    </row>
    <row r="38" spans="1:17" ht="11.25" customHeight="1">
      <c r="A38" s="70"/>
      <c r="B38" s="70"/>
      <c r="C38" s="71"/>
      <c r="D38" s="71"/>
      <c r="E38" s="71"/>
      <c r="F38" s="71"/>
      <c r="G38" s="71"/>
      <c r="H38" s="71"/>
      <c r="I38" s="71"/>
      <c r="J38" s="70"/>
      <c r="K38" s="70"/>
      <c r="L38" s="70"/>
      <c r="M38" s="70"/>
      <c r="N38" s="536"/>
      <c r="O38" s="596"/>
      <c r="P38" s="596"/>
      <c r="Q38" s="596"/>
    </row>
    <row r="39" spans="1:17" ht="11.25" customHeight="1">
      <c r="A39" s="70"/>
      <c r="B39" s="70"/>
      <c r="C39" s="71"/>
      <c r="D39" s="71"/>
      <c r="E39" s="71"/>
      <c r="F39" s="71"/>
      <c r="G39" s="71"/>
      <c r="H39" s="71"/>
      <c r="I39" s="71"/>
      <c r="J39" s="70"/>
      <c r="K39" s="70"/>
      <c r="L39" s="70"/>
      <c r="M39" s="70"/>
      <c r="N39" s="536"/>
      <c r="O39" s="596"/>
      <c r="P39" s="596"/>
      <c r="Q39" s="596"/>
    </row>
    <row r="40" spans="1:17" ht="11.25" customHeight="1">
      <c r="A40" s="70"/>
      <c r="B40" s="70"/>
      <c r="C40" s="71"/>
      <c r="D40" s="71"/>
      <c r="E40" s="71"/>
      <c r="F40" s="71"/>
      <c r="G40" s="71"/>
      <c r="H40" s="71"/>
      <c r="I40" s="71"/>
      <c r="J40" s="70"/>
      <c r="K40" s="70"/>
      <c r="L40" s="70"/>
      <c r="M40" s="70"/>
      <c r="N40" s="536"/>
      <c r="O40" s="596"/>
      <c r="P40" s="596"/>
      <c r="Q40" s="596"/>
    </row>
    <row r="41" spans="1:17" ht="11.25" customHeight="1">
      <c r="A41" s="70"/>
      <c r="B41" s="70"/>
      <c r="C41" s="70"/>
      <c r="D41" s="71"/>
      <c r="E41" s="71"/>
      <c r="F41" s="71"/>
      <c r="G41" s="71"/>
      <c r="H41" s="70"/>
      <c r="I41" s="70"/>
      <c r="J41" s="70"/>
      <c r="K41" s="70"/>
      <c r="L41" s="70"/>
      <c r="M41" s="70"/>
      <c r="N41" s="536"/>
      <c r="O41" s="596"/>
      <c r="P41" s="596"/>
      <c r="Q41" s="596"/>
    </row>
    <row r="42" spans="1:17" ht="11.25" customHeight="1">
      <c r="A42" s="70"/>
      <c r="B42" s="70"/>
      <c r="C42" s="71"/>
      <c r="D42" s="71"/>
      <c r="E42" s="71"/>
      <c r="F42" s="71"/>
      <c r="G42" s="71"/>
      <c r="H42" s="71"/>
      <c r="I42" s="71"/>
      <c r="J42" s="70"/>
      <c r="K42" s="70"/>
      <c r="L42" s="70"/>
      <c r="M42" s="70"/>
      <c r="N42" s="536"/>
      <c r="O42" s="596"/>
      <c r="P42" s="596"/>
      <c r="Q42" s="596"/>
    </row>
    <row r="43" spans="1:17" ht="11.25" customHeight="1">
      <c r="A43" s="70"/>
      <c r="B43" s="70"/>
      <c r="C43" s="71"/>
      <c r="D43" s="71"/>
      <c r="E43" s="71"/>
      <c r="F43" s="71"/>
      <c r="G43" s="71"/>
      <c r="H43" s="71"/>
      <c r="I43" s="71"/>
      <c r="J43" s="70"/>
      <c r="K43" s="70"/>
      <c r="L43" s="70"/>
      <c r="M43" s="70"/>
      <c r="N43" s="536"/>
      <c r="O43" s="596"/>
      <c r="P43" s="596"/>
      <c r="Q43" s="596"/>
    </row>
    <row r="44" spans="1:17" ht="11.25" customHeight="1">
      <c r="A44" s="70"/>
      <c r="B44" s="70"/>
      <c r="C44" s="71"/>
      <c r="D44" s="71"/>
      <c r="E44" s="71"/>
      <c r="F44" s="71"/>
      <c r="G44" s="71"/>
      <c r="H44" s="71"/>
      <c r="I44" s="71"/>
      <c r="J44" s="70"/>
      <c r="K44" s="70"/>
      <c r="L44" s="70"/>
      <c r="M44" s="70"/>
      <c r="N44" s="536"/>
      <c r="O44" s="596"/>
      <c r="P44" s="596"/>
      <c r="Q44" s="596"/>
    </row>
    <row r="45" spans="1:17" ht="11.25" customHeight="1">
      <c r="A45" s="70"/>
      <c r="B45" s="70"/>
      <c r="C45" s="71"/>
      <c r="D45" s="71"/>
      <c r="E45" s="71"/>
      <c r="F45" s="71"/>
      <c r="G45" s="71"/>
      <c r="H45" s="71"/>
      <c r="I45" s="71"/>
      <c r="J45" s="70"/>
      <c r="K45" s="70"/>
      <c r="L45" s="70"/>
      <c r="M45" s="70"/>
      <c r="N45" s="536"/>
      <c r="O45" s="596"/>
      <c r="P45" s="596"/>
      <c r="Q45" s="596"/>
    </row>
    <row r="46" spans="1:17" ht="11.25" customHeight="1">
      <c r="A46" s="70"/>
      <c r="B46" s="70"/>
      <c r="C46" s="70"/>
      <c r="D46" s="70"/>
      <c r="E46" s="70"/>
      <c r="F46" s="70"/>
      <c r="G46" s="70"/>
      <c r="H46" s="70"/>
      <c r="I46" s="70"/>
      <c r="J46" s="70"/>
      <c r="K46" s="70"/>
      <c r="L46" s="70"/>
      <c r="M46" s="70"/>
      <c r="N46" s="536"/>
      <c r="O46" s="596"/>
      <c r="P46" s="596"/>
      <c r="Q46" s="596"/>
    </row>
    <row r="47" spans="1:17" ht="16.5" customHeight="1">
      <c r="A47" s="70"/>
      <c r="B47" s="859" t="str">
        <f>"Total = "&amp;TEXT(ROUND(SUM(O23:O29),2),"0 000,00")&amp;" GWh"</f>
        <v>Total = 4 207,90 GWh</v>
      </c>
      <c r="C47" s="859"/>
      <c r="D47" s="859"/>
      <c r="E47" s="859"/>
      <c r="F47" s="70"/>
      <c r="G47" s="70"/>
      <c r="H47" s="859" t="str">
        <f>"Total = "&amp;TEXT(ROUND(SUM(P23:P29),2),"0 000,00")&amp;" GWh"</f>
        <v>Total = 3 963,74 GWh</v>
      </c>
      <c r="I47" s="859"/>
      <c r="J47" s="859"/>
      <c r="K47" s="859"/>
      <c r="L47" s="70"/>
      <c r="M47" s="70"/>
      <c r="N47" s="536"/>
      <c r="O47" s="596"/>
      <c r="P47" s="596"/>
      <c r="Q47" s="596"/>
    </row>
    <row r="48" spans="1:17" ht="11.25" customHeight="1">
      <c r="H48" s="70"/>
      <c r="I48" s="70"/>
      <c r="J48" s="70"/>
      <c r="K48" s="70"/>
      <c r="L48" s="70"/>
      <c r="M48" s="70"/>
      <c r="N48" s="536"/>
      <c r="O48" s="596"/>
      <c r="P48" s="596"/>
      <c r="Q48" s="596"/>
    </row>
    <row r="49" spans="1:17" ht="11.25" customHeight="1">
      <c r="B49" s="856" t="str">
        <f>"Gráfico 1: Comparación de producción mensual de electricidad en "&amp;Q4&amp;" por tipo de recurso energético"</f>
        <v>Gráfico 1: Comparación de producción mensual de electricidad en abril por tipo de recurso energético</v>
      </c>
      <c r="C49" s="856"/>
      <c r="D49" s="856"/>
      <c r="E49" s="856"/>
      <c r="F49" s="856"/>
      <c r="G49" s="856"/>
      <c r="H49" s="856"/>
      <c r="I49" s="856"/>
      <c r="J49" s="856"/>
      <c r="K49" s="856"/>
      <c r="L49" s="856"/>
      <c r="M49" s="343"/>
      <c r="N49" s="539"/>
      <c r="O49" s="596"/>
      <c r="P49" s="596"/>
      <c r="Q49" s="596"/>
    </row>
    <row r="50" spans="1:17" ht="11.25" customHeight="1">
      <c r="A50" s="70"/>
      <c r="B50" s="70"/>
      <c r="C50" s="57"/>
      <c r="D50" s="57"/>
      <c r="E50" s="70"/>
      <c r="F50" s="70"/>
      <c r="G50" s="70"/>
      <c r="H50" s="70"/>
      <c r="I50" s="70"/>
      <c r="J50" s="70"/>
      <c r="K50" s="70"/>
      <c r="L50" s="70"/>
      <c r="M50" s="70"/>
      <c r="N50" s="536"/>
      <c r="O50" s="596"/>
      <c r="P50" s="596"/>
      <c r="Q50" s="596"/>
    </row>
    <row r="51" spans="1:17" ht="11.25" customHeight="1">
      <c r="A51" s="70"/>
      <c r="B51" s="70"/>
      <c r="C51" s="70"/>
      <c r="D51" s="70"/>
      <c r="E51" s="70"/>
      <c r="F51" s="70"/>
      <c r="G51" s="70"/>
      <c r="H51" s="70"/>
      <c r="I51" s="70"/>
      <c r="J51" s="70"/>
      <c r="K51" s="70"/>
      <c r="L51" s="70"/>
      <c r="M51" s="70"/>
      <c r="N51" s="536"/>
      <c r="O51" s="596"/>
      <c r="P51" s="596"/>
      <c r="Q51" s="596"/>
    </row>
    <row r="52" spans="1:17" ht="11.25" customHeight="1">
      <c r="A52" s="70"/>
      <c r="B52" s="70"/>
      <c r="C52" s="70"/>
      <c r="D52" s="70"/>
      <c r="E52" s="70"/>
      <c r="F52" s="70"/>
      <c r="G52" s="70"/>
      <c r="H52" s="70"/>
      <c r="I52" s="70"/>
      <c r="J52" s="70"/>
      <c r="K52" s="70"/>
      <c r="L52" s="70"/>
      <c r="M52" s="70"/>
      <c r="N52" s="536"/>
      <c r="O52" s="596"/>
      <c r="P52" s="596"/>
      <c r="Q52" s="596"/>
    </row>
    <row r="53" spans="1:17" ht="11.25" customHeight="1">
      <c r="A53" s="70"/>
      <c r="B53" s="70"/>
      <c r="C53" s="70"/>
      <c r="D53" s="70"/>
      <c r="E53" s="70"/>
      <c r="F53" s="70"/>
      <c r="G53" s="70"/>
      <c r="H53" s="70"/>
      <c r="I53" s="70"/>
      <c r="J53" s="70"/>
      <c r="K53" s="70"/>
      <c r="L53" s="70"/>
      <c r="M53" s="70"/>
      <c r="N53" s="536"/>
      <c r="O53" s="596"/>
      <c r="P53" s="596"/>
      <c r="Q53" s="596"/>
    </row>
    <row r="54" spans="1:17" ht="11.25" customHeight="1">
      <c r="A54" s="11"/>
      <c r="B54" s="72"/>
      <c r="C54" s="72"/>
      <c r="D54" s="72"/>
      <c r="E54" s="72"/>
      <c r="F54" s="72"/>
      <c r="G54" s="72"/>
      <c r="H54" s="72"/>
      <c r="I54" s="72"/>
      <c r="J54" s="72"/>
      <c r="K54" s="73"/>
      <c r="L54" s="74"/>
    </row>
    <row r="55" spans="1:17" ht="11.25" customHeight="1">
      <c r="A55" s="11"/>
      <c r="B55" s="72"/>
      <c r="C55" s="72"/>
      <c r="D55" s="72"/>
      <c r="E55" s="72"/>
      <c r="F55" s="72"/>
      <c r="G55" s="72"/>
      <c r="H55" s="72"/>
      <c r="I55" s="72"/>
      <c r="J55" s="72"/>
      <c r="K55" s="73"/>
      <c r="L55" s="74"/>
    </row>
    <row r="56" spans="1:17" ht="11.25" customHeight="1">
      <c r="A56" s="75"/>
      <c r="B56" s="75"/>
      <c r="C56" s="75"/>
      <c r="D56" s="75"/>
      <c r="E56" s="75"/>
      <c r="F56" s="75"/>
      <c r="G56" s="75"/>
      <c r="H56" s="75"/>
      <c r="I56" s="75"/>
      <c r="J56" s="75"/>
      <c r="K56" s="75"/>
      <c r="L56" s="75"/>
    </row>
    <row r="57" spans="1:17" ht="11.25" customHeight="1">
      <c r="A57" s="76"/>
      <c r="B57" s="76"/>
      <c r="C57" s="76"/>
      <c r="D57" s="76"/>
      <c r="E57" s="76"/>
      <c r="F57" s="76"/>
      <c r="G57" s="76"/>
      <c r="H57" s="76"/>
      <c r="I57" s="76"/>
      <c r="J57" s="76"/>
      <c r="K57" s="76"/>
      <c r="L57" s="76"/>
    </row>
    <row r="58" spans="1:17" ht="11.25" customHeight="1">
      <c r="A58" s="76"/>
      <c r="B58" s="76"/>
      <c r="C58" s="76"/>
      <c r="D58" s="76"/>
      <c r="E58" s="76"/>
      <c r="F58" s="76"/>
      <c r="G58" s="76"/>
      <c r="H58" s="76"/>
      <c r="I58" s="76"/>
      <c r="J58" s="76"/>
      <c r="K58" s="76"/>
      <c r="L58" s="76"/>
    </row>
    <row r="59" spans="1:17" ht="11.25" customHeight="1">
      <c r="A59" s="76"/>
      <c r="B59" s="76"/>
      <c r="C59" s="76"/>
      <c r="D59" s="76"/>
      <c r="E59" s="76"/>
      <c r="F59" s="76"/>
      <c r="G59" s="76"/>
      <c r="H59" s="76"/>
      <c r="I59" s="76"/>
      <c r="J59" s="76"/>
      <c r="K59" s="76"/>
      <c r="L59" s="76"/>
    </row>
    <row r="60" spans="1:17" ht="11.25" customHeight="1">
      <c r="A60" s="76"/>
      <c r="B60" s="76"/>
      <c r="C60" s="76"/>
      <c r="D60" s="76"/>
      <c r="E60" s="76"/>
      <c r="F60" s="76"/>
      <c r="G60" s="76"/>
      <c r="H60" s="76"/>
      <c r="I60" s="76"/>
      <c r="J60" s="76"/>
      <c r="K60" s="76"/>
      <c r="L60" s="76"/>
    </row>
    <row r="61" spans="1:17" ht="12">
      <c r="A61" s="76"/>
      <c r="B61" s="76"/>
      <c r="C61" s="76"/>
      <c r="D61" s="76"/>
      <c r="E61" s="76"/>
      <c r="F61" s="76"/>
      <c r="G61" s="76"/>
      <c r="H61" s="76"/>
      <c r="I61" s="76"/>
      <c r="J61" s="76"/>
      <c r="K61" s="76"/>
      <c r="L61" s="76"/>
    </row>
    <row r="62" spans="1:17" ht="12">
      <c r="A62" s="76"/>
      <c r="B62" s="76"/>
      <c r="C62" s="76"/>
      <c r="D62" s="76"/>
      <c r="E62" s="76"/>
      <c r="F62" s="76"/>
      <c r="G62" s="76"/>
      <c r="H62" s="76"/>
      <c r="I62" s="76"/>
      <c r="J62" s="76"/>
      <c r="K62" s="76"/>
      <c r="L62" s="76"/>
    </row>
    <row r="63" spans="1:17" ht="12">
      <c r="A63" s="76"/>
      <c r="B63" s="76"/>
      <c r="C63" s="76"/>
      <c r="D63" s="76"/>
      <c r="E63" s="76"/>
      <c r="F63" s="76"/>
      <c r="G63" s="76"/>
      <c r="H63" s="76"/>
      <c r="I63" s="76"/>
      <c r="J63" s="76"/>
      <c r="K63" s="76"/>
      <c r="L63" s="76"/>
    </row>
    <row r="64" spans="1:17" ht="12">
      <c r="A64" s="76"/>
      <c r="B64" s="76"/>
      <c r="C64" s="76"/>
      <c r="D64" s="76"/>
      <c r="E64" s="76"/>
      <c r="F64" s="76"/>
      <c r="G64" s="76"/>
      <c r="H64" s="76"/>
      <c r="I64" s="76"/>
      <c r="J64" s="76"/>
      <c r="K64" s="76"/>
      <c r="L64" s="76"/>
    </row>
    <row r="65" spans="1:12" ht="12">
      <c r="A65" s="76"/>
      <c r="B65" s="76"/>
      <c r="C65" s="76"/>
      <c r="D65" s="76"/>
      <c r="E65" s="76"/>
      <c r="F65" s="76"/>
      <c r="G65" s="76"/>
      <c r="H65" s="76"/>
      <c r="I65" s="76"/>
      <c r="J65" s="76"/>
      <c r="K65" s="76"/>
      <c r="L65" s="76"/>
    </row>
    <row r="66" spans="1:12" ht="12">
      <c r="A66" s="76"/>
      <c r="B66" s="76"/>
      <c r="C66" s="76"/>
      <c r="D66" s="76"/>
      <c r="E66" s="76"/>
      <c r="F66" s="76"/>
      <c r="G66" s="76"/>
      <c r="H66" s="76"/>
      <c r="I66" s="76"/>
      <c r="J66" s="76"/>
      <c r="K66" s="76"/>
      <c r="L66" s="76"/>
    </row>
    <row r="67" spans="1:12" ht="12">
      <c r="A67" s="76"/>
      <c r="B67" s="76"/>
      <c r="C67" s="76"/>
      <c r="D67" s="76"/>
      <c r="E67" s="76"/>
      <c r="F67" s="76"/>
      <c r="G67" s="76"/>
      <c r="H67" s="76"/>
      <c r="I67" s="76"/>
      <c r="J67" s="76"/>
      <c r="K67" s="76"/>
      <c r="L67" s="76"/>
    </row>
  </sheetData>
  <mergeCells count="11">
    <mergeCell ref="A1:M1"/>
    <mergeCell ref="B49:L49"/>
    <mergeCell ref="C20:D20"/>
    <mergeCell ref="H47:K47"/>
    <mergeCell ref="B47:E47"/>
    <mergeCell ref="I20:K20"/>
    <mergeCell ref="B18:M18"/>
    <mergeCell ref="B12:M12"/>
    <mergeCell ref="B14:M14"/>
    <mergeCell ref="B16:M16"/>
    <mergeCell ref="C3:J3"/>
  </mergeCells>
  <pageMargins left="0.5803571428571429" right="0.38690476190476192" top="0.83333333333333337" bottom="0.64950980392156865" header="0.3" footer="0.3"/>
  <pageSetup orientation="portrait" r:id="rId1"/>
  <headerFooter>
    <oddHeader>&amp;R&amp;7Informe de la Operación Mensual - Abril 2018
INFSGI-MES-04-2018
10/05/2018
Versión: 01</oddHeader>
    <oddFooter>&amp;LCOES SINAC, 2018&amp;C1&amp;RDirección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30917-C62A-4DA6-967C-AD9CC3FC7C9B}">
  <sheetPr>
    <tabColor theme="4"/>
  </sheetPr>
  <dimension ref="A1:J149"/>
  <sheetViews>
    <sheetView showGridLines="0" view="pageBreakPreview" zoomScale="160" zoomScaleNormal="100" zoomScaleSheetLayoutView="160" zoomScalePageLayoutView="145" workbookViewId="0">
      <selection activeCell="P17" sqref="P17"/>
    </sheetView>
  </sheetViews>
  <sheetFormatPr defaultRowHeight="9"/>
  <cols>
    <col min="1" max="1" width="16.1640625" style="512" customWidth="1"/>
    <col min="2" max="2" width="19.6640625" style="512" customWidth="1"/>
    <col min="3" max="3" width="12.1640625" style="512" bestFit="1" customWidth="1"/>
    <col min="4" max="4" width="47.1640625" style="512" customWidth="1"/>
    <col min="5" max="5" width="11.5" style="512" customWidth="1"/>
    <col min="6" max="6" width="10.5" style="512" customWidth="1"/>
    <col min="7" max="8" width="9.33203125" style="512" customWidth="1"/>
    <col min="9" max="10" width="9.33203125" style="512"/>
    <col min="11" max="16384" width="9.33203125" style="521"/>
  </cols>
  <sheetData>
    <row r="1" spans="1:9" s="512" customFormat="1" ht="30" customHeight="1">
      <c r="A1" s="523" t="s">
        <v>294</v>
      </c>
      <c r="B1" s="524" t="s">
        <v>480</v>
      </c>
      <c r="C1" s="523" t="s">
        <v>469</v>
      </c>
      <c r="D1" s="525" t="s">
        <v>481</v>
      </c>
      <c r="E1" s="526" t="s">
        <v>482</v>
      </c>
      <c r="F1" s="526" t="s">
        <v>483</v>
      </c>
      <c r="G1" s="478"/>
      <c r="H1" s="513"/>
      <c r="I1" s="476"/>
    </row>
    <row r="2" spans="1:9" s="512" customFormat="1" ht="93" customHeight="1">
      <c r="A2" s="527" t="s">
        <v>491</v>
      </c>
      <c r="B2" s="527" t="s">
        <v>659</v>
      </c>
      <c r="C2" s="528">
        <v>43197.616666666669</v>
      </c>
      <c r="D2" s="715" t="s">
        <v>660</v>
      </c>
      <c r="E2" s="529">
        <v>10.4</v>
      </c>
      <c r="F2" s="529"/>
      <c r="G2" s="477"/>
      <c r="H2" s="477"/>
      <c r="I2" s="518"/>
    </row>
    <row r="3" spans="1:9" s="512" customFormat="1" ht="72.75" customHeight="1">
      <c r="A3" s="527" t="s">
        <v>661</v>
      </c>
      <c r="B3" s="527" t="s">
        <v>662</v>
      </c>
      <c r="C3" s="528">
        <v>43199.490277777775</v>
      </c>
      <c r="D3" s="715" t="s">
        <v>663</v>
      </c>
      <c r="E3" s="529">
        <v>8.1</v>
      </c>
      <c r="F3" s="529"/>
      <c r="G3" s="477"/>
      <c r="H3" s="477"/>
      <c r="I3" s="516"/>
    </row>
    <row r="4" spans="1:9" s="512" customFormat="1" ht="69" customHeight="1">
      <c r="A4" s="527" t="s">
        <v>496</v>
      </c>
      <c r="B4" s="527" t="s">
        <v>664</v>
      </c>
      <c r="C4" s="528">
        <v>43202.741666666669</v>
      </c>
      <c r="D4" s="715" t="s">
        <v>665</v>
      </c>
      <c r="E4" s="529">
        <v>3</v>
      </c>
      <c r="F4" s="529"/>
      <c r="G4" s="477"/>
      <c r="H4" s="477"/>
      <c r="I4" s="516"/>
    </row>
    <row r="5" spans="1:9" s="512" customFormat="1" ht="92.25" customHeight="1">
      <c r="A5" s="527" t="s">
        <v>642</v>
      </c>
      <c r="B5" s="527" t="s">
        <v>643</v>
      </c>
      <c r="C5" s="528">
        <v>43203.140277777777</v>
      </c>
      <c r="D5" s="715" t="s">
        <v>666</v>
      </c>
      <c r="E5" s="529">
        <v>27.13</v>
      </c>
      <c r="F5" s="529"/>
      <c r="G5" s="477"/>
      <c r="H5" s="477"/>
      <c r="I5" s="516"/>
    </row>
    <row r="6" spans="1:9" s="512" customFormat="1" ht="73.5" customHeight="1">
      <c r="A6" s="527" t="s">
        <v>97</v>
      </c>
      <c r="B6" s="527" t="s">
        <v>667</v>
      </c>
      <c r="C6" s="528">
        <v>43203.597222222219</v>
      </c>
      <c r="D6" s="715" t="s">
        <v>668</v>
      </c>
      <c r="E6" s="529">
        <v>0.41</v>
      </c>
      <c r="F6" s="529"/>
      <c r="G6" s="477"/>
      <c r="H6" s="477"/>
      <c r="I6" s="516"/>
    </row>
    <row r="7" spans="1:9" s="512" customFormat="1" ht="94.5" customHeight="1">
      <c r="A7" s="527" t="s">
        <v>491</v>
      </c>
      <c r="B7" s="527" t="s">
        <v>537</v>
      </c>
      <c r="C7" s="528">
        <v>43203.623611111114</v>
      </c>
      <c r="D7" s="715" t="s">
        <v>669</v>
      </c>
      <c r="E7" s="529">
        <v>8.2799999999999994</v>
      </c>
      <c r="F7" s="529">
        <v>2.4900000000000002</v>
      </c>
      <c r="G7" s="477"/>
      <c r="H7" s="477"/>
      <c r="I7" s="516"/>
    </row>
    <row r="8" spans="1:9" s="512" customFormat="1" ht="137.25" customHeight="1">
      <c r="A8" s="527" t="s">
        <v>642</v>
      </c>
      <c r="B8" s="527" t="s">
        <v>643</v>
      </c>
      <c r="C8" s="528">
        <v>43204.000694444447</v>
      </c>
      <c r="D8" s="715" t="s">
        <v>670</v>
      </c>
      <c r="E8" s="529">
        <v>26.78</v>
      </c>
      <c r="F8" s="529"/>
      <c r="G8" s="477"/>
      <c r="H8" s="483"/>
      <c r="I8" s="516"/>
    </row>
    <row r="9" spans="1:9">
      <c r="E9" s="522"/>
      <c r="F9" s="522"/>
    </row>
    <row r="10" spans="1:9">
      <c r="E10" s="522"/>
      <c r="F10" s="522"/>
    </row>
    <row r="11" spans="1:9">
      <c r="E11" s="522"/>
      <c r="F11" s="522"/>
    </row>
    <row r="12" spans="1:9">
      <c r="E12" s="522"/>
      <c r="F12" s="522"/>
    </row>
    <row r="13" spans="1:9">
      <c r="E13" s="522"/>
      <c r="F13" s="522"/>
    </row>
    <row r="14" spans="1:9">
      <c r="E14" s="522"/>
      <c r="F14" s="522"/>
    </row>
    <row r="15" spans="1:9">
      <c r="E15" s="522"/>
      <c r="F15" s="522"/>
    </row>
    <row r="16" spans="1:9">
      <c r="E16" s="522"/>
      <c r="F16" s="522"/>
    </row>
    <row r="17" spans="5:6">
      <c r="E17" s="522"/>
      <c r="F17" s="522"/>
    </row>
    <row r="18" spans="5:6">
      <c r="E18" s="522"/>
      <c r="F18" s="522"/>
    </row>
    <row r="19" spans="5:6">
      <c r="E19" s="522"/>
      <c r="F19" s="522"/>
    </row>
    <row r="20" spans="5:6">
      <c r="E20" s="522"/>
      <c r="F20" s="522"/>
    </row>
    <row r="21" spans="5:6">
      <c r="E21" s="522"/>
      <c r="F21" s="522"/>
    </row>
    <row r="22" spans="5:6">
      <c r="E22" s="522"/>
      <c r="F22" s="522"/>
    </row>
    <row r="23" spans="5:6">
      <c r="E23" s="522"/>
      <c r="F23" s="522"/>
    </row>
    <row r="24" spans="5:6">
      <c r="E24" s="522"/>
      <c r="F24" s="522"/>
    </row>
    <row r="25" spans="5:6">
      <c r="E25" s="522"/>
      <c r="F25" s="522"/>
    </row>
    <row r="26" spans="5:6">
      <c r="E26" s="522"/>
      <c r="F26" s="522"/>
    </row>
    <row r="27" spans="5:6">
      <c r="E27" s="522"/>
      <c r="F27" s="522"/>
    </row>
    <row r="28" spans="5:6">
      <c r="E28" s="522"/>
      <c r="F28" s="522"/>
    </row>
    <row r="29" spans="5:6">
      <c r="E29" s="522"/>
      <c r="F29" s="522"/>
    </row>
    <row r="30" spans="5:6">
      <c r="E30" s="522"/>
      <c r="F30" s="522"/>
    </row>
    <row r="31" spans="5:6">
      <c r="E31" s="522"/>
      <c r="F31" s="522"/>
    </row>
    <row r="32" spans="5:6">
      <c r="E32" s="522"/>
      <c r="F32" s="522"/>
    </row>
    <row r="33" spans="5:6">
      <c r="E33" s="522"/>
      <c r="F33" s="522"/>
    </row>
    <row r="34" spans="5:6">
      <c r="E34" s="522"/>
      <c r="F34" s="522"/>
    </row>
    <row r="35" spans="5:6">
      <c r="E35" s="522"/>
      <c r="F35" s="522"/>
    </row>
    <row r="36" spans="5:6">
      <c r="E36" s="522"/>
      <c r="F36" s="522"/>
    </row>
    <row r="37" spans="5:6">
      <c r="E37" s="522"/>
      <c r="F37" s="522"/>
    </row>
    <row r="38" spans="5:6">
      <c r="E38" s="522"/>
      <c r="F38" s="522"/>
    </row>
    <row r="39" spans="5:6">
      <c r="E39" s="522"/>
      <c r="F39" s="522"/>
    </row>
    <row r="40" spans="5:6">
      <c r="E40" s="522"/>
      <c r="F40" s="522"/>
    </row>
    <row r="41" spans="5:6">
      <c r="E41" s="522"/>
      <c r="F41" s="522"/>
    </row>
    <row r="42" spans="5:6">
      <c r="E42" s="522"/>
      <c r="F42" s="522"/>
    </row>
    <row r="43" spans="5:6">
      <c r="E43" s="522"/>
      <c r="F43" s="522"/>
    </row>
    <row r="44" spans="5:6">
      <c r="E44" s="522"/>
      <c r="F44" s="522"/>
    </row>
    <row r="45" spans="5:6">
      <c r="E45" s="522"/>
      <c r="F45" s="522"/>
    </row>
    <row r="46" spans="5:6">
      <c r="E46" s="522"/>
      <c r="F46" s="522"/>
    </row>
    <row r="47" spans="5:6">
      <c r="E47" s="522"/>
      <c r="F47" s="522"/>
    </row>
    <row r="48" spans="5:6">
      <c r="E48" s="522"/>
      <c r="F48" s="522"/>
    </row>
    <row r="49" spans="5:6">
      <c r="E49" s="522"/>
      <c r="F49" s="522"/>
    </row>
    <row r="50" spans="5:6">
      <c r="E50" s="522"/>
      <c r="F50" s="522"/>
    </row>
    <row r="51" spans="5:6">
      <c r="E51" s="522"/>
      <c r="F51" s="522"/>
    </row>
    <row r="52" spans="5:6">
      <c r="E52" s="522"/>
      <c r="F52" s="522"/>
    </row>
    <row r="53" spans="5:6">
      <c r="E53" s="522"/>
      <c r="F53" s="522"/>
    </row>
    <row r="54" spans="5:6">
      <c r="E54" s="522"/>
      <c r="F54" s="522"/>
    </row>
    <row r="55" spans="5:6">
      <c r="E55" s="522"/>
      <c r="F55" s="522"/>
    </row>
    <row r="56" spans="5:6">
      <c r="E56" s="522"/>
      <c r="F56" s="522"/>
    </row>
    <row r="57" spans="5:6">
      <c r="E57" s="522"/>
      <c r="F57" s="522"/>
    </row>
    <row r="58" spans="5:6">
      <c r="E58" s="522"/>
      <c r="F58" s="522"/>
    </row>
    <row r="59" spans="5:6">
      <c r="E59" s="522"/>
      <c r="F59" s="522"/>
    </row>
    <row r="60" spans="5:6">
      <c r="E60" s="522"/>
      <c r="F60" s="522"/>
    </row>
    <row r="61" spans="5:6">
      <c r="E61" s="522"/>
      <c r="F61" s="522"/>
    </row>
    <row r="62" spans="5:6">
      <c r="E62" s="522"/>
      <c r="F62" s="522"/>
    </row>
    <row r="63" spans="5:6">
      <c r="E63" s="522"/>
      <c r="F63" s="522"/>
    </row>
    <row r="64" spans="5:6">
      <c r="E64" s="522"/>
      <c r="F64" s="522"/>
    </row>
    <row r="65" spans="5:6">
      <c r="E65" s="522"/>
      <c r="F65" s="522"/>
    </row>
    <row r="66" spans="5:6">
      <c r="E66" s="522"/>
      <c r="F66" s="522"/>
    </row>
    <row r="67" spans="5:6">
      <c r="E67" s="522"/>
      <c r="F67" s="522"/>
    </row>
    <row r="68" spans="5:6">
      <c r="E68" s="522"/>
      <c r="F68" s="522"/>
    </row>
    <row r="69" spans="5:6">
      <c r="E69" s="522"/>
      <c r="F69" s="522"/>
    </row>
    <row r="70" spans="5:6">
      <c r="E70" s="522"/>
      <c r="F70" s="522"/>
    </row>
    <row r="71" spans="5:6">
      <c r="E71" s="522"/>
      <c r="F71" s="522"/>
    </row>
    <row r="72" spans="5:6">
      <c r="E72" s="522"/>
      <c r="F72" s="522"/>
    </row>
    <row r="73" spans="5:6">
      <c r="E73" s="522"/>
      <c r="F73" s="522"/>
    </row>
    <row r="74" spans="5:6">
      <c r="E74" s="522"/>
      <c r="F74" s="522"/>
    </row>
    <row r="75" spans="5:6">
      <c r="E75" s="522"/>
      <c r="F75" s="522"/>
    </row>
    <row r="76" spans="5:6">
      <c r="E76" s="522"/>
      <c r="F76" s="522"/>
    </row>
    <row r="77" spans="5:6">
      <c r="E77" s="522"/>
      <c r="F77" s="522"/>
    </row>
    <row r="78" spans="5:6">
      <c r="E78" s="522"/>
      <c r="F78" s="522"/>
    </row>
    <row r="79" spans="5:6">
      <c r="E79" s="522"/>
      <c r="F79" s="522"/>
    </row>
    <row r="80" spans="5:6">
      <c r="E80" s="522"/>
      <c r="F80" s="522"/>
    </row>
    <row r="81" spans="5:6">
      <c r="E81" s="522"/>
      <c r="F81" s="522"/>
    </row>
    <row r="82" spans="5:6">
      <c r="E82" s="522"/>
      <c r="F82" s="522"/>
    </row>
    <row r="83" spans="5:6">
      <c r="E83" s="522"/>
      <c r="F83" s="522"/>
    </row>
    <row r="84" spans="5:6">
      <c r="E84" s="522"/>
      <c r="F84" s="522"/>
    </row>
    <row r="85" spans="5:6">
      <c r="E85" s="522"/>
      <c r="F85" s="522"/>
    </row>
    <row r="86" spans="5:6">
      <c r="E86" s="522"/>
      <c r="F86" s="522"/>
    </row>
    <row r="87" spans="5:6">
      <c r="E87" s="522"/>
      <c r="F87" s="522"/>
    </row>
    <row r="88" spans="5:6">
      <c r="E88" s="522"/>
      <c r="F88" s="522"/>
    </row>
    <row r="89" spans="5:6">
      <c r="E89" s="522"/>
      <c r="F89" s="522"/>
    </row>
    <row r="90" spans="5:6">
      <c r="E90" s="522"/>
      <c r="F90" s="522"/>
    </row>
    <row r="91" spans="5:6">
      <c r="E91" s="522"/>
      <c r="F91" s="522"/>
    </row>
    <row r="92" spans="5:6">
      <c r="E92" s="522"/>
      <c r="F92" s="522"/>
    </row>
    <row r="93" spans="5:6">
      <c r="E93" s="522"/>
      <c r="F93" s="522"/>
    </row>
    <row r="94" spans="5:6">
      <c r="E94" s="522"/>
      <c r="F94" s="522"/>
    </row>
    <row r="95" spans="5:6">
      <c r="E95" s="522"/>
      <c r="F95" s="522"/>
    </row>
    <row r="96" spans="5:6">
      <c r="E96" s="522"/>
      <c r="F96" s="522"/>
    </row>
    <row r="97" spans="5:6">
      <c r="E97" s="522"/>
      <c r="F97" s="522"/>
    </row>
    <row r="98" spans="5:6">
      <c r="E98" s="522"/>
      <c r="F98" s="522"/>
    </row>
    <row r="99" spans="5:6">
      <c r="E99" s="522"/>
      <c r="F99" s="522"/>
    </row>
    <row r="100" spans="5:6">
      <c r="E100" s="522"/>
      <c r="F100" s="522"/>
    </row>
    <row r="101" spans="5:6">
      <c r="E101" s="522"/>
      <c r="F101" s="522"/>
    </row>
    <row r="102" spans="5:6">
      <c r="E102" s="522"/>
      <c r="F102" s="522"/>
    </row>
    <row r="103" spans="5:6">
      <c r="E103" s="522"/>
      <c r="F103" s="522"/>
    </row>
    <row r="104" spans="5:6">
      <c r="E104" s="522"/>
      <c r="F104" s="522"/>
    </row>
    <row r="105" spans="5:6">
      <c r="E105" s="522"/>
      <c r="F105" s="522"/>
    </row>
    <row r="106" spans="5:6">
      <c r="E106" s="522"/>
      <c r="F106" s="522"/>
    </row>
    <row r="107" spans="5:6">
      <c r="E107" s="522"/>
      <c r="F107" s="522"/>
    </row>
    <row r="108" spans="5:6">
      <c r="E108" s="522"/>
      <c r="F108" s="522"/>
    </row>
    <row r="109" spans="5:6">
      <c r="E109" s="522"/>
      <c r="F109" s="522"/>
    </row>
    <row r="110" spans="5:6">
      <c r="E110" s="522"/>
      <c r="F110" s="522"/>
    </row>
    <row r="111" spans="5:6">
      <c r="E111" s="522"/>
      <c r="F111" s="522"/>
    </row>
    <row r="112" spans="5:6">
      <c r="E112" s="522"/>
      <c r="F112" s="522"/>
    </row>
    <row r="113" spans="5:6">
      <c r="E113" s="522"/>
      <c r="F113" s="522"/>
    </row>
    <row r="114" spans="5:6">
      <c r="E114" s="522"/>
      <c r="F114" s="522"/>
    </row>
    <row r="115" spans="5:6">
      <c r="E115" s="522"/>
      <c r="F115" s="522"/>
    </row>
    <row r="116" spans="5:6">
      <c r="E116" s="522"/>
      <c r="F116" s="522"/>
    </row>
    <row r="117" spans="5:6">
      <c r="E117" s="522"/>
      <c r="F117" s="522"/>
    </row>
    <row r="118" spans="5:6">
      <c r="E118" s="522"/>
      <c r="F118" s="522"/>
    </row>
    <row r="119" spans="5:6">
      <c r="E119" s="522"/>
      <c r="F119" s="522"/>
    </row>
    <row r="120" spans="5:6">
      <c r="E120" s="522"/>
      <c r="F120" s="522"/>
    </row>
    <row r="121" spans="5:6">
      <c r="E121" s="522"/>
      <c r="F121" s="522"/>
    </row>
    <row r="122" spans="5:6">
      <c r="E122" s="522"/>
      <c r="F122" s="522"/>
    </row>
    <row r="123" spans="5:6">
      <c r="E123" s="522"/>
      <c r="F123" s="522"/>
    </row>
    <row r="124" spans="5:6">
      <c r="E124" s="522"/>
      <c r="F124" s="522"/>
    </row>
    <row r="125" spans="5:6">
      <c r="E125" s="522"/>
      <c r="F125" s="522"/>
    </row>
    <row r="126" spans="5:6">
      <c r="E126" s="522"/>
      <c r="F126" s="522"/>
    </row>
    <row r="127" spans="5:6">
      <c r="E127" s="522"/>
      <c r="F127" s="522"/>
    </row>
    <row r="128" spans="5:6">
      <c r="E128" s="522"/>
      <c r="F128" s="522"/>
    </row>
    <row r="129" spans="5:6">
      <c r="E129" s="522"/>
      <c r="F129" s="522"/>
    </row>
    <row r="130" spans="5:6">
      <c r="E130" s="522"/>
      <c r="F130" s="522"/>
    </row>
    <row r="131" spans="5:6">
      <c r="E131" s="522"/>
      <c r="F131" s="522"/>
    </row>
    <row r="132" spans="5:6">
      <c r="E132" s="522"/>
      <c r="F132" s="522"/>
    </row>
    <row r="133" spans="5:6">
      <c r="E133" s="522"/>
      <c r="F133" s="522"/>
    </row>
    <row r="134" spans="5:6">
      <c r="E134" s="522"/>
      <c r="F134" s="522"/>
    </row>
    <row r="135" spans="5:6">
      <c r="E135" s="522"/>
      <c r="F135" s="522"/>
    </row>
    <row r="136" spans="5:6">
      <c r="E136" s="522"/>
      <c r="F136" s="522"/>
    </row>
    <row r="137" spans="5:6">
      <c r="E137" s="522"/>
      <c r="F137" s="522"/>
    </row>
    <row r="138" spans="5:6">
      <c r="E138" s="522"/>
      <c r="F138" s="522"/>
    </row>
    <row r="139" spans="5:6">
      <c r="E139" s="522"/>
      <c r="F139" s="522"/>
    </row>
    <row r="140" spans="5:6">
      <c r="E140" s="522"/>
      <c r="F140" s="522"/>
    </row>
    <row r="141" spans="5:6">
      <c r="E141" s="522"/>
      <c r="F141" s="522"/>
    </row>
    <row r="142" spans="5:6">
      <c r="E142" s="522"/>
      <c r="F142" s="522"/>
    </row>
    <row r="143" spans="5:6">
      <c r="E143" s="522"/>
      <c r="F143" s="522"/>
    </row>
    <row r="144" spans="5:6">
      <c r="E144" s="522"/>
      <c r="F144" s="522"/>
    </row>
    <row r="145" spans="5:6">
      <c r="E145" s="522"/>
      <c r="F145" s="522"/>
    </row>
    <row r="146" spans="5:6">
      <c r="E146" s="522"/>
      <c r="F146" s="522"/>
    </row>
    <row r="147" spans="5:6">
      <c r="E147" s="522"/>
      <c r="F147" s="522"/>
    </row>
    <row r="148" spans="5:6">
      <c r="E148" s="522"/>
      <c r="F148" s="522"/>
    </row>
    <row r="149" spans="5:6">
      <c r="E149" s="522"/>
      <c r="F149" s="522"/>
    </row>
  </sheetData>
  <pageMargins left="0.7" right="0.51432291666666663" top="0.86956521739130432" bottom="0.61458333333333337" header="0.3" footer="0.3"/>
  <pageSetup orientation="portrait" r:id="rId1"/>
  <headerFooter>
    <oddHeader>&amp;R&amp;7Informe de la Operación Mensual - Abril 2018
INFSGI-MES-04-2018
10/05/2018
Versión: 01</oddHeader>
    <oddFooter>&amp;L&amp;7COES SINAC, 2018
&amp;C28&amp;R&amp;7Dirección Ejecutiva
Sub Dirección de Gestión de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10DEA-92F4-4DE2-8E70-52B58FC201E2}">
  <sheetPr>
    <tabColor theme="4"/>
  </sheetPr>
  <dimension ref="A1:J150"/>
  <sheetViews>
    <sheetView showGridLines="0" view="pageBreakPreview" zoomScale="145" zoomScaleNormal="100" zoomScaleSheetLayoutView="145" zoomScalePageLayoutView="130" workbookViewId="0">
      <selection activeCell="P17" sqref="P17"/>
    </sheetView>
  </sheetViews>
  <sheetFormatPr defaultRowHeight="9"/>
  <cols>
    <col min="1" max="1" width="16.1640625" style="512" customWidth="1"/>
    <col min="2" max="2" width="19.6640625" style="512" customWidth="1"/>
    <col min="3" max="3" width="12.1640625" style="512" bestFit="1" customWidth="1"/>
    <col min="4" max="4" width="47.1640625" style="512" customWidth="1"/>
    <col min="5" max="5" width="11.5" style="512" customWidth="1"/>
    <col min="6" max="6" width="10.5" style="512" customWidth="1"/>
    <col min="7" max="8" width="9.33203125" style="512" customWidth="1"/>
    <col min="9" max="10" width="9.33203125" style="512"/>
    <col min="11" max="16384" width="9.33203125" style="521"/>
  </cols>
  <sheetData>
    <row r="1" spans="1:9" s="512" customFormat="1" ht="30" customHeight="1">
      <c r="A1" s="523" t="s">
        <v>294</v>
      </c>
      <c r="B1" s="524" t="s">
        <v>480</v>
      </c>
      <c r="C1" s="523" t="s">
        <v>469</v>
      </c>
      <c r="D1" s="525" t="s">
        <v>481</v>
      </c>
      <c r="E1" s="526" t="s">
        <v>482</v>
      </c>
      <c r="F1" s="526" t="s">
        <v>483</v>
      </c>
      <c r="G1" s="478"/>
      <c r="H1" s="513"/>
      <c r="I1" s="476"/>
    </row>
    <row r="2" spans="1:9" s="512" customFormat="1" ht="107.25" customHeight="1">
      <c r="A2" s="527" t="s">
        <v>488</v>
      </c>
      <c r="B2" s="527" t="s">
        <v>671</v>
      </c>
      <c r="C2" s="528">
        <v>43204.457638888889</v>
      </c>
      <c r="D2" s="715" t="s">
        <v>672</v>
      </c>
      <c r="E2" s="529">
        <v>170.99</v>
      </c>
      <c r="F2" s="529"/>
      <c r="G2" s="477"/>
      <c r="H2" s="483"/>
      <c r="I2" s="516"/>
    </row>
    <row r="3" spans="1:9" s="512" customFormat="1" ht="132.75" customHeight="1">
      <c r="A3" s="527" t="s">
        <v>673</v>
      </c>
      <c r="B3" s="527" t="s">
        <v>674</v>
      </c>
      <c r="C3" s="528">
        <v>43206.444444444445</v>
      </c>
      <c r="D3" s="715" t="s">
        <v>675</v>
      </c>
      <c r="E3" s="529">
        <v>4</v>
      </c>
      <c r="F3" s="529"/>
      <c r="G3" s="477"/>
      <c r="H3" s="483"/>
      <c r="I3" s="516"/>
    </row>
    <row r="4" spans="1:9" s="512" customFormat="1" ht="99" customHeight="1">
      <c r="A4" s="527" t="s">
        <v>113</v>
      </c>
      <c r="B4" s="527" t="s">
        <v>676</v>
      </c>
      <c r="C4" s="528">
        <v>43206.689583333333</v>
      </c>
      <c r="D4" s="715" t="s">
        <v>677</v>
      </c>
      <c r="E4" s="529">
        <v>8.8800000000000008</v>
      </c>
      <c r="F4" s="529"/>
      <c r="G4" s="477"/>
      <c r="H4" s="483"/>
      <c r="I4" s="516"/>
    </row>
    <row r="5" spans="1:9" s="512" customFormat="1" ht="84.75" customHeight="1">
      <c r="A5" s="527" t="s">
        <v>673</v>
      </c>
      <c r="B5" s="527" t="s">
        <v>674</v>
      </c>
      <c r="C5" s="528">
        <v>43207.385416666664</v>
      </c>
      <c r="D5" s="715" t="s">
        <v>678</v>
      </c>
      <c r="E5" s="529">
        <v>5</v>
      </c>
      <c r="F5" s="529"/>
      <c r="G5" s="477"/>
      <c r="H5" s="483"/>
      <c r="I5" s="516"/>
    </row>
    <row r="6" spans="1:9" s="512" customFormat="1" ht="142.5" customHeight="1">
      <c r="A6" s="527" t="s">
        <v>673</v>
      </c>
      <c r="B6" s="527" t="s">
        <v>674</v>
      </c>
      <c r="C6" s="528">
        <v>43207.584722222222</v>
      </c>
      <c r="D6" s="715" t="s">
        <v>679</v>
      </c>
      <c r="E6" s="529">
        <v>4.2</v>
      </c>
      <c r="F6" s="529"/>
      <c r="G6" s="477"/>
      <c r="H6" s="483"/>
      <c r="I6" s="516"/>
    </row>
    <row r="7" spans="1:9" s="512" customFormat="1" ht="120.75" customHeight="1">
      <c r="A7" s="527" t="s">
        <v>493</v>
      </c>
      <c r="B7" s="527" t="s">
        <v>674</v>
      </c>
      <c r="C7" s="528">
        <v>43207.752083333333</v>
      </c>
      <c r="D7" s="715" t="s">
        <v>680</v>
      </c>
      <c r="E7" s="529">
        <v>9.58</v>
      </c>
      <c r="F7" s="529"/>
      <c r="G7" s="477"/>
      <c r="H7" s="483"/>
      <c r="I7" s="519"/>
    </row>
    <row r="8" spans="1:9" s="512" customFormat="1" ht="77.25" customHeight="1">
      <c r="A8" s="780"/>
      <c r="B8" s="780"/>
      <c r="C8" s="781"/>
      <c r="D8" s="782"/>
      <c r="E8" s="783"/>
      <c r="F8" s="783"/>
      <c r="G8" s="477"/>
      <c r="H8" s="483"/>
      <c r="I8" s="516"/>
    </row>
    <row r="9" spans="1:9">
      <c r="A9" s="520"/>
      <c r="B9" s="520"/>
      <c r="C9" s="520"/>
      <c r="D9" s="520"/>
      <c r="E9" s="519"/>
      <c r="F9" s="519"/>
    </row>
    <row r="10" spans="1:9">
      <c r="A10" s="520"/>
      <c r="B10" s="520"/>
      <c r="C10" s="520"/>
      <c r="D10" s="520"/>
      <c r="E10" s="519"/>
      <c r="F10" s="519"/>
    </row>
    <row r="11" spans="1:9">
      <c r="A11" s="520"/>
      <c r="B11" s="520"/>
      <c r="C11" s="520"/>
      <c r="D11" s="520"/>
      <c r="E11" s="519"/>
      <c r="F11" s="519"/>
    </row>
    <row r="12" spans="1:9">
      <c r="A12" s="520"/>
      <c r="B12" s="520"/>
      <c r="C12" s="520"/>
      <c r="D12" s="520"/>
      <c r="E12" s="519"/>
      <c r="F12" s="519"/>
    </row>
    <row r="13" spans="1:9">
      <c r="A13" s="520"/>
      <c r="B13" s="520"/>
      <c r="C13" s="520"/>
      <c r="D13" s="520"/>
      <c r="E13" s="519"/>
      <c r="F13" s="519"/>
    </row>
    <row r="14" spans="1:9">
      <c r="A14" s="520"/>
      <c r="B14" s="520"/>
      <c r="C14" s="520"/>
      <c r="D14" s="520"/>
      <c r="E14" s="519"/>
      <c r="F14" s="519"/>
    </row>
    <row r="15" spans="1:9">
      <c r="A15" s="520"/>
      <c r="B15" s="520"/>
      <c r="C15" s="520"/>
      <c r="D15" s="520"/>
      <c r="E15" s="519"/>
      <c r="F15" s="519"/>
    </row>
    <row r="16" spans="1:9">
      <c r="A16" s="520"/>
      <c r="B16" s="520"/>
      <c r="C16" s="520"/>
      <c r="D16" s="520"/>
      <c r="E16" s="519"/>
      <c r="F16" s="519"/>
    </row>
    <row r="17" spans="1:6">
      <c r="A17" s="520"/>
      <c r="B17" s="520"/>
      <c r="C17" s="520"/>
      <c r="D17" s="520"/>
      <c r="E17" s="519"/>
      <c r="F17" s="519"/>
    </row>
    <row r="18" spans="1:6">
      <c r="A18" s="520"/>
      <c r="B18" s="520"/>
      <c r="C18" s="520"/>
      <c r="D18" s="520"/>
      <c r="E18" s="519"/>
      <c r="F18" s="519"/>
    </row>
    <row r="19" spans="1:6">
      <c r="A19" s="520"/>
      <c r="B19" s="520"/>
      <c r="C19" s="520"/>
      <c r="D19" s="520"/>
      <c r="E19" s="519"/>
      <c r="F19" s="519"/>
    </row>
    <row r="20" spans="1:6">
      <c r="A20" s="520"/>
      <c r="B20" s="520"/>
      <c r="C20" s="520"/>
      <c r="D20" s="520"/>
      <c r="E20" s="519"/>
      <c r="F20" s="519"/>
    </row>
    <row r="21" spans="1:6">
      <c r="E21" s="522"/>
      <c r="F21" s="522"/>
    </row>
    <row r="22" spans="1:6">
      <c r="E22" s="522"/>
      <c r="F22" s="522"/>
    </row>
    <row r="23" spans="1:6">
      <c r="E23" s="522"/>
      <c r="F23" s="522"/>
    </row>
    <row r="24" spans="1:6">
      <c r="E24" s="522"/>
      <c r="F24" s="522"/>
    </row>
    <row r="25" spans="1:6">
      <c r="E25" s="522"/>
      <c r="F25" s="522"/>
    </row>
    <row r="26" spans="1:6">
      <c r="E26" s="522"/>
      <c r="F26" s="522"/>
    </row>
    <row r="27" spans="1:6">
      <c r="E27" s="522"/>
      <c r="F27" s="522"/>
    </row>
    <row r="28" spans="1:6">
      <c r="E28" s="522"/>
      <c r="F28" s="522"/>
    </row>
    <row r="29" spans="1:6">
      <c r="E29" s="522"/>
      <c r="F29" s="522"/>
    </row>
    <row r="30" spans="1:6">
      <c r="E30" s="522"/>
      <c r="F30" s="522"/>
    </row>
    <row r="31" spans="1:6">
      <c r="E31" s="522"/>
      <c r="F31" s="522"/>
    </row>
    <row r="32" spans="1:6">
      <c r="E32" s="522"/>
      <c r="F32" s="522"/>
    </row>
    <row r="33" spans="5:6">
      <c r="E33" s="522"/>
      <c r="F33" s="522"/>
    </row>
    <row r="34" spans="5:6">
      <c r="E34" s="522"/>
      <c r="F34" s="522"/>
    </row>
    <row r="35" spans="5:6">
      <c r="E35" s="522"/>
      <c r="F35" s="522"/>
    </row>
    <row r="36" spans="5:6">
      <c r="E36" s="522"/>
      <c r="F36" s="522"/>
    </row>
    <row r="37" spans="5:6">
      <c r="E37" s="522"/>
      <c r="F37" s="522"/>
    </row>
    <row r="38" spans="5:6">
      <c r="E38" s="522"/>
      <c r="F38" s="522"/>
    </row>
    <row r="39" spans="5:6">
      <c r="E39" s="522"/>
      <c r="F39" s="522"/>
    </row>
    <row r="40" spans="5:6">
      <c r="E40" s="522"/>
      <c r="F40" s="522"/>
    </row>
    <row r="41" spans="5:6">
      <c r="E41" s="522"/>
      <c r="F41" s="522"/>
    </row>
    <row r="42" spans="5:6">
      <c r="E42" s="522"/>
      <c r="F42" s="522"/>
    </row>
    <row r="43" spans="5:6">
      <c r="E43" s="522"/>
      <c r="F43" s="522"/>
    </row>
    <row r="44" spans="5:6">
      <c r="E44" s="522"/>
      <c r="F44" s="522"/>
    </row>
    <row r="45" spans="5:6">
      <c r="E45" s="522"/>
      <c r="F45" s="522"/>
    </row>
    <row r="46" spans="5:6">
      <c r="E46" s="522"/>
      <c r="F46" s="522"/>
    </row>
    <row r="47" spans="5:6">
      <c r="E47" s="522"/>
      <c r="F47" s="522"/>
    </row>
    <row r="48" spans="5:6">
      <c r="E48" s="522"/>
      <c r="F48" s="522"/>
    </row>
    <row r="49" spans="5:6">
      <c r="E49" s="522"/>
      <c r="F49" s="522"/>
    </row>
    <row r="50" spans="5:6">
      <c r="E50" s="522"/>
      <c r="F50" s="522"/>
    </row>
    <row r="51" spans="5:6">
      <c r="E51" s="522"/>
      <c r="F51" s="522"/>
    </row>
    <row r="52" spans="5:6">
      <c r="E52" s="522"/>
      <c r="F52" s="522"/>
    </row>
    <row r="53" spans="5:6">
      <c r="E53" s="522"/>
      <c r="F53" s="522"/>
    </row>
    <row r="54" spans="5:6">
      <c r="E54" s="522"/>
      <c r="F54" s="522"/>
    </row>
    <row r="55" spans="5:6">
      <c r="E55" s="522"/>
      <c r="F55" s="522"/>
    </row>
    <row r="56" spans="5:6">
      <c r="E56" s="522"/>
      <c r="F56" s="522"/>
    </row>
    <row r="57" spans="5:6">
      <c r="E57" s="522"/>
      <c r="F57" s="522"/>
    </row>
    <row r="58" spans="5:6">
      <c r="E58" s="522"/>
      <c r="F58" s="522"/>
    </row>
    <row r="59" spans="5:6">
      <c r="E59" s="522"/>
      <c r="F59" s="522"/>
    </row>
    <row r="60" spans="5:6">
      <c r="E60" s="522"/>
      <c r="F60" s="522"/>
    </row>
    <row r="61" spans="5:6">
      <c r="E61" s="522"/>
      <c r="F61" s="522"/>
    </row>
    <row r="62" spans="5:6">
      <c r="E62" s="522"/>
      <c r="F62" s="522"/>
    </row>
    <row r="63" spans="5:6">
      <c r="E63" s="522"/>
      <c r="F63" s="522"/>
    </row>
    <row r="64" spans="5:6">
      <c r="E64" s="522"/>
      <c r="F64" s="522"/>
    </row>
    <row r="65" spans="5:6">
      <c r="E65" s="522"/>
      <c r="F65" s="522"/>
    </row>
    <row r="66" spans="5:6">
      <c r="E66" s="522"/>
      <c r="F66" s="522"/>
    </row>
    <row r="67" spans="5:6">
      <c r="E67" s="522"/>
      <c r="F67" s="522"/>
    </row>
    <row r="68" spans="5:6">
      <c r="E68" s="522"/>
      <c r="F68" s="522"/>
    </row>
    <row r="69" spans="5:6">
      <c r="E69" s="522"/>
      <c r="F69" s="522"/>
    </row>
    <row r="70" spans="5:6">
      <c r="E70" s="522"/>
      <c r="F70" s="522"/>
    </row>
    <row r="71" spans="5:6">
      <c r="E71" s="522"/>
      <c r="F71" s="522"/>
    </row>
    <row r="72" spans="5:6">
      <c r="E72" s="522"/>
      <c r="F72" s="522"/>
    </row>
    <row r="73" spans="5:6">
      <c r="E73" s="522"/>
      <c r="F73" s="522"/>
    </row>
    <row r="74" spans="5:6">
      <c r="E74" s="522"/>
      <c r="F74" s="522"/>
    </row>
    <row r="75" spans="5:6">
      <c r="E75" s="522"/>
      <c r="F75" s="522"/>
    </row>
    <row r="76" spans="5:6">
      <c r="E76" s="522"/>
      <c r="F76" s="522"/>
    </row>
    <row r="77" spans="5:6">
      <c r="E77" s="522"/>
      <c r="F77" s="522"/>
    </row>
    <row r="78" spans="5:6">
      <c r="E78" s="522"/>
      <c r="F78" s="522"/>
    </row>
    <row r="79" spans="5:6">
      <c r="E79" s="522"/>
      <c r="F79" s="522"/>
    </row>
    <row r="80" spans="5:6">
      <c r="E80" s="522"/>
      <c r="F80" s="522"/>
    </row>
    <row r="81" spans="5:6">
      <c r="E81" s="522"/>
      <c r="F81" s="522"/>
    </row>
    <row r="82" spans="5:6">
      <c r="E82" s="522"/>
      <c r="F82" s="522"/>
    </row>
    <row r="83" spans="5:6">
      <c r="E83" s="522"/>
      <c r="F83" s="522"/>
    </row>
    <row r="84" spans="5:6">
      <c r="E84" s="522"/>
      <c r="F84" s="522"/>
    </row>
    <row r="85" spans="5:6">
      <c r="E85" s="522"/>
      <c r="F85" s="522"/>
    </row>
    <row r="86" spans="5:6">
      <c r="E86" s="522"/>
      <c r="F86" s="522"/>
    </row>
    <row r="87" spans="5:6">
      <c r="E87" s="522"/>
      <c r="F87" s="522"/>
    </row>
    <row r="88" spans="5:6">
      <c r="E88" s="522"/>
      <c r="F88" s="522"/>
    </row>
    <row r="89" spans="5:6">
      <c r="E89" s="522"/>
      <c r="F89" s="522"/>
    </row>
    <row r="90" spans="5:6">
      <c r="E90" s="522"/>
      <c r="F90" s="522"/>
    </row>
    <row r="91" spans="5:6">
      <c r="E91" s="522"/>
      <c r="F91" s="522"/>
    </row>
    <row r="92" spans="5:6">
      <c r="E92" s="522"/>
      <c r="F92" s="522"/>
    </row>
    <row r="93" spans="5:6">
      <c r="E93" s="522"/>
      <c r="F93" s="522"/>
    </row>
    <row r="94" spans="5:6">
      <c r="E94" s="522"/>
      <c r="F94" s="522"/>
    </row>
    <row r="95" spans="5:6">
      <c r="E95" s="522"/>
      <c r="F95" s="522"/>
    </row>
    <row r="96" spans="5:6">
      <c r="E96" s="522"/>
      <c r="F96" s="522"/>
    </row>
    <row r="97" spans="5:6">
      <c r="E97" s="522"/>
      <c r="F97" s="522"/>
    </row>
    <row r="98" spans="5:6">
      <c r="E98" s="522"/>
      <c r="F98" s="522"/>
    </row>
    <row r="99" spans="5:6">
      <c r="E99" s="522"/>
      <c r="F99" s="522"/>
    </row>
    <row r="100" spans="5:6">
      <c r="E100" s="522"/>
      <c r="F100" s="522"/>
    </row>
    <row r="101" spans="5:6">
      <c r="E101" s="522"/>
      <c r="F101" s="522"/>
    </row>
    <row r="102" spans="5:6">
      <c r="E102" s="522"/>
      <c r="F102" s="522"/>
    </row>
    <row r="103" spans="5:6">
      <c r="E103" s="522"/>
      <c r="F103" s="522"/>
    </row>
    <row r="104" spans="5:6">
      <c r="E104" s="522"/>
      <c r="F104" s="522"/>
    </row>
    <row r="105" spans="5:6">
      <c r="E105" s="522"/>
      <c r="F105" s="522"/>
    </row>
    <row r="106" spans="5:6">
      <c r="E106" s="522"/>
      <c r="F106" s="522"/>
    </row>
    <row r="107" spans="5:6">
      <c r="E107" s="522"/>
      <c r="F107" s="522"/>
    </row>
    <row r="108" spans="5:6">
      <c r="E108" s="522"/>
      <c r="F108" s="522"/>
    </row>
    <row r="109" spans="5:6">
      <c r="E109" s="522"/>
      <c r="F109" s="522"/>
    </row>
    <row r="110" spans="5:6">
      <c r="E110" s="522"/>
      <c r="F110" s="522"/>
    </row>
    <row r="111" spans="5:6">
      <c r="E111" s="522"/>
      <c r="F111" s="522"/>
    </row>
    <row r="112" spans="5:6">
      <c r="E112" s="522"/>
      <c r="F112" s="522"/>
    </row>
    <row r="113" spans="5:6">
      <c r="E113" s="522"/>
      <c r="F113" s="522"/>
    </row>
    <row r="114" spans="5:6">
      <c r="E114" s="522"/>
      <c r="F114" s="522"/>
    </row>
    <row r="115" spans="5:6">
      <c r="E115" s="522"/>
      <c r="F115" s="522"/>
    </row>
    <row r="116" spans="5:6">
      <c r="E116" s="522"/>
      <c r="F116" s="522"/>
    </row>
    <row r="117" spans="5:6">
      <c r="E117" s="522"/>
      <c r="F117" s="522"/>
    </row>
    <row r="118" spans="5:6">
      <c r="E118" s="522"/>
      <c r="F118" s="522"/>
    </row>
    <row r="119" spans="5:6">
      <c r="E119" s="522"/>
      <c r="F119" s="522"/>
    </row>
    <row r="120" spans="5:6">
      <c r="E120" s="522"/>
      <c r="F120" s="522"/>
    </row>
    <row r="121" spans="5:6">
      <c r="E121" s="522"/>
      <c r="F121" s="522"/>
    </row>
    <row r="122" spans="5:6">
      <c r="E122" s="522"/>
      <c r="F122" s="522"/>
    </row>
    <row r="123" spans="5:6">
      <c r="E123" s="522"/>
      <c r="F123" s="522"/>
    </row>
    <row r="124" spans="5:6">
      <c r="E124" s="522"/>
      <c r="F124" s="522"/>
    </row>
    <row r="125" spans="5:6">
      <c r="E125" s="522"/>
      <c r="F125" s="522"/>
    </row>
    <row r="126" spans="5:6">
      <c r="E126" s="522"/>
      <c r="F126" s="522"/>
    </row>
    <row r="127" spans="5:6">
      <c r="E127" s="522"/>
      <c r="F127" s="522"/>
    </row>
    <row r="128" spans="5:6">
      <c r="E128" s="522"/>
      <c r="F128" s="522"/>
    </row>
    <row r="129" spans="5:6">
      <c r="E129" s="522"/>
      <c r="F129" s="522"/>
    </row>
    <row r="130" spans="5:6">
      <c r="E130" s="522"/>
      <c r="F130" s="522"/>
    </row>
    <row r="131" spans="5:6">
      <c r="E131" s="522"/>
      <c r="F131" s="522"/>
    </row>
    <row r="132" spans="5:6">
      <c r="E132" s="522"/>
      <c r="F132" s="522"/>
    </row>
    <row r="133" spans="5:6">
      <c r="E133" s="522"/>
      <c r="F133" s="522"/>
    </row>
    <row r="134" spans="5:6">
      <c r="E134" s="522"/>
      <c r="F134" s="522"/>
    </row>
    <row r="135" spans="5:6">
      <c r="E135" s="522"/>
      <c r="F135" s="522"/>
    </row>
    <row r="136" spans="5:6">
      <c r="E136" s="522"/>
      <c r="F136" s="522"/>
    </row>
    <row r="137" spans="5:6">
      <c r="E137" s="522"/>
      <c r="F137" s="522"/>
    </row>
    <row r="138" spans="5:6">
      <c r="E138" s="522"/>
      <c r="F138" s="522"/>
    </row>
    <row r="139" spans="5:6">
      <c r="E139" s="522"/>
      <c r="F139" s="522"/>
    </row>
    <row r="140" spans="5:6">
      <c r="E140" s="522"/>
      <c r="F140" s="522"/>
    </row>
    <row r="141" spans="5:6">
      <c r="E141" s="522"/>
      <c r="F141" s="522"/>
    </row>
    <row r="142" spans="5:6">
      <c r="E142" s="522"/>
      <c r="F142" s="522"/>
    </row>
    <row r="143" spans="5:6">
      <c r="E143" s="522"/>
      <c r="F143" s="522"/>
    </row>
    <row r="144" spans="5:6">
      <c r="E144" s="522"/>
      <c r="F144" s="522"/>
    </row>
    <row r="145" spans="5:6">
      <c r="E145" s="522"/>
      <c r="F145" s="522"/>
    </row>
    <row r="146" spans="5:6">
      <c r="E146" s="522"/>
      <c r="F146" s="522"/>
    </row>
    <row r="147" spans="5:6">
      <c r="E147" s="522"/>
      <c r="F147" s="522"/>
    </row>
    <row r="148" spans="5:6">
      <c r="E148" s="522"/>
      <c r="F148" s="522"/>
    </row>
    <row r="149" spans="5:6">
      <c r="E149" s="522"/>
      <c r="F149" s="522"/>
    </row>
    <row r="150" spans="5:6">
      <c r="E150" s="522"/>
      <c r="F150" s="522"/>
    </row>
  </sheetData>
  <pageMargins left="0.7" right="0.51432291666666663" top="0.86956521739130432" bottom="0.61458333333333337" header="0.3" footer="0.3"/>
  <pageSetup orientation="portrait" r:id="rId1"/>
  <headerFooter>
    <oddHeader>&amp;R&amp;7Informe de la Operación Mensual - Abril 2018
INFSGI-MES-04-2018
10/05/2018
Versión: 01</oddHeader>
    <oddFooter>&amp;L&amp;7COES SINAC, 2018
&amp;C29&amp;R&amp;7Dirección Ejecutiva
Sub Dirección de Gestión de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E7843-A189-4542-93CA-C7D6C8C67ECB}">
  <sheetPr>
    <tabColor theme="4"/>
  </sheetPr>
  <dimension ref="A1:J147"/>
  <sheetViews>
    <sheetView showGridLines="0" view="pageBreakPreview" topLeftCell="B1" zoomScale="145" zoomScaleNormal="100" zoomScaleSheetLayoutView="145" zoomScalePageLayoutView="145" workbookViewId="0">
      <selection activeCell="P17" sqref="P17"/>
    </sheetView>
  </sheetViews>
  <sheetFormatPr defaultRowHeight="9"/>
  <cols>
    <col min="1" max="1" width="16.1640625" style="512" customWidth="1"/>
    <col min="2" max="2" width="19.6640625" style="512" customWidth="1"/>
    <col min="3" max="3" width="12.5" style="512" bestFit="1" customWidth="1"/>
    <col min="4" max="4" width="47.1640625" style="512" customWidth="1"/>
    <col min="5" max="5" width="11.5" style="512" customWidth="1"/>
    <col min="6" max="6" width="10.5" style="512" customWidth="1"/>
    <col min="7" max="8" width="9.33203125" style="512" customWidth="1"/>
    <col min="9" max="10" width="9.33203125" style="512"/>
    <col min="11" max="16384" width="9.33203125" style="521"/>
  </cols>
  <sheetData>
    <row r="1" spans="1:9" s="512" customFormat="1" ht="30" customHeight="1">
      <c r="A1" s="523" t="s">
        <v>294</v>
      </c>
      <c r="B1" s="524" t="s">
        <v>480</v>
      </c>
      <c r="C1" s="523" t="s">
        <v>469</v>
      </c>
      <c r="D1" s="525" t="s">
        <v>481</v>
      </c>
      <c r="E1" s="526" t="s">
        <v>482</v>
      </c>
      <c r="F1" s="526" t="s">
        <v>483</v>
      </c>
      <c r="G1" s="478"/>
      <c r="H1" s="513"/>
      <c r="I1" s="476"/>
    </row>
    <row r="2" spans="1:9" s="512" customFormat="1" ht="72.75" customHeight="1">
      <c r="A2" s="527" t="s">
        <v>485</v>
      </c>
      <c r="B2" s="527" t="s">
        <v>486</v>
      </c>
      <c r="C2" s="528">
        <v>43208.15902777778</v>
      </c>
      <c r="D2" s="715" t="s">
        <v>681</v>
      </c>
      <c r="E2" s="529">
        <v>6.04</v>
      </c>
      <c r="F2" s="529"/>
      <c r="G2" s="477"/>
      <c r="H2" s="483"/>
      <c r="I2" s="516"/>
    </row>
    <row r="3" spans="1:9" s="512" customFormat="1" ht="66" customHeight="1">
      <c r="A3" s="527" t="s">
        <v>491</v>
      </c>
      <c r="B3" s="527" t="s">
        <v>682</v>
      </c>
      <c r="C3" s="528">
        <v>43208.17083333333</v>
      </c>
      <c r="D3" s="715" t="s">
        <v>683</v>
      </c>
      <c r="E3" s="529">
        <v>3.62</v>
      </c>
      <c r="F3" s="529"/>
      <c r="G3" s="477"/>
      <c r="H3" s="483"/>
      <c r="I3" s="516"/>
    </row>
    <row r="4" spans="1:9" s="512" customFormat="1" ht="76.5" customHeight="1">
      <c r="A4" s="527" t="s">
        <v>491</v>
      </c>
      <c r="B4" s="527" t="s">
        <v>684</v>
      </c>
      <c r="C4" s="528">
        <v>43209.01666666667</v>
      </c>
      <c r="D4" s="715" t="s">
        <v>685</v>
      </c>
      <c r="E4" s="529">
        <v>1.21</v>
      </c>
      <c r="F4" s="529"/>
      <c r="G4" s="477"/>
      <c r="H4" s="483"/>
      <c r="I4" s="516"/>
    </row>
    <row r="5" spans="1:9" s="512" customFormat="1" ht="83.25" customHeight="1">
      <c r="A5" s="527" t="s">
        <v>484</v>
      </c>
      <c r="B5" s="527" t="s">
        <v>686</v>
      </c>
      <c r="C5" s="528">
        <v>43209.01666666667</v>
      </c>
      <c r="D5" s="715" t="s">
        <v>687</v>
      </c>
      <c r="E5" s="529"/>
      <c r="F5" s="529">
        <v>4</v>
      </c>
      <c r="G5" s="477"/>
      <c r="H5" s="483"/>
      <c r="I5" s="520"/>
    </row>
    <row r="6" spans="1:9" s="512" customFormat="1" ht="100.5" customHeight="1">
      <c r="A6" s="527" t="s">
        <v>491</v>
      </c>
      <c r="B6" s="527" t="s">
        <v>688</v>
      </c>
      <c r="C6" s="528">
        <v>43209.499305555553</v>
      </c>
      <c r="D6" s="715" t="s">
        <v>689</v>
      </c>
      <c r="E6" s="529">
        <v>80.92</v>
      </c>
      <c r="F6" s="529"/>
      <c r="G6" s="477"/>
      <c r="H6" s="483"/>
    </row>
    <row r="7" spans="1:9" s="512" customFormat="1" ht="70.5" customHeight="1">
      <c r="A7" s="527" t="s">
        <v>97</v>
      </c>
      <c r="B7" s="527" t="s">
        <v>690</v>
      </c>
      <c r="C7" s="528">
        <v>43209.725694444445</v>
      </c>
      <c r="D7" s="715" t="s">
        <v>691</v>
      </c>
      <c r="E7" s="529">
        <v>10.36</v>
      </c>
      <c r="F7" s="529"/>
      <c r="G7" s="477"/>
      <c r="H7" s="483"/>
    </row>
    <row r="8" spans="1:9" s="512" customFormat="1" ht="100.5" customHeight="1">
      <c r="A8" s="527" t="s">
        <v>642</v>
      </c>
      <c r="B8" s="527" t="s">
        <v>643</v>
      </c>
      <c r="C8" s="528">
        <v>43210.390972222223</v>
      </c>
      <c r="D8" s="715" t="s">
        <v>692</v>
      </c>
      <c r="E8" s="529">
        <v>45.9</v>
      </c>
      <c r="F8" s="529"/>
      <c r="G8" s="477"/>
      <c r="H8" s="483"/>
    </row>
    <row r="9" spans="1:9" s="512" customFormat="1" ht="83.25" customHeight="1">
      <c r="A9" s="527" t="s">
        <v>491</v>
      </c>
      <c r="B9" s="527" t="s">
        <v>693</v>
      </c>
      <c r="C9" s="528">
        <v>43210.472916666666</v>
      </c>
      <c r="D9" s="715" t="s">
        <v>694</v>
      </c>
      <c r="E9" s="529">
        <v>4.3</v>
      </c>
      <c r="F9" s="529"/>
    </row>
    <row r="10" spans="1:9" s="512" customFormat="1">
      <c r="A10" s="780"/>
      <c r="B10" s="780"/>
      <c r="C10" s="781"/>
      <c r="D10" s="782"/>
      <c r="E10" s="783"/>
      <c r="F10" s="783"/>
    </row>
    <row r="11" spans="1:9" s="512" customFormat="1">
      <c r="A11" s="780"/>
      <c r="B11" s="780"/>
      <c r="C11" s="781"/>
      <c r="D11" s="782"/>
      <c r="E11" s="783"/>
      <c r="F11" s="783"/>
    </row>
    <row r="12" spans="1:9" s="512" customFormat="1">
      <c r="A12" s="780"/>
      <c r="B12" s="780"/>
      <c r="C12" s="781"/>
      <c r="D12" s="782"/>
      <c r="E12" s="783"/>
      <c r="F12" s="783"/>
    </row>
    <row r="13" spans="1:9" s="512" customFormat="1">
      <c r="A13" s="780"/>
      <c r="B13" s="780"/>
      <c r="C13" s="781"/>
      <c r="D13" s="782"/>
      <c r="E13" s="783"/>
      <c r="F13" s="783"/>
    </row>
    <row r="14" spans="1:9" s="512" customFormat="1">
      <c r="A14" s="780"/>
      <c r="B14" s="780"/>
      <c r="C14" s="781"/>
      <c r="D14" s="782"/>
      <c r="E14" s="783"/>
      <c r="F14" s="783"/>
    </row>
    <row r="15" spans="1:9" s="512" customFormat="1">
      <c r="E15" s="522"/>
      <c r="F15" s="522"/>
    </row>
    <row r="16" spans="1:9" s="512" customFormat="1">
      <c r="E16" s="522"/>
      <c r="F16" s="522"/>
    </row>
    <row r="17" spans="5:6" s="512" customFormat="1">
      <c r="E17" s="522"/>
      <c r="F17" s="522"/>
    </row>
    <row r="18" spans="5:6" s="512" customFormat="1">
      <c r="E18" s="522"/>
      <c r="F18" s="522"/>
    </row>
    <row r="19" spans="5:6" s="512" customFormat="1">
      <c r="E19" s="522"/>
      <c r="F19" s="522"/>
    </row>
    <row r="20" spans="5:6" s="512" customFormat="1">
      <c r="E20" s="522"/>
      <c r="F20" s="522"/>
    </row>
    <row r="21" spans="5:6" s="512" customFormat="1">
      <c r="E21" s="522"/>
      <c r="F21" s="522"/>
    </row>
    <row r="22" spans="5:6" s="512" customFormat="1">
      <c r="E22" s="522"/>
      <c r="F22" s="522"/>
    </row>
    <row r="23" spans="5:6" s="512" customFormat="1">
      <c r="E23" s="522"/>
      <c r="F23" s="522"/>
    </row>
    <row r="24" spans="5:6" s="512" customFormat="1">
      <c r="E24" s="522"/>
      <c r="F24" s="522"/>
    </row>
    <row r="25" spans="5:6" s="512" customFormat="1">
      <c r="E25" s="522"/>
      <c r="F25" s="522"/>
    </row>
    <row r="26" spans="5:6" s="512" customFormat="1">
      <c r="E26" s="522"/>
      <c r="F26" s="522"/>
    </row>
    <row r="27" spans="5:6" s="512" customFormat="1">
      <c r="E27" s="522"/>
      <c r="F27" s="522"/>
    </row>
    <row r="28" spans="5:6" s="512" customFormat="1">
      <c r="E28" s="522"/>
      <c r="F28" s="522"/>
    </row>
    <row r="29" spans="5:6" s="512" customFormat="1">
      <c r="E29" s="522"/>
      <c r="F29" s="522"/>
    </row>
    <row r="30" spans="5:6" s="512" customFormat="1">
      <c r="E30" s="522"/>
      <c r="F30" s="522"/>
    </row>
    <row r="31" spans="5:6" s="512" customFormat="1">
      <c r="E31" s="522"/>
      <c r="F31" s="522"/>
    </row>
    <row r="32" spans="5:6" s="512" customFormat="1">
      <c r="E32" s="522"/>
      <c r="F32" s="522"/>
    </row>
    <row r="33" spans="5:6" s="512" customFormat="1">
      <c r="E33" s="522"/>
      <c r="F33" s="522"/>
    </row>
    <row r="34" spans="5:6" s="512" customFormat="1">
      <c r="E34" s="522"/>
      <c r="F34" s="522"/>
    </row>
    <row r="35" spans="5:6" s="512" customFormat="1">
      <c r="E35" s="522"/>
      <c r="F35" s="522"/>
    </row>
    <row r="36" spans="5:6" s="512" customFormat="1">
      <c r="E36" s="522"/>
      <c r="F36" s="522"/>
    </row>
    <row r="37" spans="5:6" s="512" customFormat="1">
      <c r="E37" s="522"/>
      <c r="F37" s="522"/>
    </row>
    <row r="38" spans="5:6" s="512" customFormat="1">
      <c r="E38" s="522"/>
      <c r="F38" s="522"/>
    </row>
    <row r="39" spans="5:6" s="512" customFormat="1">
      <c r="E39" s="522"/>
      <c r="F39" s="522"/>
    </row>
    <row r="40" spans="5:6" s="512" customFormat="1">
      <c r="E40" s="522"/>
      <c r="F40" s="522"/>
    </row>
    <row r="41" spans="5:6" s="512" customFormat="1">
      <c r="E41" s="522"/>
      <c r="F41" s="522"/>
    </row>
    <row r="42" spans="5:6" s="512" customFormat="1">
      <c r="E42" s="522"/>
      <c r="F42" s="522"/>
    </row>
    <row r="43" spans="5:6" s="512" customFormat="1">
      <c r="E43" s="522"/>
      <c r="F43" s="522"/>
    </row>
    <row r="44" spans="5:6" s="512" customFormat="1">
      <c r="E44" s="522"/>
      <c r="F44" s="522"/>
    </row>
    <row r="45" spans="5:6" s="512" customFormat="1">
      <c r="E45" s="522"/>
      <c r="F45" s="522"/>
    </row>
    <row r="46" spans="5:6" s="512" customFormat="1">
      <c r="E46" s="522"/>
      <c r="F46" s="522"/>
    </row>
    <row r="47" spans="5:6" s="512" customFormat="1">
      <c r="E47" s="522"/>
      <c r="F47" s="522"/>
    </row>
    <row r="48" spans="5:6" s="512" customFormat="1">
      <c r="E48" s="522"/>
      <c r="F48" s="522"/>
    </row>
    <row r="49" spans="5:6" s="512" customFormat="1">
      <c r="E49" s="522"/>
      <c r="F49" s="522"/>
    </row>
    <row r="50" spans="5:6" s="512" customFormat="1">
      <c r="E50" s="522"/>
      <c r="F50" s="522"/>
    </row>
    <row r="51" spans="5:6" s="512" customFormat="1">
      <c r="E51" s="522"/>
      <c r="F51" s="522"/>
    </row>
    <row r="52" spans="5:6" s="512" customFormat="1">
      <c r="E52" s="522"/>
      <c r="F52" s="522"/>
    </row>
    <row r="53" spans="5:6" s="512" customFormat="1">
      <c r="E53" s="522"/>
      <c r="F53" s="522"/>
    </row>
    <row r="54" spans="5:6" s="512" customFormat="1">
      <c r="E54" s="522"/>
      <c r="F54" s="522"/>
    </row>
    <row r="55" spans="5:6" s="512" customFormat="1">
      <c r="E55" s="522"/>
      <c r="F55" s="522"/>
    </row>
    <row r="56" spans="5:6" s="512" customFormat="1">
      <c r="E56" s="522"/>
      <c r="F56" s="522"/>
    </row>
    <row r="57" spans="5:6" s="512" customFormat="1">
      <c r="E57" s="522"/>
      <c r="F57" s="522"/>
    </row>
    <row r="58" spans="5:6" s="512" customFormat="1">
      <c r="E58" s="522"/>
      <c r="F58" s="522"/>
    </row>
    <row r="59" spans="5:6" s="512" customFormat="1">
      <c r="E59" s="522"/>
      <c r="F59" s="522"/>
    </row>
    <row r="60" spans="5:6" s="512" customFormat="1">
      <c r="E60" s="522"/>
      <c r="F60" s="522"/>
    </row>
    <row r="61" spans="5:6" s="512" customFormat="1">
      <c r="E61" s="522"/>
      <c r="F61" s="522"/>
    </row>
    <row r="62" spans="5:6" s="512" customFormat="1">
      <c r="E62" s="522"/>
      <c r="F62" s="522"/>
    </row>
    <row r="63" spans="5:6" s="512" customFormat="1">
      <c r="E63" s="522"/>
      <c r="F63" s="522"/>
    </row>
    <row r="64" spans="5:6" s="512" customFormat="1">
      <c r="E64" s="522"/>
      <c r="F64" s="522"/>
    </row>
    <row r="65" spans="5:6" s="512" customFormat="1">
      <c r="E65" s="522"/>
      <c r="F65" s="522"/>
    </row>
    <row r="66" spans="5:6" s="512" customFormat="1">
      <c r="E66" s="522"/>
      <c r="F66" s="522"/>
    </row>
    <row r="67" spans="5:6" s="512" customFormat="1">
      <c r="E67" s="522"/>
      <c r="F67" s="522"/>
    </row>
    <row r="68" spans="5:6" s="512" customFormat="1">
      <c r="E68" s="522"/>
      <c r="F68" s="522"/>
    </row>
    <row r="69" spans="5:6" s="512" customFormat="1">
      <c r="E69" s="522"/>
      <c r="F69" s="522"/>
    </row>
    <row r="70" spans="5:6" s="512" customFormat="1">
      <c r="E70" s="522"/>
      <c r="F70" s="522"/>
    </row>
    <row r="71" spans="5:6" s="512" customFormat="1">
      <c r="E71" s="522"/>
      <c r="F71" s="522"/>
    </row>
    <row r="72" spans="5:6" s="512" customFormat="1">
      <c r="E72" s="522"/>
      <c r="F72" s="522"/>
    </row>
    <row r="73" spans="5:6" s="512" customFormat="1">
      <c r="E73" s="522"/>
      <c r="F73" s="522"/>
    </row>
    <row r="74" spans="5:6" s="512" customFormat="1">
      <c r="E74" s="522"/>
      <c r="F74" s="522"/>
    </row>
    <row r="75" spans="5:6" s="512" customFormat="1">
      <c r="E75" s="522"/>
      <c r="F75" s="522"/>
    </row>
    <row r="76" spans="5:6" s="512" customFormat="1">
      <c r="E76" s="522"/>
      <c r="F76" s="522"/>
    </row>
    <row r="77" spans="5:6" s="512" customFormat="1">
      <c r="E77" s="522"/>
      <c r="F77" s="522"/>
    </row>
    <row r="78" spans="5:6" s="512" customFormat="1">
      <c r="E78" s="522"/>
      <c r="F78" s="522"/>
    </row>
    <row r="79" spans="5:6" s="512" customFormat="1">
      <c r="E79" s="522"/>
      <c r="F79" s="522"/>
    </row>
    <row r="80" spans="5:6" s="512" customFormat="1">
      <c r="E80" s="522"/>
      <c r="F80" s="522"/>
    </row>
    <row r="81" spans="5:6" s="512" customFormat="1">
      <c r="E81" s="522"/>
      <c r="F81" s="522"/>
    </row>
    <row r="82" spans="5:6" s="512" customFormat="1">
      <c r="E82" s="522"/>
      <c r="F82" s="522"/>
    </row>
    <row r="83" spans="5:6" s="512" customFormat="1">
      <c r="E83" s="522"/>
      <c r="F83" s="522"/>
    </row>
    <row r="84" spans="5:6" s="512" customFormat="1">
      <c r="E84" s="522"/>
      <c r="F84" s="522"/>
    </row>
    <row r="85" spans="5:6" s="512" customFormat="1">
      <c r="E85" s="522"/>
      <c r="F85" s="522"/>
    </row>
    <row r="86" spans="5:6" s="512" customFormat="1">
      <c r="E86" s="522"/>
      <c r="F86" s="522"/>
    </row>
    <row r="87" spans="5:6" s="512" customFormat="1">
      <c r="E87" s="522"/>
      <c r="F87" s="522"/>
    </row>
    <row r="88" spans="5:6" s="512" customFormat="1">
      <c r="E88" s="522"/>
      <c r="F88" s="522"/>
    </row>
    <row r="89" spans="5:6" s="512" customFormat="1">
      <c r="E89" s="522"/>
      <c r="F89" s="522"/>
    </row>
    <row r="90" spans="5:6" s="512" customFormat="1">
      <c r="E90" s="522"/>
      <c r="F90" s="522"/>
    </row>
    <row r="91" spans="5:6" s="512" customFormat="1">
      <c r="E91" s="522"/>
      <c r="F91" s="522"/>
    </row>
    <row r="92" spans="5:6" s="512" customFormat="1">
      <c r="E92" s="522"/>
      <c r="F92" s="522"/>
    </row>
    <row r="93" spans="5:6" s="512" customFormat="1">
      <c r="E93" s="522"/>
      <c r="F93" s="522"/>
    </row>
    <row r="94" spans="5:6" s="512" customFormat="1">
      <c r="E94" s="522"/>
      <c r="F94" s="522"/>
    </row>
    <row r="95" spans="5:6" s="512" customFormat="1">
      <c r="E95" s="522"/>
      <c r="F95" s="522"/>
    </row>
    <row r="96" spans="5:6" s="512" customFormat="1">
      <c r="E96" s="522"/>
      <c r="F96" s="522"/>
    </row>
    <row r="97" spans="5:6" s="512" customFormat="1">
      <c r="E97" s="522"/>
      <c r="F97" s="522"/>
    </row>
    <row r="98" spans="5:6" s="512" customFormat="1">
      <c r="E98" s="522"/>
      <c r="F98" s="522"/>
    </row>
    <row r="99" spans="5:6" s="512" customFormat="1">
      <c r="E99" s="522"/>
      <c r="F99" s="522"/>
    </row>
    <row r="100" spans="5:6" s="512" customFormat="1">
      <c r="E100" s="522"/>
      <c r="F100" s="522"/>
    </row>
    <row r="101" spans="5:6" s="512" customFormat="1">
      <c r="E101" s="522"/>
      <c r="F101" s="522"/>
    </row>
    <row r="102" spans="5:6" s="512" customFormat="1">
      <c r="E102" s="522"/>
      <c r="F102" s="522"/>
    </row>
    <row r="103" spans="5:6" s="512" customFormat="1">
      <c r="E103" s="522"/>
      <c r="F103" s="522"/>
    </row>
    <row r="104" spans="5:6" s="512" customFormat="1">
      <c r="E104" s="522"/>
      <c r="F104" s="522"/>
    </row>
    <row r="105" spans="5:6" s="512" customFormat="1">
      <c r="E105" s="522"/>
      <c r="F105" s="522"/>
    </row>
    <row r="106" spans="5:6" s="512" customFormat="1">
      <c r="E106" s="522"/>
      <c r="F106" s="522"/>
    </row>
    <row r="107" spans="5:6" s="512" customFormat="1">
      <c r="E107" s="522"/>
      <c r="F107" s="522"/>
    </row>
    <row r="108" spans="5:6" s="512" customFormat="1">
      <c r="E108" s="522"/>
      <c r="F108" s="522"/>
    </row>
    <row r="109" spans="5:6" s="512" customFormat="1">
      <c r="E109" s="522"/>
      <c r="F109" s="522"/>
    </row>
    <row r="110" spans="5:6" s="512" customFormat="1">
      <c r="E110" s="522"/>
      <c r="F110" s="522"/>
    </row>
    <row r="111" spans="5:6" s="512" customFormat="1">
      <c r="E111" s="522"/>
      <c r="F111" s="522"/>
    </row>
    <row r="112" spans="5:6" s="512" customFormat="1">
      <c r="E112" s="522"/>
      <c r="F112" s="522"/>
    </row>
    <row r="113" spans="5:6" s="512" customFormat="1">
      <c r="E113" s="522"/>
      <c r="F113" s="522"/>
    </row>
    <row r="114" spans="5:6" s="512" customFormat="1">
      <c r="E114" s="522"/>
      <c r="F114" s="522"/>
    </row>
    <row r="115" spans="5:6" s="512" customFormat="1">
      <c r="E115" s="522"/>
      <c r="F115" s="522"/>
    </row>
    <row r="116" spans="5:6" s="512" customFormat="1">
      <c r="E116" s="522"/>
      <c r="F116" s="522"/>
    </row>
    <row r="117" spans="5:6" s="512" customFormat="1">
      <c r="E117" s="522"/>
      <c r="F117" s="522"/>
    </row>
    <row r="118" spans="5:6" s="512" customFormat="1">
      <c r="E118" s="522"/>
      <c r="F118" s="522"/>
    </row>
    <row r="119" spans="5:6" s="512" customFormat="1">
      <c r="E119" s="522"/>
      <c r="F119" s="522"/>
    </row>
    <row r="120" spans="5:6" s="512" customFormat="1">
      <c r="E120" s="522"/>
      <c r="F120" s="522"/>
    </row>
    <row r="121" spans="5:6" s="512" customFormat="1">
      <c r="E121" s="522"/>
      <c r="F121" s="522"/>
    </row>
    <row r="122" spans="5:6" s="512" customFormat="1">
      <c r="E122" s="522"/>
      <c r="F122" s="522"/>
    </row>
    <row r="123" spans="5:6" s="512" customFormat="1">
      <c r="E123" s="522"/>
      <c r="F123" s="522"/>
    </row>
    <row r="124" spans="5:6" s="512" customFormat="1">
      <c r="E124" s="522"/>
      <c r="F124" s="522"/>
    </row>
    <row r="125" spans="5:6" s="512" customFormat="1">
      <c r="E125" s="522"/>
      <c r="F125" s="522"/>
    </row>
    <row r="126" spans="5:6" s="512" customFormat="1">
      <c r="E126" s="522"/>
      <c r="F126" s="522"/>
    </row>
    <row r="127" spans="5:6" s="512" customFormat="1">
      <c r="E127" s="522"/>
      <c r="F127" s="522"/>
    </row>
    <row r="128" spans="5:6" s="512" customFormat="1">
      <c r="E128" s="522"/>
      <c r="F128" s="522"/>
    </row>
    <row r="129" spans="5:6" s="512" customFormat="1">
      <c r="E129" s="522"/>
      <c r="F129" s="522"/>
    </row>
    <row r="130" spans="5:6" s="512" customFormat="1">
      <c r="E130" s="522"/>
      <c r="F130" s="522"/>
    </row>
    <row r="131" spans="5:6" s="512" customFormat="1">
      <c r="E131" s="522"/>
      <c r="F131" s="522"/>
    </row>
    <row r="132" spans="5:6" s="512" customFormat="1">
      <c r="E132" s="522"/>
      <c r="F132" s="522"/>
    </row>
    <row r="133" spans="5:6" s="512" customFormat="1">
      <c r="E133" s="522"/>
      <c r="F133" s="522"/>
    </row>
    <row r="134" spans="5:6" s="512" customFormat="1">
      <c r="E134" s="522"/>
      <c r="F134" s="522"/>
    </row>
    <row r="135" spans="5:6" s="512" customFormat="1">
      <c r="E135" s="522"/>
      <c r="F135" s="522"/>
    </row>
    <row r="136" spans="5:6" s="512" customFormat="1">
      <c r="E136" s="522"/>
      <c r="F136" s="522"/>
    </row>
    <row r="137" spans="5:6" s="512" customFormat="1">
      <c r="E137" s="522"/>
      <c r="F137" s="522"/>
    </row>
    <row r="138" spans="5:6" s="512" customFormat="1">
      <c r="E138" s="522"/>
      <c r="F138" s="522"/>
    </row>
    <row r="139" spans="5:6" s="512" customFormat="1">
      <c r="E139" s="522"/>
      <c r="F139" s="522"/>
    </row>
    <row r="140" spans="5:6" s="512" customFormat="1">
      <c r="E140" s="522"/>
      <c r="F140" s="522"/>
    </row>
    <row r="141" spans="5:6" s="512" customFormat="1">
      <c r="E141" s="522"/>
      <c r="F141" s="522"/>
    </row>
    <row r="142" spans="5:6" s="512" customFormat="1">
      <c r="E142" s="522"/>
      <c r="F142" s="522"/>
    </row>
    <row r="143" spans="5:6" s="512" customFormat="1">
      <c r="E143" s="522"/>
      <c r="F143" s="522"/>
    </row>
    <row r="144" spans="5:6" s="512" customFormat="1">
      <c r="E144" s="522"/>
      <c r="F144" s="522"/>
    </row>
    <row r="145" spans="5:6" s="512" customFormat="1">
      <c r="E145" s="522"/>
      <c r="F145" s="522"/>
    </row>
    <row r="146" spans="5:6" s="512" customFormat="1">
      <c r="E146" s="522"/>
      <c r="F146" s="522"/>
    </row>
    <row r="147" spans="5:6" s="512" customFormat="1">
      <c r="E147" s="522"/>
      <c r="F147" s="522"/>
    </row>
  </sheetData>
  <pageMargins left="0.7" right="0.51432291666666663" top="0.86956521739130432" bottom="0.61458333333333337" header="0.3" footer="0.3"/>
  <pageSetup orientation="portrait" r:id="rId1"/>
  <headerFooter>
    <oddHeader>&amp;R&amp;7Informe de la Operación Mensual - Abril 2018
INFSGI-MES-04-2018
10/05/2018
Versión: 01</oddHeader>
    <oddFooter>&amp;L&amp;7COES SINAC, 2018
&amp;C30&amp;R&amp;7Dirección Ejecutiva
Sub Dirección de Gestión de Información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4D7C7-3912-4BF5-8840-22D7E1433002}">
  <sheetPr>
    <tabColor theme="4"/>
  </sheetPr>
  <dimension ref="A1:J162"/>
  <sheetViews>
    <sheetView showGridLines="0" view="pageBreakPreview" zoomScale="145" zoomScaleNormal="100" zoomScaleSheetLayoutView="145" zoomScalePageLayoutView="145" workbookViewId="0">
      <selection activeCell="P17" sqref="P17"/>
    </sheetView>
  </sheetViews>
  <sheetFormatPr defaultRowHeight="9"/>
  <cols>
    <col min="1" max="1" width="16.1640625" style="512" customWidth="1"/>
    <col min="2" max="2" width="19.6640625" style="512" customWidth="1"/>
    <col min="3" max="3" width="12.5" style="512" bestFit="1" customWidth="1"/>
    <col min="4" max="4" width="47.1640625" style="512" customWidth="1"/>
    <col min="5" max="5" width="11.5" style="512" customWidth="1"/>
    <col min="6" max="6" width="10.5" style="512" customWidth="1"/>
    <col min="7" max="8" width="9.33203125" style="512" customWidth="1"/>
    <col min="9" max="10" width="9.33203125" style="512"/>
    <col min="11" max="16384" width="9.33203125" style="521"/>
  </cols>
  <sheetData>
    <row r="1" spans="1:9" s="512" customFormat="1" ht="30" customHeight="1">
      <c r="A1" s="523" t="s">
        <v>294</v>
      </c>
      <c r="B1" s="524" t="s">
        <v>480</v>
      </c>
      <c r="C1" s="523" t="s">
        <v>469</v>
      </c>
      <c r="D1" s="525" t="s">
        <v>481</v>
      </c>
      <c r="E1" s="526" t="s">
        <v>482</v>
      </c>
      <c r="F1" s="526" t="s">
        <v>483</v>
      </c>
      <c r="G1" s="478"/>
      <c r="H1" s="513"/>
      <c r="I1" s="476"/>
    </row>
    <row r="2" spans="1:9" s="512" customFormat="1" ht="90" customHeight="1">
      <c r="A2" s="527" t="s">
        <v>492</v>
      </c>
      <c r="B2" s="527" t="s">
        <v>695</v>
      </c>
      <c r="C2" s="528">
        <v>43211.573611111111</v>
      </c>
      <c r="D2" s="715" t="s">
        <v>696</v>
      </c>
      <c r="E2" s="529">
        <v>0.43</v>
      </c>
      <c r="F2" s="529"/>
      <c r="G2" s="477"/>
      <c r="H2" s="483"/>
    </row>
    <row r="3" spans="1:9" s="512" customFormat="1" ht="73.5" customHeight="1">
      <c r="A3" s="527" t="s">
        <v>485</v>
      </c>
      <c r="B3" s="527" t="s">
        <v>486</v>
      </c>
      <c r="C3" s="528">
        <v>43212.861111111109</v>
      </c>
      <c r="D3" s="715" t="s">
        <v>697</v>
      </c>
      <c r="E3" s="529">
        <v>4.68</v>
      </c>
      <c r="F3" s="529"/>
      <c r="G3" s="477"/>
      <c r="H3" s="483"/>
    </row>
    <row r="4" spans="1:9" s="512" customFormat="1" ht="93" customHeight="1">
      <c r="A4" s="527" t="s">
        <v>649</v>
      </c>
      <c r="B4" s="527" t="s">
        <v>698</v>
      </c>
      <c r="C4" s="528">
        <v>43212.923611111109</v>
      </c>
      <c r="D4" s="715" t="s">
        <v>699</v>
      </c>
      <c r="E4" s="529">
        <v>4.6399999999999997</v>
      </c>
      <c r="F4" s="529"/>
      <c r="G4" s="477"/>
      <c r="H4" s="483"/>
    </row>
    <row r="5" spans="1:9" s="512" customFormat="1" ht="75" customHeight="1">
      <c r="A5" s="527" t="s">
        <v>485</v>
      </c>
      <c r="B5" s="527" t="s">
        <v>486</v>
      </c>
      <c r="C5" s="528">
        <v>43213.298611111109</v>
      </c>
      <c r="D5" s="715" t="s">
        <v>700</v>
      </c>
      <c r="E5" s="529">
        <v>3.48</v>
      </c>
      <c r="F5" s="529"/>
      <c r="G5" s="477"/>
      <c r="H5" s="483"/>
    </row>
    <row r="6" spans="1:9" s="512" customFormat="1" ht="78" customHeight="1">
      <c r="A6" s="527" t="s">
        <v>489</v>
      </c>
      <c r="B6" s="527" t="s">
        <v>490</v>
      </c>
      <c r="C6" s="528">
        <v>43214.78125</v>
      </c>
      <c r="D6" s="715" t="s">
        <v>701</v>
      </c>
      <c r="E6" s="529">
        <v>4.9800000000000004</v>
      </c>
      <c r="F6" s="529"/>
      <c r="G6" s="477"/>
      <c r="H6" s="483"/>
    </row>
    <row r="7" spans="1:9" s="512" customFormat="1" ht="105" customHeight="1">
      <c r="A7" s="527" t="s">
        <v>491</v>
      </c>
      <c r="B7" s="527" t="s">
        <v>537</v>
      </c>
      <c r="C7" s="528">
        <v>43214.873611111114</v>
      </c>
      <c r="D7" s="715" t="s">
        <v>702</v>
      </c>
      <c r="E7" s="529">
        <v>7.66</v>
      </c>
      <c r="F7" s="529">
        <v>6.84</v>
      </c>
      <c r="G7" s="477"/>
      <c r="H7" s="483"/>
    </row>
    <row r="8" spans="1:9" s="512" customFormat="1" ht="77.25" customHeight="1">
      <c r="A8" s="527" t="s">
        <v>492</v>
      </c>
      <c r="B8" s="527" t="s">
        <v>695</v>
      </c>
      <c r="C8" s="528">
        <v>43215.319444444445</v>
      </c>
      <c r="D8" s="715" t="s">
        <v>703</v>
      </c>
      <c r="E8" s="529">
        <v>0.67</v>
      </c>
      <c r="F8" s="529"/>
      <c r="G8" s="477"/>
      <c r="H8" s="483"/>
    </row>
    <row r="9" spans="1:9" s="512" customFormat="1" ht="87.75" customHeight="1">
      <c r="A9" s="527" t="s">
        <v>489</v>
      </c>
      <c r="B9" s="527" t="s">
        <v>490</v>
      </c>
      <c r="C9" s="528">
        <v>43216.304166666669</v>
      </c>
      <c r="D9" s="715" t="s">
        <v>704</v>
      </c>
      <c r="E9" s="529">
        <v>4.91</v>
      </c>
      <c r="F9" s="529"/>
      <c r="G9" s="486"/>
      <c r="H9" s="483"/>
    </row>
    <row r="10" spans="1:9" s="512" customFormat="1">
      <c r="E10" s="522"/>
      <c r="F10" s="522"/>
    </row>
    <row r="11" spans="1:9" s="512" customFormat="1">
      <c r="E11" s="522"/>
      <c r="F11" s="522"/>
    </row>
    <row r="12" spans="1:9" s="512" customFormat="1">
      <c r="E12" s="522"/>
      <c r="F12" s="522"/>
    </row>
    <row r="13" spans="1:9" s="512" customFormat="1">
      <c r="E13" s="522"/>
      <c r="F13" s="522"/>
    </row>
    <row r="14" spans="1:9" s="512" customFormat="1">
      <c r="E14" s="522"/>
      <c r="F14" s="522"/>
    </row>
    <row r="15" spans="1:9" s="512" customFormat="1">
      <c r="E15" s="522"/>
      <c r="F15" s="522"/>
    </row>
    <row r="16" spans="1:9" s="512" customFormat="1">
      <c r="E16" s="522"/>
      <c r="F16" s="522"/>
    </row>
    <row r="17" spans="5:6" s="512" customFormat="1">
      <c r="E17" s="522"/>
      <c r="F17" s="522"/>
    </row>
    <row r="18" spans="5:6" s="512" customFormat="1">
      <c r="E18" s="522"/>
      <c r="F18" s="522"/>
    </row>
    <row r="19" spans="5:6" s="512" customFormat="1">
      <c r="E19" s="522"/>
      <c r="F19" s="522"/>
    </row>
    <row r="20" spans="5:6" s="512" customFormat="1">
      <c r="E20" s="522"/>
      <c r="F20" s="522"/>
    </row>
    <row r="21" spans="5:6" s="512" customFormat="1">
      <c r="E21" s="522"/>
      <c r="F21" s="522"/>
    </row>
    <row r="22" spans="5:6" s="512" customFormat="1">
      <c r="E22" s="522"/>
      <c r="F22" s="522"/>
    </row>
    <row r="23" spans="5:6" s="512" customFormat="1">
      <c r="E23" s="522"/>
      <c r="F23" s="522"/>
    </row>
    <row r="24" spans="5:6" s="512" customFormat="1">
      <c r="E24" s="522"/>
      <c r="F24" s="522"/>
    </row>
    <row r="25" spans="5:6" s="512" customFormat="1">
      <c r="E25" s="522"/>
      <c r="F25" s="522"/>
    </row>
    <row r="26" spans="5:6" s="512" customFormat="1">
      <c r="E26" s="522"/>
      <c r="F26" s="522"/>
    </row>
    <row r="27" spans="5:6" s="512" customFormat="1">
      <c r="E27" s="522"/>
      <c r="F27" s="522"/>
    </row>
    <row r="28" spans="5:6" s="512" customFormat="1">
      <c r="E28" s="522"/>
      <c r="F28" s="522"/>
    </row>
    <row r="29" spans="5:6" s="512" customFormat="1">
      <c r="E29" s="522"/>
      <c r="F29" s="522"/>
    </row>
    <row r="30" spans="5:6" s="512" customFormat="1">
      <c r="E30" s="522"/>
      <c r="F30" s="522"/>
    </row>
    <row r="31" spans="5:6" s="512" customFormat="1">
      <c r="E31" s="522"/>
      <c r="F31" s="522"/>
    </row>
    <row r="32" spans="5:6" s="512" customFormat="1">
      <c r="E32" s="522"/>
      <c r="F32" s="522"/>
    </row>
    <row r="33" spans="5:6" s="512" customFormat="1">
      <c r="E33" s="522"/>
      <c r="F33" s="522"/>
    </row>
    <row r="34" spans="5:6" s="512" customFormat="1">
      <c r="E34" s="522"/>
      <c r="F34" s="522"/>
    </row>
    <row r="35" spans="5:6" s="512" customFormat="1">
      <c r="E35" s="522"/>
      <c r="F35" s="522"/>
    </row>
    <row r="36" spans="5:6" s="512" customFormat="1">
      <c r="E36" s="522"/>
      <c r="F36" s="522"/>
    </row>
    <row r="37" spans="5:6" s="512" customFormat="1">
      <c r="E37" s="522"/>
      <c r="F37" s="522"/>
    </row>
    <row r="38" spans="5:6" s="512" customFormat="1">
      <c r="E38" s="522"/>
      <c r="F38" s="522"/>
    </row>
    <row r="39" spans="5:6" s="512" customFormat="1">
      <c r="E39" s="522"/>
      <c r="F39" s="522"/>
    </row>
    <row r="40" spans="5:6" s="512" customFormat="1">
      <c r="E40" s="522"/>
      <c r="F40" s="522"/>
    </row>
    <row r="41" spans="5:6" s="512" customFormat="1">
      <c r="E41" s="522"/>
      <c r="F41" s="522"/>
    </row>
    <row r="42" spans="5:6" s="512" customFormat="1">
      <c r="E42" s="522"/>
      <c r="F42" s="522"/>
    </row>
    <row r="43" spans="5:6" s="512" customFormat="1">
      <c r="E43" s="522"/>
      <c r="F43" s="522"/>
    </row>
    <row r="44" spans="5:6" s="512" customFormat="1">
      <c r="E44" s="522"/>
      <c r="F44" s="522"/>
    </row>
    <row r="45" spans="5:6" s="512" customFormat="1">
      <c r="E45" s="522"/>
      <c r="F45" s="522"/>
    </row>
    <row r="46" spans="5:6" s="512" customFormat="1">
      <c r="E46" s="522"/>
      <c r="F46" s="522"/>
    </row>
    <row r="47" spans="5:6" s="512" customFormat="1">
      <c r="E47" s="522"/>
      <c r="F47" s="522"/>
    </row>
    <row r="48" spans="5:6" s="512" customFormat="1">
      <c r="E48" s="522"/>
      <c r="F48" s="522"/>
    </row>
    <row r="49" spans="5:6" s="512" customFormat="1">
      <c r="E49" s="522"/>
      <c r="F49" s="522"/>
    </row>
    <row r="50" spans="5:6" s="512" customFormat="1">
      <c r="E50" s="522"/>
      <c r="F50" s="522"/>
    </row>
    <row r="51" spans="5:6" s="512" customFormat="1">
      <c r="E51" s="522"/>
      <c r="F51" s="522"/>
    </row>
    <row r="52" spans="5:6" s="512" customFormat="1">
      <c r="E52" s="522"/>
      <c r="F52" s="522"/>
    </row>
    <row r="53" spans="5:6" s="512" customFormat="1">
      <c r="E53" s="522"/>
      <c r="F53" s="522"/>
    </row>
    <row r="54" spans="5:6" s="512" customFormat="1">
      <c r="E54" s="522"/>
      <c r="F54" s="522"/>
    </row>
    <row r="55" spans="5:6" s="512" customFormat="1">
      <c r="E55" s="522"/>
      <c r="F55" s="522"/>
    </row>
    <row r="56" spans="5:6" s="512" customFormat="1">
      <c r="E56" s="522"/>
      <c r="F56" s="522"/>
    </row>
    <row r="57" spans="5:6" s="512" customFormat="1">
      <c r="E57" s="522"/>
      <c r="F57" s="522"/>
    </row>
    <row r="58" spans="5:6" s="512" customFormat="1">
      <c r="E58" s="522"/>
      <c r="F58" s="522"/>
    </row>
    <row r="59" spans="5:6" s="512" customFormat="1">
      <c r="E59" s="522"/>
      <c r="F59" s="522"/>
    </row>
    <row r="60" spans="5:6" s="512" customFormat="1">
      <c r="E60" s="522"/>
      <c r="F60" s="522"/>
    </row>
    <row r="61" spans="5:6" s="512" customFormat="1">
      <c r="E61" s="522"/>
      <c r="F61" s="522"/>
    </row>
    <row r="62" spans="5:6" s="512" customFormat="1">
      <c r="E62" s="522"/>
      <c r="F62" s="522"/>
    </row>
    <row r="63" spans="5:6" s="512" customFormat="1">
      <c r="E63" s="522"/>
      <c r="F63" s="522"/>
    </row>
    <row r="64" spans="5:6" s="512" customFormat="1">
      <c r="E64" s="522"/>
      <c r="F64" s="522"/>
    </row>
    <row r="65" spans="5:6" s="512" customFormat="1">
      <c r="E65" s="522"/>
      <c r="F65" s="522"/>
    </row>
    <row r="66" spans="5:6" s="512" customFormat="1">
      <c r="E66" s="522"/>
      <c r="F66" s="522"/>
    </row>
    <row r="67" spans="5:6" s="512" customFormat="1">
      <c r="E67" s="522"/>
      <c r="F67" s="522"/>
    </row>
    <row r="68" spans="5:6" s="512" customFormat="1">
      <c r="E68" s="522"/>
      <c r="F68" s="522"/>
    </row>
    <row r="69" spans="5:6" s="512" customFormat="1">
      <c r="E69" s="522"/>
      <c r="F69" s="522"/>
    </row>
    <row r="70" spans="5:6" s="512" customFormat="1">
      <c r="E70" s="522"/>
      <c r="F70" s="522"/>
    </row>
    <row r="71" spans="5:6" s="512" customFormat="1">
      <c r="E71" s="522"/>
      <c r="F71" s="522"/>
    </row>
    <row r="72" spans="5:6" s="512" customFormat="1">
      <c r="E72" s="522"/>
      <c r="F72" s="522"/>
    </row>
    <row r="73" spans="5:6" s="512" customFormat="1">
      <c r="E73" s="522"/>
      <c r="F73" s="522"/>
    </row>
    <row r="74" spans="5:6" s="512" customFormat="1">
      <c r="E74" s="522"/>
      <c r="F74" s="522"/>
    </row>
    <row r="75" spans="5:6" s="512" customFormat="1">
      <c r="E75" s="522"/>
      <c r="F75" s="522"/>
    </row>
    <row r="76" spans="5:6" s="512" customFormat="1">
      <c r="E76" s="522"/>
      <c r="F76" s="522"/>
    </row>
    <row r="77" spans="5:6" s="512" customFormat="1">
      <c r="E77" s="522"/>
      <c r="F77" s="522"/>
    </row>
    <row r="78" spans="5:6" s="512" customFormat="1">
      <c r="E78" s="522"/>
      <c r="F78" s="522"/>
    </row>
    <row r="79" spans="5:6" s="512" customFormat="1">
      <c r="E79" s="522"/>
      <c r="F79" s="522"/>
    </row>
    <row r="80" spans="5:6" s="512" customFormat="1">
      <c r="E80" s="522"/>
      <c r="F80" s="522"/>
    </row>
    <row r="81" spans="5:6" s="512" customFormat="1">
      <c r="E81" s="522"/>
      <c r="F81" s="522"/>
    </row>
    <row r="82" spans="5:6" s="512" customFormat="1">
      <c r="E82" s="522"/>
      <c r="F82" s="522"/>
    </row>
    <row r="83" spans="5:6" s="512" customFormat="1">
      <c r="E83" s="522"/>
      <c r="F83" s="522"/>
    </row>
    <row r="84" spans="5:6" s="512" customFormat="1">
      <c r="E84" s="522"/>
      <c r="F84" s="522"/>
    </row>
    <row r="85" spans="5:6" s="512" customFormat="1">
      <c r="E85" s="522"/>
      <c r="F85" s="522"/>
    </row>
    <row r="86" spans="5:6" s="512" customFormat="1">
      <c r="E86" s="522"/>
      <c r="F86" s="522"/>
    </row>
    <row r="87" spans="5:6" s="512" customFormat="1">
      <c r="E87" s="522"/>
      <c r="F87" s="522"/>
    </row>
    <row r="88" spans="5:6" s="512" customFormat="1">
      <c r="E88" s="522"/>
      <c r="F88" s="522"/>
    </row>
    <row r="89" spans="5:6" s="512" customFormat="1">
      <c r="E89" s="522"/>
      <c r="F89" s="522"/>
    </row>
    <row r="90" spans="5:6" s="512" customFormat="1">
      <c r="E90" s="522"/>
      <c r="F90" s="522"/>
    </row>
    <row r="91" spans="5:6" s="512" customFormat="1">
      <c r="E91" s="522"/>
      <c r="F91" s="522"/>
    </row>
    <row r="92" spans="5:6" s="512" customFormat="1">
      <c r="E92" s="522"/>
      <c r="F92" s="522"/>
    </row>
    <row r="93" spans="5:6" s="512" customFormat="1">
      <c r="E93" s="522"/>
      <c r="F93" s="522"/>
    </row>
    <row r="94" spans="5:6" s="512" customFormat="1">
      <c r="E94" s="522"/>
      <c r="F94" s="522"/>
    </row>
    <row r="95" spans="5:6" s="512" customFormat="1">
      <c r="E95" s="522"/>
      <c r="F95" s="522"/>
    </row>
    <row r="96" spans="5:6" s="512" customFormat="1">
      <c r="E96" s="522"/>
      <c r="F96" s="522"/>
    </row>
    <row r="97" spans="5:6" s="512" customFormat="1">
      <c r="E97" s="522"/>
      <c r="F97" s="522"/>
    </row>
    <row r="98" spans="5:6" s="512" customFormat="1">
      <c r="E98" s="522"/>
      <c r="F98" s="522"/>
    </row>
    <row r="99" spans="5:6" s="512" customFormat="1">
      <c r="E99" s="522"/>
      <c r="F99" s="522"/>
    </row>
    <row r="100" spans="5:6" s="512" customFormat="1">
      <c r="E100" s="522"/>
      <c r="F100" s="522"/>
    </row>
    <row r="101" spans="5:6" s="512" customFormat="1">
      <c r="E101" s="522"/>
      <c r="F101" s="522"/>
    </row>
    <row r="102" spans="5:6" s="512" customFormat="1">
      <c r="E102" s="522"/>
      <c r="F102" s="522"/>
    </row>
    <row r="103" spans="5:6" s="512" customFormat="1">
      <c r="E103" s="522"/>
      <c r="F103" s="522"/>
    </row>
    <row r="104" spans="5:6" s="512" customFormat="1">
      <c r="E104" s="522"/>
      <c r="F104" s="522"/>
    </row>
    <row r="105" spans="5:6" s="512" customFormat="1">
      <c r="E105" s="522"/>
      <c r="F105" s="522"/>
    </row>
    <row r="106" spans="5:6" s="512" customFormat="1">
      <c r="E106" s="522"/>
      <c r="F106" s="522"/>
    </row>
    <row r="107" spans="5:6" s="512" customFormat="1">
      <c r="E107" s="522"/>
      <c r="F107" s="522"/>
    </row>
    <row r="108" spans="5:6" s="512" customFormat="1">
      <c r="E108" s="522"/>
      <c r="F108" s="522"/>
    </row>
    <row r="109" spans="5:6" s="512" customFormat="1">
      <c r="E109" s="522"/>
      <c r="F109" s="522"/>
    </row>
    <row r="110" spans="5:6" s="512" customFormat="1">
      <c r="E110" s="522"/>
      <c r="F110" s="522"/>
    </row>
    <row r="111" spans="5:6" s="512" customFormat="1">
      <c r="E111" s="522"/>
      <c r="F111" s="522"/>
    </row>
    <row r="112" spans="5:6" s="512" customFormat="1">
      <c r="E112" s="522"/>
      <c r="F112" s="522"/>
    </row>
    <row r="113" spans="5:6" s="512" customFormat="1">
      <c r="E113" s="522"/>
      <c r="F113" s="522"/>
    </row>
    <row r="114" spans="5:6" s="512" customFormat="1">
      <c r="E114" s="522"/>
      <c r="F114" s="522"/>
    </row>
    <row r="115" spans="5:6" s="512" customFormat="1">
      <c r="E115" s="522"/>
      <c r="F115" s="522"/>
    </row>
    <row r="116" spans="5:6" s="512" customFormat="1">
      <c r="E116" s="522"/>
      <c r="F116" s="522"/>
    </row>
    <row r="117" spans="5:6" s="512" customFormat="1">
      <c r="E117" s="522"/>
      <c r="F117" s="522"/>
    </row>
    <row r="118" spans="5:6" s="512" customFormat="1">
      <c r="E118" s="522"/>
      <c r="F118" s="522"/>
    </row>
    <row r="119" spans="5:6" s="512" customFormat="1">
      <c r="E119" s="522"/>
      <c r="F119" s="522"/>
    </row>
    <row r="120" spans="5:6" s="512" customFormat="1">
      <c r="E120" s="522"/>
      <c r="F120" s="522"/>
    </row>
    <row r="121" spans="5:6" s="512" customFormat="1">
      <c r="E121" s="522"/>
      <c r="F121" s="522"/>
    </row>
    <row r="122" spans="5:6" s="512" customFormat="1">
      <c r="E122" s="522"/>
      <c r="F122" s="522"/>
    </row>
    <row r="123" spans="5:6" s="512" customFormat="1">
      <c r="E123" s="522"/>
      <c r="F123" s="522"/>
    </row>
    <row r="124" spans="5:6" s="512" customFormat="1">
      <c r="E124" s="522"/>
      <c r="F124" s="522"/>
    </row>
    <row r="125" spans="5:6" s="512" customFormat="1">
      <c r="E125" s="522"/>
      <c r="F125" s="522"/>
    </row>
    <row r="126" spans="5:6" s="512" customFormat="1">
      <c r="E126" s="522"/>
      <c r="F126" s="522"/>
    </row>
    <row r="127" spans="5:6" s="512" customFormat="1">
      <c r="E127" s="522"/>
      <c r="F127" s="522"/>
    </row>
    <row r="128" spans="5:6" s="512" customFormat="1">
      <c r="E128" s="522"/>
      <c r="F128" s="522"/>
    </row>
    <row r="129" spans="5:6" s="512" customFormat="1">
      <c r="E129" s="522"/>
      <c r="F129" s="522"/>
    </row>
    <row r="130" spans="5:6" s="512" customFormat="1">
      <c r="E130" s="522"/>
      <c r="F130" s="522"/>
    </row>
    <row r="131" spans="5:6" s="512" customFormat="1">
      <c r="E131" s="522"/>
      <c r="F131" s="522"/>
    </row>
    <row r="132" spans="5:6" s="512" customFormat="1">
      <c r="E132" s="522"/>
      <c r="F132" s="522"/>
    </row>
    <row r="133" spans="5:6" s="512" customFormat="1">
      <c r="E133" s="522"/>
      <c r="F133" s="522"/>
    </row>
    <row r="134" spans="5:6" s="512" customFormat="1">
      <c r="E134" s="522"/>
      <c r="F134" s="522"/>
    </row>
    <row r="135" spans="5:6" s="512" customFormat="1">
      <c r="E135" s="522"/>
      <c r="F135" s="522"/>
    </row>
    <row r="136" spans="5:6" s="512" customFormat="1">
      <c r="E136" s="522"/>
      <c r="F136" s="522"/>
    </row>
    <row r="137" spans="5:6" s="512" customFormat="1">
      <c r="E137" s="522"/>
      <c r="F137" s="522"/>
    </row>
    <row r="138" spans="5:6" s="512" customFormat="1">
      <c r="E138" s="522"/>
      <c r="F138" s="522"/>
    </row>
    <row r="139" spans="5:6" s="512" customFormat="1">
      <c r="E139" s="522"/>
      <c r="F139" s="522"/>
    </row>
    <row r="140" spans="5:6" s="512" customFormat="1">
      <c r="E140" s="522"/>
      <c r="F140" s="522"/>
    </row>
    <row r="141" spans="5:6" s="512" customFormat="1">
      <c r="E141" s="522"/>
      <c r="F141" s="522"/>
    </row>
    <row r="142" spans="5:6" s="512" customFormat="1">
      <c r="E142" s="522"/>
      <c r="F142" s="522"/>
    </row>
    <row r="143" spans="5:6" s="512" customFormat="1">
      <c r="E143" s="522"/>
      <c r="F143" s="522"/>
    </row>
    <row r="144" spans="5:6" s="512" customFormat="1">
      <c r="E144" s="522"/>
      <c r="F144" s="522"/>
    </row>
    <row r="145" spans="5:6" s="512" customFormat="1">
      <c r="E145" s="522"/>
      <c r="F145" s="522"/>
    </row>
    <row r="146" spans="5:6" s="512" customFormat="1">
      <c r="E146" s="522"/>
      <c r="F146" s="522"/>
    </row>
    <row r="147" spans="5:6" s="512" customFormat="1">
      <c r="E147" s="522"/>
      <c r="F147" s="522"/>
    </row>
    <row r="148" spans="5:6" s="512" customFormat="1">
      <c r="E148" s="522"/>
      <c r="F148" s="522"/>
    </row>
    <row r="149" spans="5:6" s="512" customFormat="1">
      <c r="E149" s="522"/>
      <c r="F149" s="522"/>
    </row>
    <row r="150" spans="5:6" s="512" customFormat="1">
      <c r="E150" s="522"/>
      <c r="F150" s="522"/>
    </row>
    <row r="151" spans="5:6" s="512" customFormat="1">
      <c r="E151" s="522"/>
      <c r="F151" s="522"/>
    </row>
    <row r="152" spans="5:6" s="512" customFormat="1">
      <c r="E152" s="522"/>
      <c r="F152" s="522"/>
    </row>
    <row r="153" spans="5:6" s="512" customFormat="1">
      <c r="E153" s="522"/>
      <c r="F153" s="522"/>
    </row>
    <row r="154" spans="5:6" s="512" customFormat="1">
      <c r="E154" s="522"/>
      <c r="F154" s="522"/>
    </row>
    <row r="155" spans="5:6" s="512" customFormat="1">
      <c r="E155" s="522"/>
      <c r="F155" s="522"/>
    </row>
    <row r="156" spans="5:6" s="512" customFormat="1">
      <c r="E156" s="522"/>
      <c r="F156" s="522"/>
    </row>
    <row r="157" spans="5:6" s="512" customFormat="1">
      <c r="E157" s="522"/>
      <c r="F157" s="522"/>
    </row>
    <row r="158" spans="5:6" s="512" customFormat="1">
      <c r="E158" s="522"/>
      <c r="F158" s="522"/>
    </row>
    <row r="159" spans="5:6" s="512" customFormat="1">
      <c r="E159" s="522"/>
      <c r="F159" s="522"/>
    </row>
    <row r="160" spans="5:6" s="512" customFormat="1">
      <c r="E160" s="522"/>
      <c r="F160" s="522"/>
    </row>
    <row r="161" spans="5:6" s="512" customFormat="1">
      <c r="E161" s="522"/>
      <c r="F161" s="522"/>
    </row>
    <row r="162" spans="5:6" s="512" customFormat="1">
      <c r="E162" s="522"/>
      <c r="F162" s="522"/>
    </row>
  </sheetData>
  <pageMargins left="0.7" right="0.51432291666666663" top="0.86956521739130432" bottom="0.61458333333333337" header="0.3" footer="0.3"/>
  <pageSetup orientation="portrait" r:id="rId1"/>
  <headerFooter>
    <oddHeader>&amp;R&amp;7Informe de la Operación Mensual - Abril 2018
INFSGI-MES-04-2018
10/05/2018
Versión: 01</oddHeader>
    <oddFooter>&amp;L&amp;7COES SINAC, 2018
&amp;C31&amp;R&amp;7Dirección Ejecutiva
Sub Dirección de Gestión de Información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A7041-E818-4A26-B430-F35DCB72AC06}">
  <sheetPr>
    <tabColor theme="4"/>
  </sheetPr>
  <dimension ref="A1:J161"/>
  <sheetViews>
    <sheetView showGridLines="0" view="pageBreakPreview" zoomScale="145" zoomScaleNormal="100" zoomScaleSheetLayoutView="145" zoomScalePageLayoutView="145" workbookViewId="0">
      <selection activeCell="P17" sqref="P17"/>
    </sheetView>
  </sheetViews>
  <sheetFormatPr defaultRowHeight="9"/>
  <cols>
    <col min="1" max="1" width="16.1640625" style="512" customWidth="1"/>
    <col min="2" max="2" width="19.6640625" style="512" customWidth="1"/>
    <col min="3" max="3" width="12.5" style="512" bestFit="1" customWidth="1"/>
    <col min="4" max="4" width="47.1640625" style="512" customWidth="1"/>
    <col min="5" max="5" width="11.5" style="512" customWidth="1"/>
    <col min="6" max="6" width="10.5" style="512" customWidth="1"/>
    <col min="7" max="8" width="9.33203125" style="512" customWidth="1"/>
    <col min="9" max="10" width="9.33203125" style="512"/>
    <col min="11" max="16384" width="9.33203125" style="521"/>
  </cols>
  <sheetData>
    <row r="1" spans="1:9" s="512" customFormat="1" ht="30" customHeight="1">
      <c r="A1" s="523" t="s">
        <v>294</v>
      </c>
      <c r="B1" s="524" t="s">
        <v>480</v>
      </c>
      <c r="C1" s="523" t="s">
        <v>469</v>
      </c>
      <c r="D1" s="525" t="s">
        <v>481</v>
      </c>
      <c r="E1" s="526" t="s">
        <v>482</v>
      </c>
      <c r="F1" s="526" t="s">
        <v>483</v>
      </c>
      <c r="G1" s="478"/>
      <c r="H1" s="513"/>
      <c r="I1" s="476"/>
    </row>
    <row r="2" spans="1:9" s="512" customFormat="1" ht="84.75" customHeight="1">
      <c r="A2" s="527" t="s">
        <v>485</v>
      </c>
      <c r="B2" s="527" t="s">
        <v>705</v>
      </c>
      <c r="C2" s="528">
        <v>43218.243055555555</v>
      </c>
      <c r="D2" s="715" t="s">
        <v>706</v>
      </c>
      <c r="E2" s="529">
        <v>2.5</v>
      </c>
      <c r="F2" s="529"/>
      <c r="G2" s="477"/>
      <c r="H2" s="483"/>
    </row>
    <row r="3" spans="1:9" s="512" customFormat="1" ht="180" customHeight="1">
      <c r="A3" s="527" t="s">
        <v>488</v>
      </c>
      <c r="B3" s="527" t="s">
        <v>707</v>
      </c>
      <c r="C3" s="528">
        <v>43218.632638888892</v>
      </c>
      <c r="D3" s="715" t="s">
        <v>708</v>
      </c>
      <c r="E3" s="529"/>
      <c r="F3" s="529">
        <v>341.71</v>
      </c>
      <c r="G3" s="477"/>
      <c r="H3" s="483"/>
    </row>
    <row r="4" spans="1:9" s="512" customFormat="1" ht="91.5" customHeight="1">
      <c r="A4" s="527" t="s">
        <v>97</v>
      </c>
      <c r="B4" s="527" t="s">
        <v>709</v>
      </c>
      <c r="C4" s="528">
        <v>43218.636805555558</v>
      </c>
      <c r="D4" s="715" t="s">
        <v>710</v>
      </c>
      <c r="E4" s="529">
        <v>20.07</v>
      </c>
      <c r="F4" s="529"/>
      <c r="G4" s="477"/>
      <c r="H4" s="483"/>
    </row>
    <row r="5" spans="1:9" s="512" customFormat="1" ht="67.5" customHeight="1">
      <c r="A5" s="527" t="s">
        <v>489</v>
      </c>
      <c r="B5" s="527" t="s">
        <v>490</v>
      </c>
      <c r="C5" s="528">
        <v>43219.384722222225</v>
      </c>
      <c r="D5" s="715" t="s">
        <v>711</v>
      </c>
      <c r="E5" s="529">
        <v>5.01</v>
      </c>
      <c r="F5" s="529"/>
      <c r="G5" s="477"/>
      <c r="H5" s="483"/>
    </row>
    <row r="6" spans="1:9" s="512" customFormat="1" ht="73.5" customHeight="1">
      <c r="A6" s="527" t="s">
        <v>489</v>
      </c>
      <c r="B6" s="527" t="s">
        <v>490</v>
      </c>
      <c r="C6" s="528">
        <v>43219.737500000003</v>
      </c>
      <c r="D6" s="715" t="s">
        <v>712</v>
      </c>
      <c r="E6" s="529">
        <v>5.05</v>
      </c>
      <c r="F6" s="529"/>
      <c r="G6" s="477"/>
      <c r="H6" s="483"/>
    </row>
    <row r="7" spans="1:9" s="512" customFormat="1" ht="84" customHeight="1">
      <c r="A7" s="527" t="s">
        <v>491</v>
      </c>
      <c r="B7" s="527" t="s">
        <v>713</v>
      </c>
      <c r="C7" s="528">
        <v>43219.796527777777</v>
      </c>
      <c r="D7" s="715" t="s">
        <v>714</v>
      </c>
      <c r="E7" s="529">
        <v>42.36</v>
      </c>
      <c r="F7" s="529"/>
      <c r="G7" s="477"/>
      <c r="H7" s="483"/>
    </row>
    <row r="8" spans="1:9" s="512" customFormat="1" ht="77.25" customHeight="1">
      <c r="A8" s="527" t="s">
        <v>487</v>
      </c>
      <c r="B8" s="527" t="s">
        <v>715</v>
      </c>
      <c r="C8" s="528">
        <v>43220.618750000001</v>
      </c>
      <c r="D8" s="715" t="s">
        <v>716</v>
      </c>
      <c r="E8" s="529">
        <v>2.2200000000000002</v>
      </c>
      <c r="F8" s="529"/>
      <c r="G8" s="477"/>
      <c r="H8" s="483"/>
    </row>
    <row r="9" spans="1:9" s="512" customFormat="1">
      <c r="E9" s="522"/>
      <c r="F9" s="522"/>
    </row>
    <row r="10" spans="1:9" s="512" customFormat="1">
      <c r="E10" s="522"/>
      <c r="F10" s="522"/>
    </row>
    <row r="11" spans="1:9" s="512" customFormat="1">
      <c r="E11" s="522"/>
      <c r="F11" s="522"/>
    </row>
    <row r="12" spans="1:9" s="512" customFormat="1">
      <c r="E12" s="522"/>
      <c r="F12" s="522"/>
    </row>
    <row r="13" spans="1:9" s="512" customFormat="1">
      <c r="E13" s="522"/>
      <c r="F13" s="522"/>
    </row>
    <row r="14" spans="1:9" s="512" customFormat="1">
      <c r="E14" s="522"/>
      <c r="F14" s="522"/>
    </row>
    <row r="15" spans="1:9" s="512" customFormat="1">
      <c r="E15" s="522"/>
      <c r="F15" s="522"/>
    </row>
    <row r="16" spans="1:9" s="512" customFormat="1">
      <c r="E16" s="522"/>
      <c r="F16" s="522"/>
    </row>
    <row r="17" spans="5:6" s="512" customFormat="1">
      <c r="E17" s="522"/>
      <c r="F17" s="522"/>
    </row>
    <row r="18" spans="5:6" s="512" customFormat="1">
      <c r="E18" s="522"/>
      <c r="F18" s="522"/>
    </row>
    <row r="19" spans="5:6" s="512" customFormat="1">
      <c r="E19" s="522"/>
      <c r="F19" s="522"/>
    </row>
    <row r="20" spans="5:6" s="512" customFormat="1">
      <c r="E20" s="522"/>
      <c r="F20" s="522"/>
    </row>
    <row r="21" spans="5:6" s="512" customFormat="1">
      <c r="E21" s="522"/>
      <c r="F21" s="522"/>
    </row>
    <row r="22" spans="5:6" s="512" customFormat="1">
      <c r="E22" s="522"/>
      <c r="F22" s="522"/>
    </row>
    <row r="23" spans="5:6" s="512" customFormat="1">
      <c r="E23" s="522"/>
      <c r="F23" s="522"/>
    </row>
    <row r="24" spans="5:6" s="512" customFormat="1">
      <c r="E24" s="522"/>
      <c r="F24" s="522"/>
    </row>
    <row r="25" spans="5:6" s="512" customFormat="1">
      <c r="E25" s="522"/>
      <c r="F25" s="522"/>
    </row>
    <row r="26" spans="5:6" s="512" customFormat="1">
      <c r="E26" s="522"/>
      <c r="F26" s="522"/>
    </row>
    <row r="27" spans="5:6" s="512" customFormat="1">
      <c r="E27" s="522"/>
      <c r="F27" s="522"/>
    </row>
    <row r="28" spans="5:6" s="512" customFormat="1">
      <c r="E28" s="522"/>
      <c r="F28" s="522"/>
    </row>
    <row r="29" spans="5:6" s="512" customFormat="1">
      <c r="E29" s="522"/>
      <c r="F29" s="522"/>
    </row>
    <row r="30" spans="5:6" s="512" customFormat="1">
      <c r="E30" s="522"/>
      <c r="F30" s="522"/>
    </row>
    <row r="31" spans="5:6" s="512" customFormat="1">
      <c r="E31" s="522"/>
      <c r="F31" s="522"/>
    </row>
    <row r="32" spans="5:6" s="512" customFormat="1">
      <c r="E32" s="522"/>
      <c r="F32" s="522"/>
    </row>
    <row r="33" spans="5:6" s="512" customFormat="1">
      <c r="E33" s="522"/>
      <c r="F33" s="522"/>
    </row>
    <row r="34" spans="5:6" s="512" customFormat="1">
      <c r="E34" s="522"/>
      <c r="F34" s="522"/>
    </row>
    <row r="35" spans="5:6" s="512" customFormat="1">
      <c r="E35" s="522"/>
      <c r="F35" s="522"/>
    </row>
    <row r="36" spans="5:6" s="512" customFormat="1">
      <c r="E36" s="522"/>
      <c r="F36" s="522"/>
    </row>
    <row r="37" spans="5:6" s="512" customFormat="1">
      <c r="E37" s="522"/>
      <c r="F37" s="522"/>
    </row>
    <row r="38" spans="5:6" s="512" customFormat="1">
      <c r="E38" s="522"/>
      <c r="F38" s="522"/>
    </row>
    <row r="39" spans="5:6" s="512" customFormat="1">
      <c r="E39" s="522"/>
      <c r="F39" s="522"/>
    </row>
    <row r="40" spans="5:6" s="512" customFormat="1">
      <c r="E40" s="522"/>
      <c r="F40" s="522"/>
    </row>
    <row r="41" spans="5:6" s="512" customFormat="1">
      <c r="E41" s="522"/>
      <c r="F41" s="522"/>
    </row>
    <row r="42" spans="5:6" s="512" customFormat="1">
      <c r="E42" s="522"/>
      <c r="F42" s="522"/>
    </row>
    <row r="43" spans="5:6" s="512" customFormat="1">
      <c r="E43" s="522"/>
      <c r="F43" s="522"/>
    </row>
    <row r="44" spans="5:6" s="512" customFormat="1">
      <c r="E44" s="522"/>
      <c r="F44" s="522"/>
    </row>
    <row r="45" spans="5:6" s="512" customFormat="1">
      <c r="E45" s="522"/>
      <c r="F45" s="522"/>
    </row>
    <row r="46" spans="5:6" s="512" customFormat="1">
      <c r="E46" s="522"/>
      <c r="F46" s="522"/>
    </row>
    <row r="47" spans="5:6" s="512" customFormat="1">
      <c r="E47" s="522"/>
      <c r="F47" s="522"/>
    </row>
    <row r="48" spans="5:6" s="512" customFormat="1">
      <c r="E48" s="522"/>
      <c r="F48" s="522"/>
    </row>
    <row r="49" spans="5:6" s="512" customFormat="1">
      <c r="E49" s="522"/>
      <c r="F49" s="522"/>
    </row>
    <row r="50" spans="5:6" s="512" customFormat="1">
      <c r="E50" s="522"/>
      <c r="F50" s="522"/>
    </row>
    <row r="51" spans="5:6" s="512" customFormat="1">
      <c r="E51" s="522"/>
      <c r="F51" s="522"/>
    </row>
    <row r="52" spans="5:6" s="512" customFormat="1">
      <c r="E52" s="522"/>
      <c r="F52" s="522"/>
    </row>
    <row r="53" spans="5:6" s="512" customFormat="1">
      <c r="E53" s="522"/>
      <c r="F53" s="522"/>
    </row>
    <row r="54" spans="5:6" s="512" customFormat="1">
      <c r="E54" s="522"/>
      <c r="F54" s="522"/>
    </row>
    <row r="55" spans="5:6" s="512" customFormat="1">
      <c r="E55" s="522"/>
      <c r="F55" s="522"/>
    </row>
    <row r="56" spans="5:6" s="512" customFormat="1">
      <c r="E56" s="522"/>
      <c r="F56" s="522"/>
    </row>
    <row r="57" spans="5:6" s="512" customFormat="1">
      <c r="E57" s="522"/>
      <c r="F57" s="522"/>
    </row>
    <row r="58" spans="5:6" s="512" customFormat="1">
      <c r="E58" s="522"/>
      <c r="F58" s="522"/>
    </row>
    <row r="59" spans="5:6" s="512" customFormat="1">
      <c r="E59" s="522"/>
      <c r="F59" s="522"/>
    </row>
    <row r="60" spans="5:6" s="512" customFormat="1">
      <c r="E60" s="522"/>
      <c r="F60" s="522"/>
    </row>
    <row r="61" spans="5:6" s="512" customFormat="1">
      <c r="E61" s="522"/>
      <c r="F61" s="522"/>
    </row>
    <row r="62" spans="5:6" s="512" customFormat="1">
      <c r="E62" s="522"/>
      <c r="F62" s="522"/>
    </row>
    <row r="63" spans="5:6" s="512" customFormat="1">
      <c r="E63" s="522"/>
      <c r="F63" s="522"/>
    </row>
    <row r="64" spans="5:6" s="512" customFormat="1">
      <c r="E64" s="522"/>
      <c r="F64" s="522"/>
    </row>
    <row r="65" spans="5:6" s="512" customFormat="1">
      <c r="E65" s="522"/>
      <c r="F65" s="522"/>
    </row>
    <row r="66" spans="5:6" s="512" customFormat="1">
      <c r="E66" s="522"/>
      <c r="F66" s="522"/>
    </row>
    <row r="67" spans="5:6" s="512" customFormat="1">
      <c r="E67" s="522"/>
      <c r="F67" s="522"/>
    </row>
    <row r="68" spans="5:6" s="512" customFormat="1">
      <c r="E68" s="522"/>
      <c r="F68" s="522"/>
    </row>
    <row r="69" spans="5:6" s="512" customFormat="1">
      <c r="E69" s="522"/>
      <c r="F69" s="522"/>
    </row>
    <row r="70" spans="5:6" s="512" customFormat="1">
      <c r="E70" s="522"/>
      <c r="F70" s="522"/>
    </row>
    <row r="71" spans="5:6" s="512" customFormat="1">
      <c r="E71" s="522"/>
      <c r="F71" s="522"/>
    </row>
    <row r="72" spans="5:6" s="512" customFormat="1">
      <c r="E72" s="522"/>
      <c r="F72" s="522"/>
    </row>
    <row r="73" spans="5:6" s="512" customFormat="1">
      <c r="E73" s="522"/>
      <c r="F73" s="522"/>
    </row>
    <row r="74" spans="5:6" s="512" customFormat="1">
      <c r="E74" s="522"/>
      <c r="F74" s="522"/>
    </row>
    <row r="75" spans="5:6" s="512" customFormat="1">
      <c r="E75" s="522"/>
      <c r="F75" s="522"/>
    </row>
    <row r="76" spans="5:6" s="512" customFormat="1">
      <c r="E76" s="522"/>
      <c r="F76" s="522"/>
    </row>
    <row r="77" spans="5:6" s="512" customFormat="1">
      <c r="E77" s="522"/>
      <c r="F77" s="522"/>
    </row>
    <row r="78" spans="5:6" s="512" customFormat="1">
      <c r="E78" s="522"/>
      <c r="F78" s="522"/>
    </row>
    <row r="79" spans="5:6" s="512" customFormat="1">
      <c r="E79" s="522"/>
      <c r="F79" s="522"/>
    </row>
    <row r="80" spans="5:6" s="512" customFormat="1">
      <c r="E80" s="522"/>
      <c r="F80" s="522"/>
    </row>
    <row r="81" spans="5:6" s="512" customFormat="1">
      <c r="E81" s="522"/>
      <c r="F81" s="522"/>
    </row>
    <row r="82" spans="5:6" s="512" customFormat="1">
      <c r="E82" s="522"/>
      <c r="F82" s="522"/>
    </row>
    <row r="83" spans="5:6" s="512" customFormat="1">
      <c r="E83" s="522"/>
      <c r="F83" s="522"/>
    </row>
    <row r="84" spans="5:6" s="512" customFormat="1">
      <c r="E84" s="522"/>
      <c r="F84" s="522"/>
    </row>
    <row r="85" spans="5:6" s="512" customFormat="1">
      <c r="E85" s="522"/>
      <c r="F85" s="522"/>
    </row>
    <row r="86" spans="5:6" s="512" customFormat="1">
      <c r="E86" s="522"/>
      <c r="F86" s="522"/>
    </row>
    <row r="87" spans="5:6" s="512" customFormat="1">
      <c r="E87" s="522"/>
      <c r="F87" s="522"/>
    </row>
    <row r="88" spans="5:6" s="512" customFormat="1">
      <c r="E88" s="522"/>
      <c r="F88" s="522"/>
    </row>
    <row r="89" spans="5:6" s="512" customFormat="1">
      <c r="E89" s="522"/>
      <c r="F89" s="522"/>
    </row>
    <row r="90" spans="5:6" s="512" customFormat="1">
      <c r="E90" s="522"/>
      <c r="F90" s="522"/>
    </row>
    <row r="91" spans="5:6" s="512" customFormat="1">
      <c r="E91" s="522"/>
      <c r="F91" s="522"/>
    </row>
    <row r="92" spans="5:6" s="512" customFormat="1">
      <c r="E92" s="522"/>
      <c r="F92" s="522"/>
    </row>
    <row r="93" spans="5:6" s="512" customFormat="1">
      <c r="E93" s="522"/>
      <c r="F93" s="522"/>
    </row>
    <row r="94" spans="5:6" s="512" customFormat="1">
      <c r="E94" s="522"/>
      <c r="F94" s="522"/>
    </row>
    <row r="95" spans="5:6" s="512" customFormat="1">
      <c r="E95" s="522"/>
      <c r="F95" s="522"/>
    </row>
    <row r="96" spans="5:6" s="512" customFormat="1">
      <c r="E96" s="522"/>
      <c r="F96" s="522"/>
    </row>
    <row r="97" spans="5:6" s="512" customFormat="1">
      <c r="E97" s="522"/>
      <c r="F97" s="522"/>
    </row>
    <row r="98" spans="5:6" s="512" customFormat="1">
      <c r="E98" s="522"/>
      <c r="F98" s="522"/>
    </row>
    <row r="99" spans="5:6" s="512" customFormat="1">
      <c r="E99" s="522"/>
      <c r="F99" s="522"/>
    </row>
    <row r="100" spans="5:6" s="512" customFormat="1">
      <c r="E100" s="522"/>
      <c r="F100" s="522"/>
    </row>
    <row r="101" spans="5:6" s="512" customFormat="1">
      <c r="E101" s="522"/>
      <c r="F101" s="522"/>
    </row>
    <row r="102" spans="5:6" s="512" customFormat="1">
      <c r="E102" s="522"/>
      <c r="F102" s="522"/>
    </row>
    <row r="103" spans="5:6" s="512" customFormat="1">
      <c r="E103" s="522"/>
      <c r="F103" s="522"/>
    </row>
    <row r="104" spans="5:6" s="512" customFormat="1">
      <c r="E104" s="522"/>
      <c r="F104" s="522"/>
    </row>
    <row r="105" spans="5:6" s="512" customFormat="1">
      <c r="E105" s="522"/>
      <c r="F105" s="522"/>
    </row>
    <row r="106" spans="5:6" s="512" customFormat="1">
      <c r="E106" s="522"/>
      <c r="F106" s="522"/>
    </row>
    <row r="107" spans="5:6" s="512" customFormat="1">
      <c r="E107" s="522"/>
      <c r="F107" s="522"/>
    </row>
    <row r="108" spans="5:6" s="512" customFormat="1">
      <c r="E108" s="522"/>
      <c r="F108" s="522"/>
    </row>
    <row r="109" spans="5:6" s="512" customFormat="1">
      <c r="E109" s="522"/>
      <c r="F109" s="522"/>
    </row>
    <row r="110" spans="5:6" s="512" customFormat="1">
      <c r="E110" s="522"/>
      <c r="F110" s="522"/>
    </row>
    <row r="111" spans="5:6" s="512" customFormat="1">
      <c r="E111" s="522"/>
      <c r="F111" s="522"/>
    </row>
    <row r="112" spans="5:6" s="512" customFormat="1">
      <c r="E112" s="522"/>
      <c r="F112" s="522"/>
    </row>
    <row r="113" spans="5:6" s="512" customFormat="1">
      <c r="E113" s="522"/>
      <c r="F113" s="522"/>
    </row>
    <row r="114" spans="5:6" s="512" customFormat="1">
      <c r="E114" s="522"/>
      <c r="F114" s="522"/>
    </row>
    <row r="115" spans="5:6" s="512" customFormat="1">
      <c r="E115" s="522"/>
      <c r="F115" s="522"/>
    </row>
    <row r="116" spans="5:6" s="512" customFormat="1">
      <c r="E116" s="522"/>
      <c r="F116" s="522"/>
    </row>
    <row r="117" spans="5:6" s="512" customFormat="1">
      <c r="E117" s="522"/>
      <c r="F117" s="522"/>
    </row>
    <row r="118" spans="5:6" s="512" customFormat="1">
      <c r="E118" s="522"/>
      <c r="F118" s="522"/>
    </row>
    <row r="119" spans="5:6" s="512" customFormat="1">
      <c r="E119" s="522"/>
      <c r="F119" s="522"/>
    </row>
    <row r="120" spans="5:6" s="512" customFormat="1">
      <c r="E120" s="522"/>
      <c r="F120" s="522"/>
    </row>
    <row r="121" spans="5:6" s="512" customFormat="1">
      <c r="E121" s="522"/>
      <c r="F121" s="522"/>
    </row>
    <row r="122" spans="5:6" s="512" customFormat="1">
      <c r="E122" s="522"/>
      <c r="F122" s="522"/>
    </row>
    <row r="123" spans="5:6" s="512" customFormat="1">
      <c r="E123" s="522"/>
      <c r="F123" s="522"/>
    </row>
    <row r="124" spans="5:6" s="512" customFormat="1">
      <c r="E124" s="522"/>
      <c r="F124" s="522"/>
    </row>
    <row r="125" spans="5:6" s="512" customFormat="1">
      <c r="E125" s="522"/>
      <c r="F125" s="522"/>
    </row>
    <row r="126" spans="5:6" s="512" customFormat="1">
      <c r="E126" s="522"/>
      <c r="F126" s="522"/>
    </row>
    <row r="127" spans="5:6" s="512" customFormat="1">
      <c r="E127" s="522"/>
      <c r="F127" s="522"/>
    </row>
    <row r="128" spans="5:6" s="512" customFormat="1">
      <c r="E128" s="522"/>
      <c r="F128" s="522"/>
    </row>
    <row r="129" spans="5:6" s="512" customFormat="1">
      <c r="E129" s="522"/>
      <c r="F129" s="522"/>
    </row>
    <row r="130" spans="5:6" s="512" customFormat="1">
      <c r="E130" s="522"/>
      <c r="F130" s="522"/>
    </row>
    <row r="131" spans="5:6" s="512" customFormat="1">
      <c r="E131" s="522"/>
      <c r="F131" s="522"/>
    </row>
    <row r="132" spans="5:6" s="512" customFormat="1">
      <c r="E132" s="522"/>
      <c r="F132" s="522"/>
    </row>
    <row r="133" spans="5:6" s="512" customFormat="1">
      <c r="E133" s="522"/>
      <c r="F133" s="522"/>
    </row>
    <row r="134" spans="5:6" s="512" customFormat="1">
      <c r="E134" s="522"/>
      <c r="F134" s="522"/>
    </row>
    <row r="135" spans="5:6" s="512" customFormat="1">
      <c r="E135" s="522"/>
      <c r="F135" s="522"/>
    </row>
    <row r="136" spans="5:6" s="512" customFormat="1">
      <c r="E136" s="522"/>
      <c r="F136" s="522"/>
    </row>
    <row r="137" spans="5:6" s="512" customFormat="1">
      <c r="E137" s="522"/>
      <c r="F137" s="522"/>
    </row>
    <row r="138" spans="5:6" s="512" customFormat="1">
      <c r="E138" s="522"/>
      <c r="F138" s="522"/>
    </row>
    <row r="139" spans="5:6" s="512" customFormat="1">
      <c r="E139" s="522"/>
      <c r="F139" s="522"/>
    </row>
    <row r="140" spans="5:6" s="512" customFormat="1">
      <c r="E140" s="522"/>
      <c r="F140" s="522"/>
    </row>
    <row r="141" spans="5:6" s="512" customFormat="1">
      <c r="E141" s="522"/>
      <c r="F141" s="522"/>
    </row>
    <row r="142" spans="5:6" s="512" customFormat="1">
      <c r="E142" s="522"/>
      <c r="F142" s="522"/>
    </row>
    <row r="143" spans="5:6" s="512" customFormat="1">
      <c r="E143" s="522"/>
      <c r="F143" s="522"/>
    </row>
    <row r="144" spans="5:6" s="512" customFormat="1">
      <c r="E144" s="522"/>
      <c r="F144" s="522"/>
    </row>
    <row r="145" spans="5:6" s="512" customFormat="1">
      <c r="E145" s="522"/>
      <c r="F145" s="522"/>
    </row>
    <row r="146" spans="5:6" s="512" customFormat="1">
      <c r="E146" s="522"/>
      <c r="F146" s="522"/>
    </row>
    <row r="147" spans="5:6" s="512" customFormat="1">
      <c r="E147" s="522"/>
      <c r="F147" s="522"/>
    </row>
    <row r="148" spans="5:6" s="512" customFormat="1">
      <c r="E148" s="522"/>
      <c r="F148" s="522"/>
    </row>
    <row r="149" spans="5:6" s="512" customFormat="1">
      <c r="E149" s="522"/>
      <c r="F149" s="522"/>
    </row>
    <row r="150" spans="5:6" s="512" customFormat="1">
      <c r="E150" s="522"/>
      <c r="F150" s="522"/>
    </row>
    <row r="151" spans="5:6" s="512" customFormat="1">
      <c r="E151" s="522"/>
      <c r="F151" s="522"/>
    </row>
    <row r="152" spans="5:6" s="512" customFormat="1">
      <c r="E152" s="522"/>
      <c r="F152" s="522"/>
    </row>
    <row r="153" spans="5:6" s="512" customFormat="1">
      <c r="E153" s="522"/>
      <c r="F153" s="522"/>
    </row>
    <row r="154" spans="5:6" s="512" customFormat="1">
      <c r="E154" s="522"/>
      <c r="F154" s="522"/>
    </row>
    <row r="155" spans="5:6" s="512" customFormat="1">
      <c r="E155" s="522"/>
      <c r="F155" s="522"/>
    </row>
    <row r="156" spans="5:6" s="512" customFormat="1">
      <c r="E156" s="522"/>
      <c r="F156" s="522"/>
    </row>
    <row r="157" spans="5:6" s="512" customFormat="1">
      <c r="E157" s="522"/>
      <c r="F157" s="522"/>
    </row>
    <row r="158" spans="5:6" s="512" customFormat="1">
      <c r="E158" s="522"/>
      <c r="F158" s="522"/>
    </row>
    <row r="159" spans="5:6" s="512" customFormat="1">
      <c r="E159" s="522"/>
      <c r="F159" s="522"/>
    </row>
    <row r="160" spans="5:6" s="512" customFormat="1">
      <c r="E160" s="522"/>
      <c r="F160" s="522"/>
    </row>
    <row r="161" spans="5:6" s="512" customFormat="1">
      <c r="E161" s="522"/>
      <c r="F161" s="522"/>
    </row>
  </sheetData>
  <pageMargins left="0.7" right="0.51432291666666663" top="0.86956521739130432" bottom="0.61458333333333337" header="0.3" footer="0.3"/>
  <pageSetup orientation="portrait" r:id="rId1"/>
  <headerFooter>
    <oddHeader>&amp;R&amp;7Informe de la Operación Mensual - Abril 2018
INFSGI-MES-04-2018
10/05/2018
Versión: 01</oddHeader>
    <oddFooter>&amp;L&amp;7COES SINAC, 2018
&amp;C32&amp;R&amp;7Dirección Ejecutiva
Sub Dirección de Gestión de Información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93946-7A19-4C52-A4E6-47937C2A6AA0}">
  <sheetPr>
    <tabColor theme="4"/>
  </sheetPr>
  <dimension ref="B4:O65"/>
  <sheetViews>
    <sheetView showGridLines="0" view="pageBreakPreview" zoomScale="115" zoomScaleNormal="100" zoomScaleSheetLayoutView="115" workbookViewId="0">
      <selection activeCell="P17" sqref="P17"/>
    </sheetView>
  </sheetViews>
  <sheetFormatPr defaultRowHeight="11.25"/>
  <sheetData>
    <row r="4" spans="2:15">
      <c r="B4" s="530"/>
      <c r="C4" s="530"/>
      <c r="D4" s="530"/>
      <c r="E4" s="530"/>
      <c r="F4" s="530"/>
      <c r="G4" s="530"/>
      <c r="H4" s="530"/>
      <c r="I4" s="530"/>
      <c r="J4" s="530"/>
      <c r="K4" s="530"/>
      <c r="L4" s="530"/>
      <c r="M4" s="530"/>
      <c r="N4" s="530"/>
      <c r="O4" s="530"/>
    </row>
    <row r="5" spans="2:15">
      <c r="B5" s="530"/>
      <c r="C5" s="530"/>
      <c r="D5" s="530"/>
      <c r="E5" s="530"/>
      <c r="F5" s="530"/>
      <c r="G5" s="530"/>
      <c r="H5" s="530"/>
      <c r="I5" s="530"/>
      <c r="J5" s="530"/>
      <c r="K5" s="530"/>
      <c r="L5" s="530"/>
      <c r="M5" s="530"/>
      <c r="N5" s="530"/>
      <c r="O5" s="530"/>
    </row>
    <row r="6" spans="2:15">
      <c r="B6" s="530"/>
      <c r="C6" s="530"/>
      <c r="D6" s="530"/>
      <c r="E6" s="530"/>
      <c r="F6" s="530"/>
      <c r="G6" s="530"/>
      <c r="H6" s="530"/>
      <c r="I6" s="530"/>
      <c r="J6" s="530"/>
      <c r="K6" s="530"/>
      <c r="L6" s="530"/>
      <c r="M6" s="530"/>
      <c r="N6" s="530"/>
      <c r="O6" s="530"/>
    </row>
    <row r="7" spans="2:15">
      <c r="B7" s="531"/>
      <c r="C7" s="530"/>
      <c r="D7" s="530"/>
      <c r="E7" s="530"/>
      <c r="F7" s="530"/>
      <c r="G7" s="530"/>
      <c r="H7" s="530"/>
      <c r="I7" s="530"/>
      <c r="J7" s="530"/>
      <c r="K7" s="530"/>
      <c r="L7" s="530"/>
      <c r="M7" s="530"/>
      <c r="N7" s="530"/>
      <c r="O7" s="530"/>
    </row>
    <row r="8" spans="2:15">
      <c r="B8" s="531"/>
      <c r="C8" s="530"/>
      <c r="D8" s="530"/>
      <c r="E8" s="530"/>
      <c r="F8" s="530"/>
      <c r="G8" s="530"/>
      <c r="H8" s="530"/>
      <c r="I8" s="530"/>
      <c r="J8" s="530"/>
      <c r="K8" s="530"/>
      <c r="L8" s="530"/>
      <c r="M8" s="530"/>
      <c r="N8" s="530"/>
      <c r="O8" s="530"/>
    </row>
    <row r="9" spans="2:15">
      <c r="B9" s="531"/>
      <c r="C9" s="530"/>
      <c r="D9" s="530"/>
      <c r="E9" s="530"/>
      <c r="F9" s="530"/>
      <c r="G9" s="530"/>
      <c r="H9" s="530"/>
      <c r="I9" s="530"/>
      <c r="J9" s="530"/>
      <c r="K9" s="530"/>
      <c r="L9" s="530"/>
      <c r="M9" s="530"/>
      <c r="N9" s="530"/>
      <c r="O9" s="530"/>
    </row>
    <row r="10" spans="2:15">
      <c r="B10" s="530"/>
      <c r="C10" s="530"/>
      <c r="D10" s="530"/>
      <c r="E10" s="530"/>
      <c r="F10" s="530"/>
      <c r="G10" s="530"/>
      <c r="H10" s="530"/>
      <c r="I10" s="530"/>
      <c r="J10" s="530"/>
      <c r="K10" s="530"/>
      <c r="L10" s="530"/>
      <c r="M10" s="530"/>
      <c r="N10" s="530"/>
      <c r="O10" s="530"/>
    </row>
    <row r="11" spans="2:15">
      <c r="B11" s="530"/>
      <c r="C11" s="530"/>
      <c r="D11" s="530"/>
      <c r="E11" s="530"/>
      <c r="F11" s="530"/>
      <c r="G11" s="530"/>
      <c r="H11" s="530"/>
      <c r="I11" s="530"/>
      <c r="J11" s="530"/>
      <c r="K11" s="530"/>
      <c r="L11" s="530"/>
      <c r="M11" s="530"/>
      <c r="N11" s="530"/>
      <c r="O11" s="530"/>
    </row>
    <row r="12" spans="2:15">
      <c r="B12" s="530"/>
      <c r="C12" s="530"/>
      <c r="D12" s="530"/>
      <c r="E12" s="530"/>
      <c r="F12" s="530"/>
      <c r="G12" s="530"/>
      <c r="H12" s="530"/>
      <c r="I12" s="530"/>
      <c r="J12" s="530"/>
      <c r="K12" s="530"/>
      <c r="L12" s="530"/>
      <c r="M12" s="530"/>
      <c r="N12" s="530"/>
      <c r="O12" s="530"/>
    </row>
    <row r="13" spans="2:15" ht="12.75">
      <c r="B13" s="532"/>
      <c r="C13" s="530"/>
      <c r="D13" s="530"/>
      <c r="E13" s="530"/>
      <c r="F13" s="530"/>
      <c r="G13" s="530"/>
      <c r="H13" s="530"/>
      <c r="I13" s="530"/>
      <c r="J13" s="530"/>
      <c r="K13" s="530"/>
      <c r="L13" s="530"/>
      <c r="M13" s="530"/>
      <c r="N13" s="530"/>
      <c r="O13" s="530"/>
    </row>
    <row r="14" spans="2:15">
      <c r="B14" s="530"/>
      <c r="C14" s="530"/>
      <c r="D14" s="530"/>
      <c r="E14" s="530"/>
      <c r="F14" s="530"/>
      <c r="G14" s="530"/>
      <c r="H14" s="530"/>
      <c r="I14" s="530"/>
      <c r="J14" s="530"/>
      <c r="K14" s="530"/>
      <c r="L14" s="530"/>
      <c r="M14" s="530"/>
      <c r="N14" s="530"/>
      <c r="O14" s="530"/>
    </row>
    <row r="15" spans="2:15">
      <c r="B15" s="530"/>
      <c r="C15" s="530"/>
      <c r="D15" s="530"/>
      <c r="E15" s="530"/>
      <c r="F15" s="530"/>
      <c r="G15" s="530"/>
      <c r="H15" s="530"/>
      <c r="I15" s="530"/>
      <c r="J15" s="530"/>
      <c r="K15" s="530"/>
      <c r="L15" s="530"/>
      <c r="M15" s="530"/>
      <c r="N15" s="530"/>
      <c r="O15" s="530"/>
    </row>
    <row r="16" spans="2:15">
      <c r="B16" s="530"/>
      <c r="C16" s="530"/>
      <c r="D16" s="530"/>
      <c r="E16" s="530"/>
      <c r="F16" s="530"/>
      <c r="G16" s="530"/>
      <c r="H16" s="530"/>
      <c r="I16" s="530"/>
      <c r="J16" s="530"/>
      <c r="K16" s="530"/>
      <c r="L16" s="530"/>
      <c r="M16" s="530"/>
      <c r="N16" s="530"/>
      <c r="O16" s="530"/>
    </row>
    <row r="17" spans="2:15">
      <c r="B17" s="530"/>
      <c r="C17" s="530"/>
      <c r="D17" s="530"/>
      <c r="E17" s="530"/>
      <c r="F17" s="530"/>
      <c r="G17" s="530"/>
      <c r="H17" s="530"/>
      <c r="I17" s="530"/>
      <c r="J17" s="530"/>
      <c r="K17" s="530"/>
      <c r="L17" s="530"/>
      <c r="M17" s="530"/>
      <c r="N17" s="530"/>
      <c r="O17" s="530"/>
    </row>
    <row r="18" spans="2:15">
      <c r="B18" s="530"/>
      <c r="C18" s="530"/>
      <c r="D18" s="530"/>
      <c r="E18" s="530"/>
      <c r="F18" s="530"/>
      <c r="G18" s="530"/>
      <c r="H18" s="530"/>
      <c r="I18" s="530"/>
      <c r="J18" s="530"/>
      <c r="K18" s="530"/>
      <c r="L18" s="530"/>
      <c r="M18" s="530"/>
      <c r="N18" s="530"/>
      <c r="O18" s="530"/>
    </row>
    <row r="19" spans="2:15">
      <c r="B19" s="530"/>
      <c r="C19" s="530"/>
      <c r="D19" s="530"/>
      <c r="E19" s="530"/>
      <c r="F19" s="530"/>
      <c r="G19" s="530"/>
      <c r="H19" s="530"/>
      <c r="I19" s="530"/>
      <c r="J19" s="530" t="s">
        <v>8</v>
      </c>
      <c r="K19" s="530"/>
      <c r="L19" s="530"/>
      <c r="M19" s="530"/>
      <c r="N19" s="530"/>
      <c r="O19" s="530"/>
    </row>
    <row r="20" spans="2:15">
      <c r="B20" s="530"/>
      <c r="C20" s="530"/>
      <c r="D20" s="530"/>
      <c r="E20" s="530"/>
      <c r="F20" s="530"/>
      <c r="G20" s="530"/>
      <c r="H20" s="530"/>
      <c r="I20" s="530"/>
      <c r="J20" s="530"/>
      <c r="K20" s="530"/>
      <c r="L20" s="530"/>
      <c r="M20" s="530"/>
      <c r="N20" s="530"/>
      <c r="O20" s="530"/>
    </row>
    <row r="21" spans="2:15">
      <c r="B21" s="530"/>
      <c r="C21" s="530"/>
      <c r="D21" s="530"/>
      <c r="E21" s="530"/>
      <c r="F21" s="530"/>
      <c r="G21" s="530"/>
      <c r="H21" s="530"/>
      <c r="I21" s="530"/>
      <c r="J21" s="530"/>
      <c r="K21" s="530"/>
      <c r="L21" s="530"/>
      <c r="M21" s="530"/>
      <c r="N21" s="530"/>
      <c r="O21" s="530"/>
    </row>
    <row r="22" spans="2:15">
      <c r="B22" s="530"/>
      <c r="C22" s="530"/>
      <c r="D22" s="530"/>
      <c r="E22" s="530"/>
      <c r="F22" s="530"/>
      <c r="G22" s="530"/>
      <c r="H22" s="530"/>
      <c r="I22" s="530"/>
      <c r="J22" s="530"/>
      <c r="K22" s="530"/>
      <c r="L22" s="530"/>
      <c r="M22" s="530"/>
      <c r="N22" s="530"/>
      <c r="O22" s="530"/>
    </row>
    <row r="23" spans="2:15">
      <c r="B23" s="530"/>
      <c r="C23" s="530"/>
      <c r="D23" s="530"/>
      <c r="E23" s="530"/>
      <c r="F23" s="530"/>
      <c r="G23" s="530"/>
      <c r="H23" s="530"/>
      <c r="I23" s="530"/>
      <c r="J23" s="530"/>
      <c r="K23" s="530"/>
      <c r="L23" s="530"/>
      <c r="M23" s="530"/>
      <c r="N23" s="530"/>
      <c r="O23" s="530"/>
    </row>
    <row r="24" spans="2:15">
      <c r="B24" s="530"/>
      <c r="C24" s="530"/>
      <c r="D24" s="530"/>
      <c r="E24" s="530"/>
      <c r="F24" s="530"/>
      <c r="G24" s="530"/>
      <c r="H24" s="530"/>
      <c r="I24" s="530"/>
      <c r="J24" s="530"/>
      <c r="K24" s="530"/>
      <c r="L24" s="530"/>
      <c r="M24" s="530"/>
      <c r="N24" s="530"/>
      <c r="O24" s="530"/>
    </row>
    <row r="25" spans="2:15">
      <c r="B25" s="530"/>
      <c r="C25" s="530"/>
      <c r="D25" s="530"/>
      <c r="E25" s="530"/>
      <c r="F25" s="530"/>
      <c r="G25" s="530"/>
      <c r="H25" s="530"/>
      <c r="I25" s="530"/>
      <c r="J25" s="530"/>
      <c r="K25" s="530"/>
      <c r="L25" s="530"/>
      <c r="M25" s="530"/>
      <c r="N25" s="530"/>
      <c r="O25" s="530"/>
    </row>
    <row r="26" spans="2:15">
      <c r="B26" s="530"/>
      <c r="C26" s="530"/>
      <c r="D26" s="530"/>
      <c r="E26" s="530"/>
      <c r="F26" s="530"/>
      <c r="G26" s="530"/>
      <c r="H26" s="530"/>
      <c r="I26" s="530"/>
      <c r="J26" s="530"/>
      <c r="K26" s="530"/>
      <c r="L26" s="530"/>
      <c r="M26" s="530"/>
      <c r="N26" s="530"/>
      <c r="O26" s="530"/>
    </row>
    <row r="27" spans="2:15">
      <c r="B27" s="530"/>
      <c r="C27" s="530"/>
      <c r="D27" s="530"/>
      <c r="E27" s="530"/>
      <c r="F27" s="530"/>
      <c r="G27" s="530"/>
      <c r="H27" s="530"/>
      <c r="I27" s="530"/>
      <c r="J27" s="530"/>
      <c r="K27" s="530"/>
      <c r="L27" s="530"/>
      <c r="M27" s="530"/>
      <c r="N27" s="530"/>
      <c r="O27" s="530"/>
    </row>
    <row r="28" spans="2:15">
      <c r="B28" s="530"/>
      <c r="C28" s="530"/>
      <c r="D28" s="530"/>
      <c r="E28" s="530"/>
      <c r="F28" s="530"/>
      <c r="G28" s="530"/>
      <c r="H28" s="530"/>
      <c r="I28" s="530"/>
      <c r="J28" s="530"/>
      <c r="K28" s="530"/>
      <c r="L28" s="530"/>
      <c r="M28" s="530"/>
      <c r="N28" s="530"/>
      <c r="O28" s="530"/>
    </row>
    <row r="29" spans="2:15">
      <c r="B29" s="530"/>
      <c r="C29" s="530"/>
      <c r="D29" s="530"/>
      <c r="E29" s="530"/>
      <c r="F29" s="530"/>
      <c r="G29" s="530"/>
      <c r="H29" s="530"/>
      <c r="I29" s="530"/>
      <c r="J29" s="530"/>
      <c r="K29" s="530"/>
      <c r="L29" s="530"/>
      <c r="M29" s="530"/>
      <c r="N29" s="530"/>
      <c r="O29" s="530"/>
    </row>
    <row r="30" spans="2:15">
      <c r="B30" s="530"/>
      <c r="C30" s="530"/>
      <c r="D30" s="530"/>
      <c r="E30" s="530"/>
      <c r="F30" s="530"/>
      <c r="G30" s="530"/>
      <c r="H30" s="530"/>
      <c r="I30" s="530"/>
      <c r="J30" s="530"/>
      <c r="K30" s="530"/>
      <c r="L30" s="530"/>
      <c r="M30" s="530"/>
      <c r="N30" s="530"/>
      <c r="O30" s="530"/>
    </row>
    <row r="31" spans="2:15">
      <c r="B31" s="530"/>
      <c r="C31" s="530"/>
      <c r="D31" s="530"/>
      <c r="E31" s="530"/>
      <c r="F31" s="530"/>
      <c r="G31" s="530"/>
      <c r="H31" s="530"/>
      <c r="I31" s="530"/>
      <c r="J31" s="530"/>
      <c r="K31" s="530"/>
      <c r="L31" s="530"/>
      <c r="M31" s="530"/>
      <c r="N31" s="530"/>
      <c r="O31" s="530"/>
    </row>
    <row r="32" spans="2:15">
      <c r="B32" s="530"/>
      <c r="C32" s="530"/>
      <c r="D32" s="530"/>
      <c r="E32" s="530"/>
      <c r="F32" s="530"/>
      <c r="G32" s="530"/>
      <c r="H32" s="530"/>
      <c r="I32" s="530"/>
      <c r="J32" s="530"/>
      <c r="K32" s="530"/>
      <c r="L32" s="530"/>
      <c r="M32" s="530"/>
      <c r="N32" s="530"/>
      <c r="O32" s="530"/>
    </row>
    <row r="33" spans="2:15">
      <c r="B33" s="530"/>
      <c r="C33" s="530"/>
      <c r="D33" s="530"/>
      <c r="E33" s="530"/>
      <c r="F33" s="530"/>
      <c r="G33" s="530"/>
      <c r="H33" s="530"/>
      <c r="I33" s="530"/>
      <c r="J33" s="530"/>
      <c r="K33" s="530"/>
      <c r="L33" s="530"/>
      <c r="M33" s="530"/>
      <c r="N33" s="530"/>
      <c r="O33" s="530"/>
    </row>
    <row r="34" spans="2:15">
      <c r="B34" s="530"/>
      <c r="C34" s="530"/>
      <c r="D34" s="530"/>
      <c r="E34" s="530"/>
      <c r="F34" s="530"/>
      <c r="G34" s="530"/>
      <c r="H34" s="530"/>
      <c r="I34" s="530"/>
      <c r="J34" s="530"/>
      <c r="K34" s="530"/>
      <c r="L34" s="530"/>
      <c r="M34" s="530"/>
      <c r="N34" s="530"/>
      <c r="O34" s="530"/>
    </row>
    <row r="35" spans="2:15">
      <c r="B35" s="530"/>
      <c r="C35" s="530"/>
      <c r="D35" s="530"/>
      <c r="E35" s="530"/>
      <c r="F35" s="530"/>
      <c r="G35" s="530"/>
      <c r="H35" s="530"/>
      <c r="I35" s="530"/>
      <c r="J35" s="530"/>
      <c r="K35" s="530"/>
      <c r="L35" s="530"/>
      <c r="M35" s="530"/>
      <c r="N35" s="530"/>
      <c r="O35" s="530"/>
    </row>
    <row r="36" spans="2:15">
      <c r="B36" s="530"/>
      <c r="C36" s="530"/>
      <c r="D36" s="530"/>
      <c r="E36" s="530"/>
      <c r="F36" s="530"/>
      <c r="G36" s="530"/>
      <c r="H36" s="530"/>
      <c r="I36" s="530"/>
      <c r="J36" s="530"/>
      <c r="K36" s="530"/>
      <c r="L36" s="530"/>
      <c r="M36" s="530"/>
      <c r="N36" s="530"/>
      <c r="O36" s="530"/>
    </row>
    <row r="37" spans="2:15">
      <c r="B37" s="530"/>
      <c r="C37" s="530"/>
      <c r="D37" s="530"/>
      <c r="E37" s="530"/>
      <c r="F37" s="530"/>
      <c r="G37" s="530"/>
      <c r="H37" s="530"/>
      <c r="I37" s="530"/>
      <c r="J37" s="530"/>
      <c r="K37" s="530"/>
      <c r="L37" s="530"/>
      <c r="M37" s="530"/>
      <c r="N37" s="530"/>
      <c r="O37" s="530"/>
    </row>
    <row r="38" spans="2:15">
      <c r="B38" s="530"/>
      <c r="C38" s="530"/>
      <c r="D38" s="530"/>
      <c r="E38" s="530"/>
      <c r="F38" s="530"/>
      <c r="G38" s="530"/>
      <c r="H38" s="530"/>
      <c r="I38" s="530"/>
      <c r="J38" s="530"/>
      <c r="K38" s="530"/>
      <c r="L38" s="530"/>
      <c r="M38" s="530"/>
      <c r="N38" s="530"/>
      <c r="O38" s="530"/>
    </row>
    <row r="39" spans="2:15">
      <c r="B39" s="530"/>
      <c r="C39" s="530"/>
      <c r="D39" s="530"/>
      <c r="E39" s="530"/>
      <c r="F39" s="530"/>
      <c r="G39" s="530"/>
      <c r="H39" s="530"/>
      <c r="I39" s="530"/>
      <c r="J39" s="530"/>
      <c r="K39" s="530"/>
      <c r="L39" s="530"/>
      <c r="M39" s="530"/>
      <c r="N39" s="530"/>
      <c r="O39" s="530"/>
    </row>
    <row r="40" spans="2:15">
      <c r="B40" s="530"/>
      <c r="C40" s="530"/>
      <c r="D40" s="530"/>
      <c r="E40" s="530"/>
      <c r="F40" s="530"/>
      <c r="G40" s="530"/>
      <c r="H40" s="530"/>
      <c r="I40" s="530"/>
      <c r="J40" s="530"/>
      <c r="K40" s="530"/>
      <c r="L40" s="530"/>
      <c r="M40" s="530"/>
      <c r="N40" s="530"/>
      <c r="O40" s="530"/>
    </row>
    <row r="41" spans="2:15">
      <c r="B41" s="530"/>
      <c r="C41" s="530"/>
      <c r="D41" s="530"/>
      <c r="E41" s="530"/>
      <c r="F41" s="530"/>
      <c r="G41" s="530"/>
      <c r="H41" s="530"/>
      <c r="I41" s="530"/>
      <c r="J41" s="530"/>
      <c r="K41" s="530"/>
      <c r="L41" s="530"/>
      <c r="M41" s="530"/>
      <c r="N41" s="530"/>
      <c r="O41" s="530"/>
    </row>
    <row r="42" spans="2:15">
      <c r="B42" s="530"/>
      <c r="C42" s="530"/>
      <c r="D42" s="530"/>
      <c r="E42" s="530"/>
      <c r="F42" s="530"/>
      <c r="G42" s="530"/>
      <c r="H42" s="530"/>
      <c r="I42" s="530"/>
      <c r="J42" s="530"/>
      <c r="K42" s="530"/>
      <c r="L42" s="530"/>
      <c r="M42" s="530"/>
      <c r="N42" s="530"/>
      <c r="O42" s="530"/>
    </row>
    <row r="43" spans="2:15">
      <c r="B43" s="530"/>
      <c r="C43" s="530"/>
      <c r="D43" s="530"/>
      <c r="E43" s="530"/>
      <c r="F43" s="530"/>
      <c r="G43" s="530"/>
      <c r="H43" s="530"/>
      <c r="I43" s="530"/>
      <c r="J43" s="530"/>
      <c r="K43" s="530"/>
      <c r="L43" s="530"/>
      <c r="M43" s="530"/>
      <c r="N43" s="530"/>
      <c r="O43" s="530"/>
    </row>
    <row r="44" spans="2:15">
      <c r="B44" s="530"/>
      <c r="C44" s="530"/>
      <c r="D44" s="530"/>
      <c r="E44" s="530"/>
      <c r="F44" s="530"/>
      <c r="G44" s="530"/>
      <c r="H44" s="530"/>
      <c r="I44" s="530"/>
      <c r="J44" s="530"/>
      <c r="K44" s="530"/>
      <c r="L44" s="530"/>
      <c r="M44" s="530"/>
      <c r="N44" s="530"/>
      <c r="O44" s="530"/>
    </row>
    <row r="45" spans="2:15">
      <c r="B45" s="530"/>
      <c r="C45" s="530"/>
      <c r="D45" s="530"/>
      <c r="E45" s="530"/>
      <c r="F45" s="530"/>
      <c r="G45" s="530"/>
      <c r="H45" s="530"/>
      <c r="I45" s="530"/>
      <c r="J45" s="530"/>
      <c r="K45" s="530"/>
      <c r="L45" s="530"/>
      <c r="M45" s="530"/>
      <c r="N45" s="530"/>
      <c r="O45" s="530"/>
    </row>
    <row r="46" spans="2:15">
      <c r="B46" s="530"/>
      <c r="C46" s="530"/>
      <c r="D46" s="530"/>
      <c r="E46" s="530"/>
      <c r="F46" s="530"/>
      <c r="G46" s="530"/>
      <c r="H46" s="530"/>
      <c r="I46" s="530"/>
      <c r="J46" s="530"/>
      <c r="K46" s="530"/>
      <c r="L46" s="530"/>
      <c r="M46" s="530"/>
      <c r="N46" s="530"/>
      <c r="O46" s="530"/>
    </row>
    <row r="47" spans="2:15">
      <c r="B47" s="530"/>
      <c r="C47" s="530"/>
      <c r="D47" s="530"/>
      <c r="E47" s="530"/>
      <c r="F47" s="530"/>
      <c r="G47" s="530"/>
      <c r="H47" s="530"/>
      <c r="I47" s="530"/>
      <c r="J47" s="530"/>
      <c r="K47" s="530"/>
      <c r="L47" s="530"/>
      <c r="M47" s="530"/>
      <c r="N47" s="530"/>
      <c r="O47" s="530"/>
    </row>
    <row r="48" spans="2:15">
      <c r="B48" s="530"/>
      <c r="C48" s="530"/>
      <c r="D48" s="530"/>
      <c r="E48" s="530"/>
      <c r="F48" s="530"/>
      <c r="G48" s="530"/>
      <c r="H48" s="530"/>
      <c r="I48" s="530"/>
      <c r="J48" s="530"/>
      <c r="K48" s="530"/>
      <c r="L48" s="530"/>
      <c r="M48" s="530"/>
      <c r="N48" s="530"/>
      <c r="O48" s="530"/>
    </row>
    <row r="49" spans="2:15">
      <c r="B49" s="530"/>
      <c r="C49" s="530"/>
      <c r="D49" s="530"/>
      <c r="E49" s="530"/>
      <c r="F49" s="530"/>
      <c r="G49" s="530"/>
      <c r="H49" s="530"/>
      <c r="I49" s="530"/>
      <c r="J49" s="530"/>
      <c r="K49" s="530"/>
      <c r="L49" s="530"/>
      <c r="M49" s="530"/>
      <c r="N49" s="530"/>
      <c r="O49" s="530"/>
    </row>
    <row r="50" spans="2:15">
      <c r="B50" s="530"/>
      <c r="C50" s="530"/>
      <c r="D50" s="530"/>
      <c r="E50" s="530"/>
      <c r="F50" s="530"/>
      <c r="G50" s="530"/>
      <c r="H50" s="530"/>
      <c r="I50" s="530"/>
      <c r="J50" s="530"/>
      <c r="K50" s="530"/>
      <c r="L50" s="530"/>
      <c r="M50" s="530"/>
      <c r="N50" s="530"/>
      <c r="O50" s="530"/>
    </row>
    <row r="51" spans="2:15">
      <c r="B51" s="530"/>
      <c r="C51" s="530"/>
      <c r="D51" s="530"/>
      <c r="E51" s="530"/>
      <c r="F51" s="530"/>
      <c r="G51" s="530"/>
      <c r="H51" s="530"/>
      <c r="I51" s="530"/>
      <c r="J51" s="530"/>
      <c r="K51" s="530"/>
      <c r="L51" s="530"/>
      <c r="M51" s="530"/>
      <c r="N51" s="530"/>
      <c r="O51" s="530"/>
    </row>
    <row r="52" spans="2:15">
      <c r="B52" s="530"/>
      <c r="C52" s="530"/>
      <c r="D52" s="530"/>
      <c r="E52" s="530"/>
      <c r="F52" s="530"/>
      <c r="G52" s="530"/>
      <c r="H52" s="530"/>
      <c r="I52" s="530"/>
      <c r="J52" s="530"/>
      <c r="K52" s="530"/>
      <c r="L52" s="530"/>
      <c r="M52" s="530"/>
      <c r="N52" s="530"/>
      <c r="O52" s="530"/>
    </row>
    <row r="53" spans="2:15">
      <c r="B53" s="530"/>
      <c r="C53" s="530"/>
      <c r="D53" s="530"/>
      <c r="E53" s="530"/>
      <c r="F53" s="530"/>
      <c r="G53" s="530"/>
      <c r="H53" s="530"/>
      <c r="I53" s="530"/>
      <c r="J53" s="530"/>
      <c r="K53" s="530"/>
      <c r="L53" s="530"/>
      <c r="M53" s="530"/>
      <c r="N53" s="530"/>
      <c r="O53" s="530"/>
    </row>
    <row r="54" spans="2:15">
      <c r="B54" s="530"/>
      <c r="C54" s="530"/>
      <c r="D54" s="530"/>
      <c r="E54" s="530"/>
      <c r="F54" s="530"/>
      <c r="G54" s="530"/>
      <c r="H54" s="530"/>
      <c r="I54" s="530"/>
      <c r="J54" s="530"/>
      <c r="K54" s="530"/>
      <c r="L54" s="530"/>
      <c r="M54" s="530"/>
      <c r="N54" s="530"/>
      <c r="O54" s="530"/>
    </row>
    <row r="55" spans="2:15">
      <c r="B55" s="530"/>
      <c r="C55" s="530"/>
      <c r="D55" s="530"/>
      <c r="E55" s="530"/>
      <c r="F55" s="530"/>
      <c r="G55" s="530"/>
      <c r="H55" s="530"/>
      <c r="I55" s="530"/>
      <c r="J55" s="530"/>
      <c r="K55" s="530"/>
      <c r="L55" s="530"/>
      <c r="M55" s="530"/>
      <c r="N55" s="530"/>
      <c r="O55" s="530"/>
    </row>
    <row r="56" spans="2:15">
      <c r="B56" s="530"/>
      <c r="C56" s="530"/>
      <c r="D56" s="530"/>
      <c r="E56" s="530"/>
      <c r="F56" s="530"/>
      <c r="G56" s="530"/>
      <c r="H56" s="530"/>
      <c r="I56" s="530"/>
      <c r="J56" s="530"/>
      <c r="K56" s="530"/>
      <c r="L56" s="530"/>
      <c r="M56" s="530"/>
      <c r="N56" s="530"/>
      <c r="O56" s="530"/>
    </row>
    <row r="57" spans="2:15">
      <c r="B57" s="530"/>
      <c r="C57" s="530"/>
      <c r="D57" s="530"/>
      <c r="E57" s="530"/>
      <c r="F57" s="530"/>
      <c r="G57" s="530"/>
      <c r="H57" s="530"/>
      <c r="I57" s="530"/>
      <c r="J57" s="530"/>
      <c r="K57" s="530"/>
      <c r="L57" s="530"/>
      <c r="M57" s="530"/>
      <c r="N57" s="530"/>
      <c r="O57" s="530"/>
    </row>
    <row r="58" spans="2:15">
      <c r="B58" s="530"/>
      <c r="C58" s="530"/>
      <c r="D58" s="530"/>
      <c r="E58" s="530"/>
      <c r="F58" s="530"/>
      <c r="G58" s="530"/>
      <c r="H58" s="530"/>
      <c r="I58" s="530"/>
      <c r="J58" s="530"/>
      <c r="K58" s="530"/>
      <c r="L58" s="530"/>
      <c r="M58" s="530"/>
      <c r="N58" s="530"/>
      <c r="O58" s="530"/>
    </row>
    <row r="59" spans="2:15">
      <c r="B59" s="530"/>
      <c r="C59" s="530"/>
      <c r="D59" s="530"/>
      <c r="E59" s="530"/>
      <c r="F59" s="530"/>
      <c r="G59" s="530"/>
      <c r="H59" s="530"/>
      <c r="I59" s="530"/>
      <c r="J59" s="530"/>
      <c r="K59" s="530"/>
      <c r="L59" s="530"/>
      <c r="M59" s="530"/>
      <c r="N59" s="530"/>
      <c r="O59" s="530"/>
    </row>
    <row r="60" spans="2:15">
      <c r="B60" s="530"/>
      <c r="C60" s="530"/>
      <c r="D60" s="530"/>
      <c r="E60" s="530"/>
      <c r="F60" s="530"/>
      <c r="G60" s="530"/>
      <c r="H60" s="530"/>
      <c r="I60" s="530"/>
      <c r="J60" s="530"/>
      <c r="K60" s="530"/>
      <c r="L60" s="530"/>
      <c r="M60" s="530"/>
      <c r="N60" s="530"/>
      <c r="O60" s="530"/>
    </row>
    <row r="61" spans="2:15">
      <c r="B61" s="530"/>
      <c r="C61" s="530"/>
      <c r="D61" s="530"/>
      <c r="E61" s="530"/>
      <c r="F61" s="530"/>
      <c r="G61" s="530"/>
      <c r="H61" s="530"/>
      <c r="I61" s="530"/>
      <c r="J61" s="530"/>
      <c r="K61" s="530"/>
      <c r="L61" s="530"/>
      <c r="M61" s="530"/>
      <c r="N61" s="530"/>
      <c r="O61" s="530"/>
    </row>
    <row r="62" spans="2:15">
      <c r="B62" s="530"/>
      <c r="C62" s="530"/>
      <c r="D62" s="530"/>
      <c r="E62" s="530"/>
      <c r="F62" s="530"/>
      <c r="G62" s="530"/>
      <c r="H62" s="530"/>
      <c r="I62" s="530"/>
      <c r="J62" s="530"/>
      <c r="K62" s="530"/>
      <c r="L62" s="530"/>
      <c r="M62" s="530"/>
      <c r="N62" s="530"/>
      <c r="O62" s="530"/>
    </row>
    <row r="63" spans="2:15">
      <c r="B63" s="530"/>
      <c r="C63" s="530"/>
      <c r="D63" s="530"/>
      <c r="E63" s="530"/>
      <c r="F63" s="530"/>
      <c r="G63" s="530"/>
      <c r="H63" s="530"/>
      <c r="I63" s="530"/>
      <c r="J63" s="530"/>
      <c r="K63" s="530"/>
      <c r="L63" s="530"/>
      <c r="M63" s="530"/>
      <c r="N63" s="530"/>
      <c r="O63" s="530"/>
    </row>
    <row r="64" spans="2:15">
      <c r="B64" s="530"/>
      <c r="C64" s="530"/>
      <c r="D64" s="530"/>
      <c r="E64" s="530"/>
      <c r="F64" s="530"/>
      <c r="G64" s="530"/>
      <c r="H64" s="530"/>
      <c r="I64" s="530"/>
      <c r="J64" s="530"/>
      <c r="K64" s="530"/>
      <c r="L64" s="530"/>
      <c r="M64" s="530"/>
      <c r="N64" s="530"/>
      <c r="O64" s="530"/>
    </row>
    <row r="65" spans="2:15">
      <c r="B65" s="530"/>
      <c r="C65" s="530"/>
      <c r="D65" s="530"/>
      <c r="E65" s="530"/>
      <c r="F65" s="530"/>
      <c r="G65" s="530"/>
      <c r="H65" s="530"/>
      <c r="I65" s="530"/>
      <c r="J65" s="530"/>
      <c r="K65" s="530"/>
      <c r="L65" s="530"/>
      <c r="M65" s="530"/>
      <c r="N65" s="530"/>
      <c r="O65" s="530"/>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489D1-05B2-4F97-B1FF-AE49CF1D8CBB}">
  <sheetPr>
    <tabColor theme="4"/>
  </sheetPr>
  <dimension ref="A2:O54"/>
  <sheetViews>
    <sheetView showGridLines="0" view="pageBreakPreview" zoomScale="145" zoomScaleNormal="100" zoomScaleSheetLayoutView="145" zoomScalePageLayoutView="160" workbookViewId="0">
      <selection activeCell="P17" sqref="P17"/>
    </sheetView>
  </sheetViews>
  <sheetFormatPr defaultRowHeight="11.25"/>
  <cols>
    <col min="1" max="1" width="12" style="95" customWidth="1"/>
    <col min="2" max="2" width="11.83203125" style="95" customWidth="1"/>
    <col min="3" max="3" width="12" style="95" customWidth="1"/>
    <col min="4" max="4" width="11.33203125" style="95" customWidth="1"/>
    <col min="5" max="5" width="11.1640625" style="95" customWidth="1"/>
    <col min="6" max="6" width="11" style="95" customWidth="1"/>
    <col min="7" max="7" width="9.33203125" style="95"/>
    <col min="8" max="8" width="13.33203125" style="95" customWidth="1"/>
    <col min="9" max="9" width="13.1640625" style="95" customWidth="1"/>
    <col min="10" max="10" width="11.6640625" style="95" customWidth="1"/>
    <col min="11" max="16384" width="9.33203125" style="95"/>
  </cols>
  <sheetData>
    <row r="2" spans="1:13" ht="16.5" customHeight="1">
      <c r="A2" s="868" t="s">
        <v>498</v>
      </c>
      <c r="B2" s="868"/>
      <c r="C2" s="868"/>
      <c r="D2" s="868"/>
      <c r="E2" s="868"/>
      <c r="F2" s="868"/>
      <c r="G2" s="868"/>
      <c r="H2" s="868"/>
      <c r="I2" s="868"/>
      <c r="J2" s="868"/>
      <c r="K2" s="330"/>
    </row>
    <row r="3" spans="1:13" ht="7.5" customHeight="1">
      <c r="A3" s="158"/>
      <c r="B3" s="296"/>
      <c r="C3" s="315"/>
      <c r="D3" s="316"/>
      <c r="E3" s="316"/>
      <c r="F3" s="317"/>
      <c r="G3" s="318"/>
      <c r="H3" s="318"/>
      <c r="I3" s="229"/>
      <c r="J3" s="317"/>
    </row>
    <row r="4" spans="1:13" ht="11.25" customHeight="1">
      <c r="A4" s="259" t="s">
        <v>241</v>
      </c>
      <c r="B4" s="296"/>
      <c r="C4" s="315"/>
      <c r="D4" s="316"/>
      <c r="E4" s="316"/>
      <c r="F4" s="317"/>
      <c r="G4" s="318"/>
      <c r="H4" s="318"/>
      <c r="I4" s="229"/>
      <c r="J4" s="317"/>
      <c r="K4" s="45"/>
    </row>
    <row r="5" spans="1:13" ht="9" customHeight="1">
      <c r="A5" s="158"/>
      <c r="B5" s="296"/>
      <c r="C5" s="315"/>
      <c r="D5" s="316"/>
      <c r="E5" s="316"/>
      <c r="F5" s="317"/>
      <c r="G5" s="318"/>
      <c r="H5" s="318"/>
      <c r="I5" s="229"/>
      <c r="J5" s="317"/>
      <c r="K5" s="45"/>
    </row>
    <row r="6" spans="1:13" ht="27">
      <c r="A6" s="784" t="s">
        <v>235</v>
      </c>
      <c r="B6" s="785" t="s">
        <v>236</v>
      </c>
      <c r="C6" s="785" t="s">
        <v>237</v>
      </c>
      <c r="D6" s="785" t="s">
        <v>238</v>
      </c>
      <c r="E6" s="785" t="s">
        <v>239</v>
      </c>
      <c r="F6" s="786" t="s">
        <v>240</v>
      </c>
      <c r="G6" s="787" t="s">
        <v>250</v>
      </c>
      <c r="H6" s="786" t="s">
        <v>254</v>
      </c>
      <c r="I6" s="787" t="s">
        <v>777</v>
      </c>
      <c r="J6" s="788" t="s">
        <v>251</v>
      </c>
      <c r="K6" s="320"/>
    </row>
    <row r="7" spans="1:13" s="319" customFormat="1" ht="30" customHeight="1">
      <c r="A7" s="789" t="s">
        <v>242</v>
      </c>
      <c r="B7" s="790" t="s">
        <v>30</v>
      </c>
      <c r="C7" s="790" t="s">
        <v>243</v>
      </c>
      <c r="D7" s="790" t="s">
        <v>249</v>
      </c>
      <c r="E7" s="790" t="s">
        <v>244</v>
      </c>
      <c r="F7" s="791" t="s">
        <v>255</v>
      </c>
      <c r="G7" s="791">
        <v>33</v>
      </c>
      <c r="H7" s="792">
        <v>144.48400000000001</v>
      </c>
      <c r="I7" s="792" t="s">
        <v>591</v>
      </c>
      <c r="J7" s="793" t="s">
        <v>245</v>
      </c>
      <c r="K7" s="329"/>
      <c r="L7" s="319">
        <v>144.47999999999999</v>
      </c>
    </row>
    <row r="8" spans="1:13" s="319" customFormat="1" ht="30" customHeight="1">
      <c r="A8" s="815" t="s">
        <v>571</v>
      </c>
      <c r="B8" s="816" t="s">
        <v>37</v>
      </c>
      <c r="C8" s="816" t="s">
        <v>572</v>
      </c>
      <c r="D8" s="816" t="s">
        <v>586</v>
      </c>
      <c r="E8" s="816" t="s">
        <v>580</v>
      </c>
      <c r="F8" s="817" t="s">
        <v>585</v>
      </c>
      <c r="G8" s="817">
        <v>13.8</v>
      </c>
      <c r="H8" s="818">
        <v>20</v>
      </c>
      <c r="I8" s="818">
        <v>20</v>
      </c>
      <c r="J8" s="819" t="s">
        <v>584</v>
      </c>
      <c r="K8" s="329"/>
      <c r="L8" s="319">
        <v>20</v>
      </c>
    </row>
    <row r="9" spans="1:13" s="319" customFormat="1" ht="30" customHeight="1">
      <c r="A9" s="789" t="s">
        <v>107</v>
      </c>
      <c r="B9" s="790" t="s">
        <v>38</v>
      </c>
      <c r="C9" s="790" t="s">
        <v>25</v>
      </c>
      <c r="D9" s="790" t="s">
        <v>610</v>
      </c>
      <c r="E9" s="790" t="s">
        <v>553</v>
      </c>
      <c r="F9" s="791" t="s">
        <v>610</v>
      </c>
      <c r="G9" s="791">
        <v>13.8</v>
      </c>
      <c r="H9" s="792" t="s">
        <v>599</v>
      </c>
      <c r="I9" s="792" t="s">
        <v>600</v>
      </c>
      <c r="J9" s="793" t="s">
        <v>552</v>
      </c>
      <c r="K9" s="329"/>
      <c r="L9" s="823">
        <v>103.95113000000001</v>
      </c>
    </row>
    <row r="10" spans="1:13" s="319" customFormat="1" ht="30" customHeight="1">
      <c r="A10" s="815" t="s">
        <v>94</v>
      </c>
      <c r="B10" s="816" t="s">
        <v>30</v>
      </c>
      <c r="C10" s="816" t="s">
        <v>243</v>
      </c>
      <c r="D10" s="816" t="s">
        <v>249</v>
      </c>
      <c r="E10" s="816" t="s">
        <v>581</v>
      </c>
      <c r="F10" s="817" t="s">
        <v>582</v>
      </c>
      <c r="G10" s="817">
        <v>22.9</v>
      </c>
      <c r="H10" s="818">
        <v>44.54</v>
      </c>
      <c r="I10" s="818" t="s">
        <v>593</v>
      </c>
      <c r="J10" s="819" t="s">
        <v>583</v>
      </c>
      <c r="K10" s="329"/>
      <c r="L10" s="319">
        <v>44.54</v>
      </c>
    </row>
    <row r="11" spans="1:13" ht="11.25" customHeight="1">
      <c r="A11" s="794" t="s">
        <v>44</v>
      </c>
      <c r="B11" s="795"/>
      <c r="C11" s="795"/>
      <c r="D11" s="795"/>
      <c r="E11" s="796"/>
      <c r="F11" s="797"/>
      <c r="G11" s="798"/>
      <c r="H11" s="799">
        <f>+SUM(H7:H10)+123.61</f>
        <v>332.63400000000001</v>
      </c>
      <c r="I11" s="799">
        <f>+SUM(L7:L10)</f>
        <v>312.97113000000002</v>
      </c>
      <c r="J11" s="800"/>
      <c r="K11" s="283"/>
      <c r="L11" s="820"/>
    </row>
    <row r="12" spans="1:13" ht="15" customHeight="1">
      <c r="A12" s="801" t="str">
        <f>"Cuadro N° 1: Relación de ingresos a operación comercial en "&amp;'1. Resumen'!Q4&amp;" "&amp;'1. Resumen'!Q5</f>
        <v>Cuadro N° 1: Relación de ingresos a operación comercial en abril 2018</v>
      </c>
      <c r="B12" s="153"/>
      <c r="C12" s="153"/>
      <c r="D12" s="153"/>
      <c r="E12" s="153"/>
      <c r="F12" s="153"/>
      <c r="G12" s="153"/>
      <c r="H12" s="153"/>
      <c r="I12" s="153"/>
      <c r="J12" s="153"/>
      <c r="K12" s="283"/>
    </row>
    <row r="13" spans="1:13" ht="11.25" customHeight="1">
      <c r="A13" s="877" t="s">
        <v>592</v>
      </c>
      <c r="B13" s="877"/>
      <c r="C13" s="877"/>
      <c r="D13" s="877"/>
      <c r="E13" s="877"/>
      <c r="F13" s="877"/>
      <c r="G13" s="877"/>
      <c r="H13" s="877"/>
      <c r="I13" s="877"/>
      <c r="J13" s="877"/>
      <c r="K13" s="283"/>
    </row>
    <row r="14" spans="1:13" ht="11.25" customHeight="1">
      <c r="A14" s="826" t="s">
        <v>597</v>
      </c>
      <c r="B14" s="826"/>
      <c r="C14" s="826"/>
      <c r="D14" s="826"/>
      <c r="E14" s="826"/>
      <c r="F14" s="826"/>
      <c r="G14" s="826"/>
      <c r="H14" s="826"/>
      <c r="I14" s="826"/>
      <c r="J14" s="826"/>
      <c r="K14" s="283"/>
      <c r="L14" s="95" t="s">
        <v>252</v>
      </c>
      <c r="M14" s="820">
        <f>+L7+L10</f>
        <v>189.01999999999998</v>
      </c>
    </row>
    <row r="15" spans="1:13" ht="20.25" customHeight="1">
      <c r="A15" s="878" t="s">
        <v>598</v>
      </c>
      <c r="B15" s="878"/>
      <c r="C15" s="878"/>
      <c r="D15" s="878"/>
      <c r="E15" s="878"/>
      <c r="F15" s="878"/>
      <c r="G15" s="878"/>
      <c r="H15" s="878"/>
      <c r="I15" s="878"/>
      <c r="J15" s="878"/>
      <c r="K15" s="283"/>
      <c r="L15" s="95" t="s">
        <v>587</v>
      </c>
      <c r="M15" s="820">
        <f>+L8</f>
        <v>20</v>
      </c>
    </row>
    <row r="16" spans="1:13" ht="11.25" customHeight="1">
      <c r="A16" s="322"/>
      <c r="B16" s="323"/>
      <c r="C16" s="321"/>
      <c r="D16" s="321"/>
      <c r="E16" s="321"/>
      <c r="F16" s="321"/>
      <c r="G16" s="321"/>
      <c r="H16" s="331"/>
      <c r="I16" s="331"/>
      <c r="J16" s="331"/>
      <c r="K16" s="283"/>
      <c r="L16" s="95" t="s">
        <v>612</v>
      </c>
      <c r="M16" s="820">
        <f>+L9</f>
        <v>103.95113000000001</v>
      </c>
    </row>
    <row r="17" spans="1:11" ht="11.25" customHeight="1">
      <c r="A17" s="332"/>
      <c r="B17" s="321"/>
      <c r="C17" s="321"/>
      <c r="D17" s="321"/>
      <c r="E17" s="321"/>
      <c r="F17" s="321"/>
      <c r="G17" s="321"/>
      <c r="H17" s="333"/>
      <c r="I17" s="333"/>
      <c r="J17" s="333"/>
      <c r="K17" s="283"/>
    </row>
    <row r="18" spans="1:11" ht="11.25" customHeight="1">
      <c r="A18" s="332"/>
      <c r="B18" s="321"/>
      <c r="C18" s="321"/>
      <c r="D18" s="321"/>
      <c r="E18" s="321"/>
      <c r="F18" s="321"/>
      <c r="G18" s="321"/>
      <c r="H18" s="331"/>
      <c r="I18" s="331" t="s">
        <v>8</v>
      </c>
      <c r="J18" s="331"/>
      <c r="K18" s="283"/>
    </row>
    <row r="19" spans="1:11" ht="11.25" customHeight="1">
      <c r="A19" s="332"/>
      <c r="B19" s="321"/>
      <c r="C19" s="321"/>
      <c r="D19" s="321"/>
      <c r="E19" s="321"/>
      <c r="F19" s="321"/>
      <c r="G19" s="321"/>
      <c r="H19" s="331"/>
      <c r="I19" s="331"/>
      <c r="J19" s="331"/>
      <c r="K19" s="283"/>
    </row>
    <row r="20" spans="1:11" ht="11.25" customHeight="1">
      <c r="A20" s="332"/>
      <c r="B20" s="321"/>
      <c r="C20" s="321"/>
      <c r="D20" s="321"/>
      <c r="E20" s="321"/>
      <c r="F20" s="321"/>
      <c r="G20" s="321"/>
      <c r="H20" s="331"/>
      <c r="I20" s="331"/>
      <c r="J20" s="331"/>
      <c r="K20" s="283"/>
    </row>
    <row r="21" spans="1:11" ht="11.25" customHeight="1">
      <c r="A21" s="334"/>
      <c r="B21" s="335"/>
      <c r="C21" s="335"/>
      <c r="D21" s="335"/>
      <c r="E21" s="335"/>
      <c r="F21" s="335"/>
      <c r="G21" s="335"/>
      <c r="H21" s="336"/>
      <c r="I21" s="336"/>
      <c r="J21" s="336"/>
      <c r="K21" s="283"/>
    </row>
    <row r="22" spans="1:11" ht="11.25" customHeight="1">
      <c r="A22" s="337"/>
      <c r="B22" s="242"/>
      <c r="C22" s="242"/>
      <c r="D22" s="159"/>
      <c r="E22" s="159"/>
      <c r="F22" s="159"/>
      <c r="G22" s="159"/>
      <c r="H22" s="324"/>
      <c r="I22" s="324"/>
      <c r="J22" s="324"/>
      <c r="K22" s="283"/>
    </row>
    <row r="23" spans="1:11" ht="11.25" customHeight="1">
      <c r="A23" s="304"/>
      <c r="B23" s="159"/>
      <c r="C23" s="159"/>
      <c r="D23" s="159"/>
      <c r="E23" s="159"/>
      <c r="F23" s="159"/>
      <c r="G23" s="159"/>
      <c r="H23" s="324"/>
      <c r="I23" s="324"/>
      <c r="J23" s="324"/>
      <c r="K23" s="283"/>
    </row>
    <row r="24" spans="1:11" ht="11.25" customHeight="1">
      <c r="A24" s="304"/>
      <c r="B24" s="159"/>
      <c r="C24" s="159"/>
      <c r="D24" s="159"/>
      <c r="E24" s="159"/>
      <c r="F24" s="159"/>
      <c r="G24" s="159"/>
      <c r="H24" s="187"/>
      <c r="I24" s="187"/>
      <c r="J24" s="187"/>
      <c r="K24" s="283"/>
    </row>
    <row r="25" spans="1:11" ht="11.25" customHeight="1">
      <c r="A25" s="304"/>
      <c r="B25" s="159"/>
      <c r="C25" s="159"/>
      <c r="D25" s="159"/>
      <c r="E25" s="159"/>
      <c r="F25" s="159"/>
      <c r="G25" s="159"/>
      <c r="H25" s="324"/>
      <c r="I25" s="324"/>
      <c r="J25" s="324"/>
      <c r="K25" s="283"/>
    </row>
    <row r="26" spans="1:11" ht="11.25" customHeight="1">
      <c r="A26" s="304"/>
      <c r="B26" s="159"/>
      <c r="C26" s="159"/>
      <c r="D26" s="159"/>
      <c r="E26" s="159"/>
      <c r="F26" s="159"/>
      <c r="G26" s="159"/>
      <c r="H26" s="338"/>
      <c r="I26" s="338"/>
      <c r="J26" s="338"/>
      <c r="K26" s="283"/>
    </row>
    <row r="27" spans="1:11" ht="11.25" customHeight="1">
      <c r="A27" s="325"/>
      <c r="B27" s="201"/>
      <c r="C27" s="201"/>
      <c r="D27" s="201"/>
      <c r="E27" s="201"/>
      <c r="F27" s="201"/>
      <c r="G27" s="201"/>
      <c r="H27" s="201"/>
      <c r="I27" s="201"/>
      <c r="J27" s="201"/>
      <c r="K27" s="283"/>
    </row>
    <row r="28" spans="1:11" ht="11.25" customHeight="1">
      <c r="A28" s="321"/>
      <c r="B28" s="159"/>
      <c r="C28" s="159"/>
      <c r="D28" s="159"/>
      <c r="E28" s="159"/>
      <c r="F28" s="159"/>
      <c r="G28" s="159"/>
      <c r="H28" s="159"/>
      <c r="I28" s="159"/>
      <c r="J28" s="159"/>
      <c r="K28" s="283"/>
    </row>
    <row r="29" spans="1:11" ht="11.25" customHeight="1">
      <c r="A29" s="25"/>
      <c r="B29" s="867" t="str">
        <f>"Gráfico 2: Ingreso de Potencia Efectiva por tipo de Recurso Energético y Tecnología en "&amp;'1. Resumen'!Q4&amp;" "&amp;'1. Resumen'!Q5&amp;" (MW)"</f>
        <v>Gráfico 2: Ingreso de Potencia Efectiva por tipo de Recurso Energético y Tecnología en abril 2018 (MW)</v>
      </c>
      <c r="C29" s="867"/>
      <c r="D29" s="867"/>
      <c r="E29" s="867"/>
      <c r="F29" s="867"/>
      <c r="G29" s="867"/>
      <c r="H29" s="867"/>
      <c r="I29" s="867"/>
      <c r="J29" s="867"/>
      <c r="K29" s="867"/>
    </row>
    <row r="30" spans="1:11" ht="27" customHeight="1">
      <c r="B30" s="879" t="s">
        <v>611</v>
      </c>
      <c r="C30" s="879"/>
      <c r="D30" s="879"/>
      <c r="E30" s="879"/>
      <c r="F30" s="879"/>
      <c r="G30" s="879"/>
      <c r="H30" s="879"/>
    </row>
    <row r="31" spans="1:11" ht="9" customHeight="1">
      <c r="A31" s="84"/>
      <c r="B31" s="84"/>
      <c r="C31" s="84"/>
      <c r="D31" s="84"/>
      <c r="E31" s="25"/>
      <c r="F31" s="25"/>
      <c r="G31" s="84"/>
      <c r="H31" s="25"/>
      <c r="I31" s="25"/>
      <c r="J31" s="25"/>
      <c r="K31" s="283"/>
    </row>
    <row r="32" spans="1:11" ht="11.25" customHeight="1">
      <c r="A32" s="326" t="s">
        <v>511</v>
      </c>
      <c r="B32" s="153"/>
      <c r="C32" s="327"/>
      <c r="D32" s="153"/>
      <c r="E32" s="200"/>
      <c r="F32" s="200"/>
      <c r="G32" s="153"/>
      <c r="H32" s="200"/>
      <c r="I32" s="200"/>
      <c r="J32" s="200"/>
      <c r="K32" s="283"/>
    </row>
    <row r="33" spans="1:15" ht="11.25" customHeight="1">
      <c r="B33" s="153"/>
      <c r="C33" s="327"/>
      <c r="D33" s="153"/>
      <c r="E33" s="200"/>
      <c r="F33" s="200"/>
      <c r="G33" s="153"/>
      <c r="H33" s="200"/>
      <c r="I33" s="200"/>
      <c r="J33" s="200"/>
      <c r="K33" s="283"/>
    </row>
    <row r="34" spans="1:15" ht="33.75" customHeight="1">
      <c r="B34" s="865" t="s">
        <v>253</v>
      </c>
      <c r="C34" s="866"/>
      <c r="D34" s="821" t="str">
        <f>UPPER('1. Resumen'!Q4)&amp;" "&amp;'1. Resumen'!Q5</f>
        <v>ABRIL 2018</v>
      </c>
      <c r="E34" s="821" t="str">
        <f>UPPER('1. Resumen'!Q4)&amp;" "&amp;'1. Resumen'!Q5-1</f>
        <v>ABRIL 2017</v>
      </c>
      <c r="F34" s="822" t="s">
        <v>256</v>
      </c>
      <c r="G34" s="339"/>
      <c r="H34" s="340"/>
      <c r="I34" s="200"/>
      <c r="J34" s="200"/>
    </row>
    <row r="35" spans="1:15" ht="11.25" customHeight="1">
      <c r="B35" s="869" t="s">
        <v>246</v>
      </c>
      <c r="C35" s="870"/>
      <c r="D35" s="831">
        <v>4904.5012475000012</v>
      </c>
      <c r="E35" s="802">
        <v>4968.0372475000004</v>
      </c>
      <c r="F35" s="803">
        <f>+D35/E35-1</f>
        <v>-1.2788954034507638E-2</v>
      </c>
      <c r="G35" s="339"/>
      <c r="H35" s="340"/>
      <c r="I35" s="200"/>
      <c r="J35" s="200"/>
      <c r="K35" s="283"/>
    </row>
    <row r="36" spans="1:15" ht="11.25" customHeight="1">
      <c r="B36" s="871" t="s">
        <v>247</v>
      </c>
      <c r="C36" s="872"/>
      <c r="D36" s="832">
        <v>7393.5644999999995</v>
      </c>
      <c r="E36" s="804">
        <v>7373.5784999999987</v>
      </c>
      <c r="F36" s="805">
        <f>+D36/E36-1</f>
        <v>2.7104885368753884E-3</v>
      </c>
      <c r="G36" s="341"/>
      <c r="H36" s="341"/>
      <c r="M36" s="328"/>
      <c r="N36" s="328"/>
      <c r="O36" s="153"/>
    </row>
    <row r="37" spans="1:15" ht="11.25" customHeight="1">
      <c r="B37" s="873" t="s">
        <v>248</v>
      </c>
      <c r="C37" s="874"/>
      <c r="D37" s="833">
        <v>243.16</v>
      </c>
      <c r="E37" s="806">
        <v>96</v>
      </c>
      <c r="F37" s="807">
        <f>+D37/E37-1</f>
        <v>1.5329166666666665</v>
      </c>
      <c r="G37" s="341"/>
      <c r="H37" s="341"/>
    </row>
    <row r="38" spans="1:15" ht="11.25" customHeight="1">
      <c r="B38" s="875" t="s">
        <v>86</v>
      </c>
      <c r="C38" s="876"/>
      <c r="D38" s="834">
        <v>285.02</v>
      </c>
      <c r="E38" s="808">
        <v>243.16</v>
      </c>
      <c r="F38" s="809">
        <f>+D38/E38-1</f>
        <v>0.17215002467511087</v>
      </c>
      <c r="G38" s="341"/>
      <c r="H38" s="341"/>
    </row>
    <row r="39" spans="1:15" ht="11.25" customHeight="1">
      <c r="B39" s="863" t="s">
        <v>220</v>
      </c>
      <c r="C39" s="864"/>
      <c r="D39" s="835">
        <f>+D35+D36+D37+D38</f>
        <v>12826.245747500001</v>
      </c>
      <c r="E39" s="810">
        <f>+E35+E36+E37+E38</f>
        <v>12680.7757475</v>
      </c>
      <c r="F39" s="811">
        <f>+D39/E39-1</f>
        <v>1.1471695651480873E-2</v>
      </c>
      <c r="G39" s="824"/>
      <c r="H39" s="341"/>
    </row>
    <row r="40" spans="1:15" ht="11.25" customHeight="1">
      <c r="B40" s="342" t="str">
        <f>"Cuadro N° 2: Comparación de la potencia instalada en el SEIN al término de "&amp;'1. Resumen'!Q4&amp;" "&amp;'1. Resumen'!Q5-1&amp;" y "&amp;'1. Resumen'!Q4&amp;" "&amp;'1. Resumen'!Q5</f>
        <v>Cuadro N° 2: Comparación de la potencia instalada en el SEIN al término de abril 2017 y abril 2018</v>
      </c>
      <c r="C40" s="339"/>
      <c r="D40" s="339"/>
      <c r="E40" s="339"/>
      <c r="F40" s="339"/>
      <c r="G40" s="339"/>
      <c r="H40" s="339"/>
      <c r="I40" s="153"/>
      <c r="J40" s="153"/>
      <c r="K40" s="283"/>
    </row>
    <row r="41" spans="1:15" ht="11.25" customHeight="1">
      <c r="A41" s="153"/>
      <c r="C41" s="341"/>
      <c r="D41" s="339"/>
      <c r="E41" s="339"/>
      <c r="F41" s="339"/>
      <c r="G41" s="339"/>
      <c r="H41" s="339"/>
      <c r="I41" s="153"/>
      <c r="J41" s="153"/>
      <c r="K41" s="283"/>
    </row>
    <row r="42" spans="1:15" ht="11.25" customHeight="1">
      <c r="A42" s="153"/>
      <c r="B42" s="153"/>
      <c r="C42" s="153"/>
      <c r="D42" s="153"/>
      <c r="E42" s="153"/>
      <c r="F42" s="153"/>
      <c r="G42" s="153"/>
      <c r="H42" s="153"/>
      <c r="I42" s="153"/>
      <c r="J42" s="153"/>
      <c r="K42" s="283"/>
    </row>
    <row r="43" spans="1:15" ht="11.25" customHeight="1">
      <c r="A43" s="153"/>
      <c r="B43" s="153"/>
      <c r="C43" s="153"/>
      <c r="D43" s="153"/>
      <c r="E43" s="153"/>
      <c r="F43" s="153"/>
      <c r="G43" s="153"/>
      <c r="H43" s="153"/>
      <c r="I43" s="153"/>
      <c r="J43" s="153"/>
      <c r="K43" s="283"/>
    </row>
    <row r="44" spans="1:15">
      <c r="A44" s="158"/>
      <c r="B44" s="153"/>
      <c r="C44" s="153"/>
      <c r="D44" s="153"/>
      <c r="E44" s="153"/>
      <c r="F44" s="153"/>
      <c r="G44" s="153"/>
      <c r="H44" s="153"/>
      <c r="I44" s="153"/>
      <c r="J44" s="153"/>
    </row>
    <row r="45" spans="1:15">
      <c r="A45" s="153"/>
      <c r="B45" s="153"/>
      <c r="C45" s="153"/>
      <c r="D45" s="153"/>
      <c r="E45" s="153"/>
      <c r="F45" s="153"/>
      <c r="G45" s="153"/>
      <c r="H45" s="153"/>
      <c r="I45" s="153"/>
      <c r="J45" s="153"/>
    </row>
    <row r="46" spans="1:15">
      <c r="A46" s="153"/>
      <c r="B46" s="153"/>
      <c r="C46" s="153"/>
      <c r="D46" s="153"/>
      <c r="E46" s="153"/>
      <c r="F46" s="153"/>
      <c r="G46" s="153"/>
      <c r="H46" s="153"/>
      <c r="I46" s="153"/>
      <c r="J46" s="153"/>
    </row>
    <row r="47" spans="1:15">
      <c r="A47" s="153"/>
      <c r="B47" s="153"/>
      <c r="C47" s="153"/>
      <c r="D47" s="153"/>
      <c r="E47" s="153"/>
      <c r="F47" s="153"/>
      <c r="G47" s="153"/>
      <c r="H47" s="153"/>
      <c r="I47" s="153"/>
      <c r="J47" s="153"/>
    </row>
    <row r="48" spans="1:15">
      <c r="A48" s="153"/>
      <c r="B48" s="153"/>
      <c r="C48" s="153"/>
      <c r="D48" s="153"/>
      <c r="E48" s="153"/>
      <c r="F48" s="153"/>
      <c r="G48" s="153"/>
      <c r="H48" s="153"/>
      <c r="I48" s="153"/>
      <c r="J48" s="153"/>
    </row>
    <row r="49" spans="1:10">
      <c r="A49" s="153"/>
      <c r="B49" s="153"/>
      <c r="C49" s="153"/>
      <c r="D49" s="153"/>
      <c r="E49" s="153"/>
      <c r="F49" s="153"/>
      <c r="G49" s="153"/>
      <c r="H49" s="153"/>
      <c r="I49" s="153"/>
      <c r="J49" s="153"/>
    </row>
    <row r="50" spans="1:10">
      <c r="A50" s="153"/>
      <c r="B50" s="153"/>
      <c r="C50" s="153"/>
      <c r="D50" s="153"/>
      <c r="E50" s="153"/>
      <c r="F50" s="153"/>
      <c r="G50" s="153"/>
      <c r="H50" s="153"/>
      <c r="I50" s="153"/>
      <c r="J50" s="153"/>
    </row>
    <row r="51" spans="1:10">
      <c r="A51" s="153"/>
      <c r="B51" s="153"/>
      <c r="C51" s="153"/>
      <c r="D51" s="153"/>
      <c r="E51" s="153"/>
      <c r="F51" s="153"/>
      <c r="G51" s="153"/>
      <c r="H51" s="153"/>
      <c r="I51" s="153"/>
      <c r="J51" s="153"/>
    </row>
    <row r="52" spans="1:10">
      <c r="A52" s="153"/>
      <c r="B52" s="153"/>
      <c r="C52" s="153"/>
      <c r="D52" s="153"/>
      <c r="E52" s="153"/>
      <c r="F52" s="153"/>
      <c r="G52" s="153"/>
      <c r="H52" s="153"/>
      <c r="I52" s="153"/>
      <c r="J52" s="153"/>
    </row>
    <row r="53" spans="1:10">
      <c r="A53" s="812" t="str">
        <f>"Gráfico N° 3: Comparación de la potencia instalada en el SEIN al término de "&amp;'1. Resumen'!Q4&amp;" "&amp;'1. Resumen'!Q5-1&amp;" y "&amp;'1. Resumen'!Q4&amp;" "&amp;'1. Resumen'!Q5</f>
        <v>Gráfico N° 3: Comparación de la potencia instalada en el SEIN al término de abril 2017 y abril 2018</v>
      </c>
      <c r="C53" s="153"/>
      <c r="D53" s="153"/>
      <c r="E53" s="153"/>
      <c r="F53" s="153"/>
      <c r="G53" s="153"/>
      <c r="H53" s="153"/>
      <c r="I53" s="153"/>
      <c r="J53" s="153"/>
    </row>
    <row r="54" spans="1:10" ht="5.25" customHeight="1">
      <c r="A54" s="153"/>
      <c r="B54" s="153"/>
      <c r="D54" s="153"/>
      <c r="E54" s="153"/>
      <c r="F54" s="153"/>
      <c r="G54" s="153"/>
      <c r="H54" s="153"/>
      <c r="I54" s="153"/>
      <c r="J54" s="153"/>
    </row>
  </sheetData>
  <mergeCells count="11">
    <mergeCell ref="B39:C39"/>
    <mergeCell ref="B34:C34"/>
    <mergeCell ref="B29:K29"/>
    <mergeCell ref="A2:J2"/>
    <mergeCell ref="B35:C35"/>
    <mergeCell ref="B36:C36"/>
    <mergeCell ref="B37:C37"/>
    <mergeCell ref="B38:C38"/>
    <mergeCell ref="A13:J13"/>
    <mergeCell ref="A15:J15"/>
    <mergeCell ref="B30:H30"/>
  </mergeCells>
  <conditionalFormatting sqref="A19:A21 A16">
    <cfRule type="containsText" dxfId="5" priority="5" stopIfTrue="1" operator="containsText" text=" 0%">
      <formula>NOT(ISERROR(SEARCH(" 0%",A16)))</formula>
    </cfRule>
    <cfRule type="containsText" dxfId="4" priority="6" stopIfTrue="1" operator="containsText" text="0.0%">
      <formula>NOT(ISERROR(SEARCH("0.0%",A16)))</formula>
    </cfRule>
  </conditionalFormatting>
  <conditionalFormatting sqref="A17">
    <cfRule type="containsText" dxfId="3" priority="3" stopIfTrue="1" operator="containsText" text=" 0%">
      <formula>NOT(ISERROR(SEARCH(" 0%",A17)))</formula>
    </cfRule>
    <cfRule type="containsText" dxfId="2" priority="4" stopIfTrue="1" operator="containsText" text="0.0%">
      <formula>NOT(ISERROR(SEARCH("0.0%",A17)))</formula>
    </cfRule>
  </conditionalFormatting>
  <conditionalFormatting sqref="A18">
    <cfRule type="containsText" dxfId="1" priority="1" stopIfTrue="1" operator="containsText" text=" 0%">
      <formula>NOT(ISERROR(SEARCH(" 0%",A18)))</formula>
    </cfRule>
    <cfRule type="containsText" dxfId="0" priority="2" stopIfTrue="1" operator="containsText" text="0.0%">
      <formula>NOT(ISERROR(SEARCH("0.0%",A18)))</formula>
    </cfRule>
  </conditionalFormatting>
  <pageMargins left="0.7" right="0.57471264367816088" top="0.86956521739130432" bottom="0.61458333333333337" header="0.3" footer="0.3"/>
  <pageSetup orientation="portrait" r:id="rId1"/>
  <headerFooter>
    <oddHeader>&amp;R&amp;7Informe de la Operación Mensual - Abril 2018
INFSGI-MES-04-2018
10/05/2018
Versión: 01</oddHeader>
    <oddFooter>&amp;L&amp;7COES SINAC, 2018
&amp;C2&amp;R&amp;7Dirección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51DD-2FA1-46F1-BEBF-553898F35409}">
  <sheetPr>
    <tabColor theme="4"/>
  </sheetPr>
  <dimension ref="A1:K87"/>
  <sheetViews>
    <sheetView showGridLines="0" view="pageBreakPreview" zoomScale="145" zoomScaleNormal="100" zoomScaleSheetLayoutView="145" zoomScalePageLayoutView="160" workbookViewId="0">
      <selection activeCell="P17" sqref="P17"/>
    </sheetView>
  </sheetViews>
  <sheetFormatPr defaultRowHeight="11.25"/>
  <cols>
    <col min="1" max="1" width="21" style="95" customWidth="1"/>
    <col min="2" max="4" width="10.5" style="95" bestFit="1" customWidth="1"/>
    <col min="5" max="5" width="10" style="95" customWidth="1"/>
    <col min="6" max="6" width="8.6640625" style="95" customWidth="1"/>
    <col min="7" max="8" width="10.5" style="95" bestFit="1" customWidth="1"/>
    <col min="9" max="9" width="10.1640625" style="95" customWidth="1"/>
    <col min="10" max="10" width="10.33203125" style="95" customWidth="1"/>
    <col min="11" max="11" width="9.6640625" style="95" customWidth="1"/>
    <col min="12" max="16384" width="9.33203125" style="95"/>
  </cols>
  <sheetData>
    <row r="1" spans="1:11" ht="11.25" customHeight="1">
      <c r="A1" s="61"/>
      <c r="B1" s="61"/>
      <c r="C1" s="61"/>
      <c r="D1" s="61"/>
      <c r="E1" s="61"/>
      <c r="F1" s="61"/>
      <c r="G1" s="61"/>
      <c r="H1" s="61"/>
      <c r="I1" s="61"/>
      <c r="J1" s="61"/>
      <c r="K1" s="61"/>
    </row>
    <row r="2" spans="1:11" ht="16.5" customHeight="1">
      <c r="A2" s="884" t="s">
        <v>259</v>
      </c>
      <c r="B2" s="884"/>
      <c r="C2" s="884"/>
      <c r="D2" s="884"/>
      <c r="E2" s="884"/>
      <c r="F2" s="884"/>
      <c r="G2" s="884"/>
      <c r="H2" s="884"/>
      <c r="I2" s="884"/>
      <c r="J2" s="884"/>
      <c r="K2" s="884"/>
    </row>
    <row r="3" spans="1:11" ht="11.25" customHeight="1">
      <c r="A3" s="103"/>
      <c r="B3" s="104"/>
      <c r="C3" s="105"/>
      <c r="D3" s="106"/>
      <c r="E3" s="106"/>
      <c r="F3" s="106"/>
      <c r="G3" s="106"/>
      <c r="H3" s="103"/>
      <c r="I3" s="103"/>
      <c r="J3" s="103"/>
      <c r="K3" s="107"/>
    </row>
    <row r="4" spans="1:11" ht="11.25" customHeight="1">
      <c r="A4" s="885" t="str">
        <f>+"3.1. PRODUCCIÓN POR TIPO DE GENERACIÓN (GWh)"</f>
        <v>3.1. PRODUCCIÓN POR TIPO DE GENERACIÓN (GWh)</v>
      </c>
      <c r="B4" s="885"/>
      <c r="C4" s="885"/>
      <c r="D4" s="885"/>
      <c r="E4" s="885"/>
      <c r="F4" s="885"/>
      <c r="G4" s="885"/>
      <c r="H4" s="885"/>
      <c r="I4" s="885"/>
      <c r="J4" s="885"/>
      <c r="K4" s="885"/>
    </row>
    <row r="5" spans="1:11" ht="11.25" customHeight="1">
      <c r="A5" s="93"/>
      <c r="B5" s="108"/>
      <c r="C5" s="109"/>
      <c r="D5" s="110"/>
      <c r="E5" s="110"/>
      <c r="F5" s="110"/>
      <c r="G5" s="110"/>
      <c r="H5" s="111"/>
      <c r="I5" s="103"/>
      <c r="J5" s="103"/>
      <c r="K5" s="112"/>
    </row>
    <row r="6" spans="1:11" ht="18" customHeight="1">
      <c r="A6" s="882" t="s">
        <v>32</v>
      </c>
      <c r="B6" s="886" t="s">
        <v>33</v>
      </c>
      <c r="C6" s="887"/>
      <c r="D6" s="887"/>
      <c r="E6" s="887" t="s">
        <v>34</v>
      </c>
      <c r="F6" s="887"/>
      <c r="G6" s="888" t="str">
        <f>"Generación Acumulada a "&amp;'1. Resumen'!Q4</f>
        <v>Generación Acumulada a abril</v>
      </c>
      <c r="H6" s="888"/>
      <c r="I6" s="888"/>
      <c r="J6" s="888"/>
      <c r="K6" s="889"/>
    </row>
    <row r="7" spans="1:11" ht="32.25" customHeight="1">
      <c r="A7" s="883"/>
      <c r="B7" s="161">
        <f>+C7-30</f>
        <v>43133</v>
      </c>
      <c r="C7" s="161">
        <f>+D7-28</f>
        <v>43163</v>
      </c>
      <c r="D7" s="161">
        <f>+'1. Resumen'!Q6</f>
        <v>43191</v>
      </c>
      <c r="E7" s="161">
        <f>+D7-365</f>
        <v>42826</v>
      </c>
      <c r="F7" s="162" t="s">
        <v>35</v>
      </c>
      <c r="G7" s="163">
        <v>2018</v>
      </c>
      <c r="H7" s="163">
        <v>2017</v>
      </c>
      <c r="I7" s="162" t="s">
        <v>43</v>
      </c>
      <c r="J7" s="163">
        <v>2016</v>
      </c>
      <c r="K7" s="164" t="s">
        <v>36</v>
      </c>
    </row>
    <row r="8" spans="1:11" ht="15" customHeight="1">
      <c r="A8" s="137" t="s">
        <v>37</v>
      </c>
      <c r="B8" s="652">
        <v>2764.6728744499997</v>
      </c>
      <c r="C8" s="646">
        <v>2865.1492965074999</v>
      </c>
      <c r="D8" s="653">
        <v>3012.519140195001</v>
      </c>
      <c r="E8" s="652">
        <v>2575.6931020716493</v>
      </c>
      <c r="F8" s="349">
        <f>IF(E8=0,"",D8/E8-1)</f>
        <v>0.16959553052807785</v>
      </c>
      <c r="G8" s="660">
        <v>11581.518735680003</v>
      </c>
      <c r="H8" s="646">
        <v>10536.143794434773</v>
      </c>
      <c r="I8" s="353">
        <f>IF(H8=0,"",G8/H8-1)</f>
        <v>9.9217983509052088E-2</v>
      </c>
      <c r="J8" s="652">
        <v>8962.0429033021555</v>
      </c>
      <c r="K8" s="349">
        <f t="shared" ref="K8:K15" si="0">IF(J8=0,"",H8/J8-1)</f>
        <v>0.17564085645613492</v>
      </c>
    </row>
    <row r="9" spans="1:11" ht="15" customHeight="1">
      <c r="A9" s="138" t="s">
        <v>38</v>
      </c>
      <c r="B9" s="654">
        <v>1046.218760365</v>
      </c>
      <c r="C9" s="647">
        <v>1266.71475749</v>
      </c>
      <c r="D9" s="655">
        <v>1022.1961833474999</v>
      </c>
      <c r="E9" s="654">
        <v>1275.9863224605817</v>
      </c>
      <c r="F9" s="350">
        <f t="shared" ref="F9:F15" si="1">IF(E9=0,"",D9/E9-1)</f>
        <v>-0.19889722534304211</v>
      </c>
      <c r="G9" s="661">
        <v>4504.1671766124991</v>
      </c>
      <c r="H9" s="647">
        <v>5360.3473554171469</v>
      </c>
      <c r="I9" s="354">
        <f t="shared" ref="I9:I15" si="2">IF(H9=0,"",G9/H9-1)</f>
        <v>-0.15972475700467348</v>
      </c>
      <c r="J9" s="654">
        <v>6629.8636536937283</v>
      </c>
      <c r="K9" s="350">
        <f t="shared" si="0"/>
        <v>-0.19148452586491571</v>
      </c>
    </row>
    <row r="10" spans="1:11" ht="15" customHeight="1">
      <c r="A10" s="139" t="s">
        <v>39</v>
      </c>
      <c r="B10" s="656">
        <v>62.462496864999999</v>
      </c>
      <c r="C10" s="648">
        <v>121.84239174000001</v>
      </c>
      <c r="D10" s="657">
        <v>115.011208025</v>
      </c>
      <c r="E10" s="656">
        <v>92.967202730385409</v>
      </c>
      <c r="F10" s="351">
        <f t="shared" si="1"/>
        <v>0.23711593602041048</v>
      </c>
      <c r="G10" s="662">
        <v>386.68910400999999</v>
      </c>
      <c r="H10" s="648">
        <v>281.94971662937439</v>
      </c>
      <c r="I10" s="355">
        <f t="shared" si="2"/>
        <v>0.37148250628783752</v>
      </c>
      <c r="J10" s="656">
        <v>257.89580191838758</v>
      </c>
      <c r="K10" s="351">
        <f t="shared" si="0"/>
        <v>9.3269896338207259E-2</v>
      </c>
    </row>
    <row r="11" spans="1:11" ht="15" customHeight="1">
      <c r="A11" s="138" t="s">
        <v>30</v>
      </c>
      <c r="B11" s="654">
        <v>46.187362507500005</v>
      </c>
      <c r="C11" s="647">
        <v>62.167818492499997</v>
      </c>
      <c r="D11" s="655">
        <v>58.171585880000009</v>
      </c>
      <c r="E11" s="654">
        <v>19.088536792355001</v>
      </c>
      <c r="F11" s="350">
        <f>IF(E11=0,"",D11/E11-1)</f>
        <v>2.0474617574301375</v>
      </c>
      <c r="G11" s="661">
        <v>226.18564572999998</v>
      </c>
      <c r="H11" s="647">
        <v>73.438169575798</v>
      </c>
      <c r="I11" s="354">
        <f t="shared" si="2"/>
        <v>2.0799466685583194</v>
      </c>
      <c r="J11" s="654">
        <v>80.191739290249899</v>
      </c>
      <c r="K11" s="350">
        <f t="shared" si="0"/>
        <v>-8.4217773229829818E-2</v>
      </c>
    </row>
    <row r="12" spans="1:11" ht="15" customHeight="1">
      <c r="A12" s="172" t="s">
        <v>44</v>
      </c>
      <c r="B12" s="658">
        <f>+B8+B9+B10+B11</f>
        <v>3919.5414941874997</v>
      </c>
      <c r="C12" s="649">
        <f>+C8+C9+C10+C11</f>
        <v>4315.8742642300003</v>
      </c>
      <c r="D12" s="659">
        <f>+D8+D9+D10+D11</f>
        <v>4207.8981174475002</v>
      </c>
      <c r="E12" s="658">
        <f>+E8+E9+E10+E11</f>
        <v>3963.7351640549714</v>
      </c>
      <c r="F12" s="352">
        <f>IF(E12=0,"",D12/E12-1)</f>
        <v>6.1599209656264087E-2</v>
      </c>
      <c r="G12" s="658">
        <f>+G8+G9+G10+G11</f>
        <v>16698.560662032502</v>
      </c>
      <c r="H12" s="649">
        <f>+H8+H9+H10+H11</f>
        <v>16251.879036057093</v>
      </c>
      <c r="I12" s="356">
        <f>IF(H12=0,"",G12/H12-1)</f>
        <v>2.7484921896377745E-2</v>
      </c>
      <c r="J12" s="658">
        <f>+J8+J9+J10+J11</f>
        <v>15929.994098204523</v>
      </c>
      <c r="K12" s="352">
        <f t="shared" si="0"/>
        <v>2.0206218274045007E-2</v>
      </c>
    </row>
    <row r="13" spans="1:11" ht="15" customHeight="1">
      <c r="A13" s="133"/>
      <c r="B13" s="133"/>
      <c r="C13" s="133"/>
      <c r="D13" s="133"/>
      <c r="E13" s="133"/>
      <c r="F13" s="135"/>
      <c r="G13" s="133"/>
      <c r="H13" s="133"/>
      <c r="I13" s="135"/>
      <c r="J13" s="134"/>
      <c r="K13" s="135" t="str">
        <f t="shared" si="0"/>
        <v/>
      </c>
    </row>
    <row r="14" spans="1:11" ht="15" customHeight="1">
      <c r="A14" s="140" t="s">
        <v>40</v>
      </c>
      <c r="B14" s="347">
        <v>2.1206869999999993</v>
      </c>
      <c r="C14" s="348">
        <v>0</v>
      </c>
      <c r="D14" s="651">
        <v>0</v>
      </c>
      <c r="E14" s="347">
        <v>2.2991390000000003</v>
      </c>
      <c r="F14" s="141">
        <f t="shared" si="1"/>
        <v>-1</v>
      </c>
      <c r="G14" s="347">
        <v>2.1206869999999993</v>
      </c>
      <c r="H14" s="348">
        <v>12.953248</v>
      </c>
      <c r="I14" s="144">
        <f t="shared" si="2"/>
        <v>-0.83628144848303687</v>
      </c>
      <c r="J14" s="347">
        <v>0</v>
      </c>
      <c r="K14" s="141" t="str">
        <f t="shared" si="0"/>
        <v/>
      </c>
    </row>
    <row r="15" spans="1:11" ht="15" customHeight="1">
      <c r="A15" s="139" t="s">
        <v>41</v>
      </c>
      <c r="B15" s="344">
        <v>0</v>
      </c>
      <c r="C15" s="345">
        <v>0</v>
      </c>
      <c r="D15" s="346">
        <v>0</v>
      </c>
      <c r="E15" s="344">
        <v>0</v>
      </c>
      <c r="F15" s="142" t="str">
        <f t="shared" si="1"/>
        <v/>
      </c>
      <c r="G15" s="344">
        <v>0</v>
      </c>
      <c r="H15" s="345">
        <v>0</v>
      </c>
      <c r="I15" s="136" t="str">
        <f t="shared" si="2"/>
        <v/>
      </c>
      <c r="J15" s="344">
        <v>37.352100999999998</v>
      </c>
      <c r="K15" s="142">
        <f t="shared" si="0"/>
        <v>-1</v>
      </c>
    </row>
    <row r="16" spans="1:11" ht="23.25" customHeight="1">
      <c r="A16" s="146" t="s">
        <v>42</v>
      </c>
      <c r="B16" s="357">
        <f>+B15-B14</f>
        <v>-2.1206869999999993</v>
      </c>
      <c r="C16" s="357">
        <f>+C15-C14</f>
        <v>0</v>
      </c>
      <c r="D16" s="357">
        <f>+D15-D14</f>
        <v>0</v>
      </c>
      <c r="E16" s="357">
        <f>+E15-E14</f>
        <v>-2.2991390000000003</v>
      </c>
      <c r="F16" s="143"/>
      <c r="G16" s="357">
        <f>+G15-G14</f>
        <v>-2.1206869999999993</v>
      </c>
      <c r="H16" s="358">
        <f>+H15-H14</f>
        <v>-12.953248</v>
      </c>
      <c r="I16" s="145"/>
      <c r="J16" s="357">
        <f>+J15-J14</f>
        <v>37.352100999999998</v>
      </c>
      <c r="K16" s="143"/>
    </row>
    <row r="17" spans="1:11" ht="11.25" customHeight="1">
      <c r="A17" s="359" t="s">
        <v>258</v>
      </c>
      <c r="B17" s="130"/>
      <c r="C17" s="130"/>
      <c r="D17" s="130"/>
      <c r="E17" s="130"/>
      <c r="F17" s="130"/>
      <c r="G17" s="130"/>
      <c r="H17" s="130"/>
      <c r="I17" s="130"/>
      <c r="J17" s="130"/>
      <c r="K17" s="130"/>
    </row>
    <row r="18" spans="1:11" ht="11.25" customHeight="1">
      <c r="A18" s="131"/>
      <c r="B18" s="130"/>
      <c r="C18" s="130"/>
      <c r="D18" s="130"/>
      <c r="E18" s="130"/>
      <c r="F18" s="130"/>
      <c r="G18" s="130"/>
      <c r="H18" s="130"/>
      <c r="I18" s="130"/>
      <c r="J18" s="130"/>
      <c r="K18" s="130"/>
    </row>
    <row r="19" spans="1:11" ht="11.25" customHeight="1">
      <c r="A19" s="2"/>
      <c r="B19" s="115"/>
      <c r="C19" s="115"/>
      <c r="D19" s="115"/>
      <c r="E19" s="115"/>
      <c r="F19" s="115"/>
      <c r="G19" s="115"/>
      <c r="H19" s="115"/>
      <c r="I19" s="115"/>
      <c r="J19" s="115"/>
      <c r="K19" s="115"/>
    </row>
    <row r="20" spans="1:11" ht="11.25" customHeight="1">
      <c r="A20" s="2"/>
      <c r="B20" s="115"/>
      <c r="C20" s="115"/>
      <c r="D20" s="115"/>
      <c r="E20" s="115"/>
      <c r="F20" s="115"/>
      <c r="G20" s="115"/>
      <c r="H20" s="115"/>
      <c r="I20" s="115"/>
      <c r="J20" s="115"/>
      <c r="K20" s="115"/>
    </row>
    <row r="21" spans="1:11" ht="11.25" customHeight="1">
      <c r="A21" s="93"/>
      <c r="B21" s="93"/>
      <c r="C21" s="93"/>
      <c r="D21" s="93"/>
      <c r="E21" s="93"/>
      <c r="F21" s="93"/>
      <c r="G21" s="93"/>
      <c r="H21" s="93"/>
      <c r="I21" s="93"/>
      <c r="J21" s="93"/>
      <c r="K21" s="93"/>
    </row>
    <row r="22" spans="1:11" ht="11.25" customHeight="1">
      <c r="A22" s="2"/>
      <c r="B22" s="115"/>
      <c r="C22" s="115"/>
      <c r="D22" s="115"/>
      <c r="E22" s="115"/>
      <c r="F22" s="115"/>
      <c r="G22" s="115"/>
      <c r="H22" s="115"/>
      <c r="I22" s="115"/>
      <c r="J22" s="115"/>
      <c r="K22" s="115"/>
    </row>
    <row r="23" spans="1:11" ht="11.25" customHeight="1">
      <c r="A23" s="2"/>
      <c r="B23" s="115"/>
      <c r="C23" s="115"/>
      <c r="D23" s="115"/>
      <c r="E23" s="115"/>
      <c r="F23" s="115"/>
      <c r="G23" s="115"/>
      <c r="H23" s="115"/>
      <c r="I23" s="115"/>
      <c r="J23" s="115"/>
      <c r="K23" s="115"/>
    </row>
    <row r="24" spans="1:11" ht="11.25" customHeight="1">
      <c r="A24" s="2"/>
      <c r="B24" s="115"/>
      <c r="C24" s="115"/>
      <c r="D24" s="115"/>
      <c r="E24" s="115"/>
      <c r="F24" s="115"/>
      <c r="G24" s="115"/>
      <c r="H24" s="115"/>
      <c r="I24" s="115"/>
      <c r="J24" s="115"/>
      <c r="K24" s="115"/>
    </row>
    <row r="25" spans="1:11" ht="11.25" customHeight="1">
      <c r="A25" s="2"/>
      <c r="B25" s="115"/>
      <c r="C25" s="115"/>
      <c r="D25" s="115"/>
      <c r="E25" s="115"/>
      <c r="F25" s="115"/>
      <c r="G25" s="115"/>
      <c r="H25" s="115"/>
      <c r="I25" s="115"/>
      <c r="J25" s="115"/>
      <c r="K25" s="115"/>
    </row>
    <row r="26" spans="1:11" ht="11.25" customHeight="1">
      <c r="A26" s="2"/>
      <c r="B26" s="115"/>
      <c r="C26" s="115"/>
      <c r="D26" s="115"/>
      <c r="E26" s="115"/>
      <c r="F26" s="115"/>
      <c r="G26" s="115"/>
      <c r="H26" s="115"/>
      <c r="I26" s="115"/>
      <c r="J26" s="115"/>
      <c r="K26" s="115"/>
    </row>
    <row r="27" spans="1:11" ht="11.25" customHeight="1">
      <c r="A27" s="2"/>
      <c r="B27" s="115"/>
      <c r="C27" s="115"/>
      <c r="D27" s="115"/>
      <c r="E27" s="115"/>
      <c r="F27" s="115"/>
      <c r="G27" s="115"/>
      <c r="H27" s="115"/>
      <c r="I27" s="115"/>
      <c r="J27" s="115"/>
      <c r="K27" s="115"/>
    </row>
    <row r="28" spans="1:11" ht="11.25" customHeight="1">
      <c r="A28" s="2"/>
      <c r="B28" s="115"/>
      <c r="C28" s="115"/>
      <c r="D28" s="115"/>
      <c r="E28" s="115"/>
      <c r="F28" s="115"/>
      <c r="G28" s="115"/>
      <c r="H28" s="115"/>
      <c r="I28" s="115"/>
      <c r="J28" s="115"/>
      <c r="K28" s="115"/>
    </row>
    <row r="29" spans="1:11" ht="11.25" customHeight="1">
      <c r="A29" s="2"/>
      <c r="B29" s="115"/>
      <c r="C29" s="115"/>
      <c r="D29" s="115"/>
      <c r="E29" s="115"/>
      <c r="F29" s="115"/>
      <c r="G29" s="115"/>
      <c r="H29" s="115"/>
      <c r="I29" s="115"/>
      <c r="J29" s="115"/>
      <c r="K29" s="115"/>
    </row>
    <row r="30" spans="1:11" ht="11.25" customHeight="1">
      <c r="A30" s="2"/>
      <c r="B30" s="115"/>
      <c r="C30" s="115"/>
      <c r="D30" s="115"/>
      <c r="E30" s="115"/>
      <c r="F30" s="115"/>
      <c r="G30" s="115"/>
      <c r="H30" s="115"/>
      <c r="I30" s="115"/>
      <c r="J30" s="115"/>
      <c r="K30" s="115"/>
    </row>
    <row r="31" spans="1:11" ht="11.25" customHeight="1">
      <c r="A31" s="2"/>
      <c r="B31" s="115"/>
      <c r="C31" s="115"/>
      <c r="D31" s="115"/>
      <c r="E31" s="115"/>
      <c r="F31" s="115"/>
      <c r="G31" s="115"/>
      <c r="H31" s="115"/>
      <c r="I31" s="115"/>
      <c r="J31" s="115"/>
      <c r="K31" s="115"/>
    </row>
    <row r="32" spans="1:11" ht="11.25" customHeight="1">
      <c r="A32" s="2"/>
      <c r="B32" s="115"/>
      <c r="C32" s="115"/>
      <c r="D32" s="115"/>
      <c r="E32" s="115"/>
      <c r="F32" s="115"/>
      <c r="G32" s="115"/>
      <c r="H32" s="115"/>
      <c r="I32" s="115"/>
      <c r="J32" s="115"/>
      <c r="K32" s="115"/>
    </row>
    <row r="33" spans="1:11" ht="11.25" customHeight="1">
      <c r="A33" s="2"/>
      <c r="B33" s="115"/>
      <c r="C33" s="115"/>
      <c r="D33" s="115"/>
      <c r="E33" s="115"/>
      <c r="F33" s="115"/>
      <c r="G33" s="115"/>
      <c r="H33" s="115"/>
      <c r="I33" s="115"/>
      <c r="J33" s="115"/>
      <c r="K33" s="115"/>
    </row>
    <row r="34" spans="1:11" ht="11.25" customHeight="1">
      <c r="A34" s="2"/>
      <c r="B34" s="115"/>
      <c r="C34" s="115"/>
      <c r="D34" s="115"/>
      <c r="E34" s="115"/>
      <c r="F34" s="115"/>
      <c r="G34" s="115"/>
      <c r="H34" s="115"/>
      <c r="I34" s="115"/>
      <c r="J34" s="115"/>
      <c r="K34" s="115"/>
    </row>
    <row r="35" spans="1:11" ht="11.25" customHeight="1">
      <c r="A35" s="2"/>
      <c r="B35" s="115"/>
      <c r="C35" s="115"/>
      <c r="D35" s="115"/>
      <c r="E35" s="115"/>
      <c r="F35" s="115"/>
      <c r="G35" s="115"/>
      <c r="H35" s="115"/>
      <c r="I35" s="115"/>
      <c r="J35" s="115"/>
      <c r="K35" s="115"/>
    </row>
    <row r="36" spans="1:11" ht="11.25" customHeight="1">
      <c r="A36" s="2"/>
      <c r="B36" s="115"/>
      <c r="C36" s="115"/>
      <c r="D36" s="115"/>
      <c r="E36" s="115"/>
      <c r="F36" s="115"/>
      <c r="G36" s="115"/>
      <c r="H36" s="115"/>
      <c r="I36" s="115"/>
      <c r="J36" s="115"/>
      <c r="K36" s="115"/>
    </row>
    <row r="37" spans="1:11" ht="11.25" customHeight="1">
      <c r="A37" s="2"/>
      <c r="B37" s="115"/>
      <c r="C37" s="115"/>
      <c r="D37" s="115"/>
      <c r="E37" s="115"/>
      <c r="F37" s="115"/>
      <c r="G37" s="115"/>
      <c r="H37" s="115"/>
      <c r="I37" s="115"/>
      <c r="J37" s="115"/>
      <c r="K37" s="115"/>
    </row>
    <row r="38" spans="1:11" ht="11.25" customHeight="1">
      <c r="A38" s="2"/>
      <c r="B38" s="115"/>
      <c r="C38" s="115"/>
      <c r="D38" s="115"/>
      <c r="E38" s="115"/>
      <c r="F38" s="115"/>
      <c r="G38" s="115"/>
      <c r="H38" s="115"/>
      <c r="I38" s="115"/>
      <c r="J38" s="115"/>
      <c r="K38" s="115"/>
    </row>
    <row r="39" spans="1:11" ht="11.25" customHeight="1">
      <c r="A39" s="2"/>
      <c r="B39" s="115"/>
      <c r="C39" s="115"/>
      <c r="D39" s="115"/>
      <c r="E39" s="115"/>
      <c r="F39" s="115"/>
      <c r="G39" s="115"/>
      <c r="H39" s="115"/>
      <c r="I39" s="115"/>
      <c r="J39" s="115"/>
      <c r="K39" s="115"/>
    </row>
    <row r="40" spans="1:11" ht="11.25" customHeight="1">
      <c r="A40" s="2"/>
      <c r="B40" s="115"/>
      <c r="C40" s="115"/>
      <c r="D40" s="115"/>
      <c r="E40" s="115"/>
      <c r="F40" s="115"/>
      <c r="G40" s="115"/>
      <c r="H40" s="115"/>
      <c r="I40" s="115"/>
      <c r="J40" s="115"/>
      <c r="K40" s="115"/>
    </row>
    <row r="41" spans="1:11" ht="11.25" customHeight="1">
      <c r="A41" s="2"/>
      <c r="B41" s="115"/>
      <c r="C41" s="115"/>
      <c r="D41" s="115"/>
      <c r="E41" s="115"/>
      <c r="F41" s="115"/>
      <c r="G41" s="115"/>
      <c r="H41" s="115"/>
      <c r="I41" s="115"/>
      <c r="J41" s="115"/>
      <c r="K41" s="115"/>
    </row>
    <row r="42" spans="1:11" ht="11.25" customHeight="1">
      <c r="A42" s="116"/>
      <c r="B42" s="880"/>
      <c r="C42" s="880"/>
      <c r="D42" s="880"/>
      <c r="E42" s="113"/>
      <c r="F42" s="113"/>
      <c r="G42" s="881"/>
      <c r="H42" s="881"/>
      <c r="I42" s="881"/>
      <c r="J42" s="881"/>
      <c r="K42" s="881"/>
    </row>
    <row r="43" spans="1:11" ht="11.25" customHeight="1">
      <c r="A43" s="117"/>
      <c r="B43" s="118"/>
      <c r="C43" s="118"/>
      <c r="D43" s="118"/>
      <c r="E43" s="118"/>
      <c r="F43" s="118"/>
      <c r="G43" s="119"/>
      <c r="H43" s="119"/>
      <c r="I43" s="120"/>
      <c r="J43" s="119"/>
      <c r="K43" s="119"/>
    </row>
    <row r="44" spans="1:11" ht="11.25" customHeight="1">
      <c r="A44" s="116"/>
      <c r="B44" s="121"/>
      <c r="C44" s="114"/>
      <c r="D44" s="114"/>
      <c r="E44" s="114"/>
      <c r="F44" s="114"/>
      <c r="G44" s="114"/>
      <c r="H44" s="114"/>
      <c r="I44" s="114"/>
      <c r="J44" s="114"/>
      <c r="K44" s="114"/>
    </row>
    <row r="45" spans="1:11" ht="11.25" customHeight="1">
      <c r="A45" s="2"/>
      <c r="B45" s="90"/>
      <c r="C45" s="90"/>
      <c r="D45" s="90"/>
      <c r="E45" s="90"/>
      <c r="F45" s="90"/>
      <c r="G45" s="90"/>
      <c r="H45" s="90"/>
      <c r="I45" s="122"/>
      <c r="J45" s="90"/>
      <c r="K45" s="123"/>
    </row>
    <row r="46" spans="1:11" ht="11.25" customHeight="1">
      <c r="A46" s="2"/>
      <c r="B46" s="90"/>
      <c r="C46" s="90"/>
      <c r="D46" s="90"/>
      <c r="E46" s="90"/>
      <c r="F46" s="90"/>
      <c r="G46" s="90"/>
      <c r="H46" s="90"/>
      <c r="I46" s="122"/>
      <c r="J46" s="90"/>
      <c r="K46" s="123"/>
    </row>
    <row r="47" spans="1:11" ht="11.25" customHeight="1">
      <c r="A47" s="2"/>
      <c r="B47" s="90"/>
      <c r="C47" s="90"/>
      <c r="D47" s="90"/>
      <c r="E47" s="90"/>
      <c r="F47" s="90"/>
      <c r="G47" s="90"/>
      <c r="H47" s="90"/>
      <c r="I47" s="122"/>
      <c r="J47" s="90"/>
      <c r="K47" s="123"/>
    </row>
    <row r="48" spans="1:11" ht="11.25" customHeight="1">
      <c r="A48" s="2"/>
      <c r="B48" s="90"/>
      <c r="C48" s="90"/>
      <c r="D48" s="90"/>
      <c r="E48" s="90"/>
      <c r="F48" s="90"/>
      <c r="G48" s="90"/>
      <c r="H48" s="90"/>
      <c r="I48" s="122"/>
      <c r="J48" s="90"/>
      <c r="K48" s="123"/>
    </row>
    <row r="49" spans="1:11" ht="11.25" customHeight="1">
      <c r="A49" s="2"/>
      <c r="B49" s="90"/>
      <c r="C49" s="90"/>
      <c r="D49" s="90"/>
      <c r="E49" s="90"/>
      <c r="F49" s="90"/>
      <c r="G49" s="90"/>
      <c r="H49" s="90"/>
      <c r="I49" s="122"/>
      <c r="J49" s="90"/>
      <c r="K49" s="123"/>
    </row>
    <row r="50" spans="1:11" ht="11.25" customHeight="1">
      <c r="A50" s="2"/>
      <c r="B50" s="90"/>
      <c r="C50" s="90"/>
      <c r="D50" s="90"/>
      <c r="E50" s="90"/>
      <c r="F50" s="90"/>
      <c r="G50" s="90"/>
      <c r="H50" s="90"/>
      <c r="I50" s="122"/>
      <c r="J50" s="90"/>
      <c r="K50" s="123"/>
    </row>
    <row r="51" spans="1:11" ht="11.25" customHeight="1">
      <c r="A51" s="2"/>
      <c r="B51" s="90"/>
      <c r="C51" s="90"/>
      <c r="D51" s="90"/>
      <c r="E51" s="90"/>
      <c r="F51" s="90"/>
      <c r="G51" s="90"/>
      <c r="H51" s="90"/>
      <c r="I51" s="122"/>
      <c r="J51" s="90"/>
      <c r="K51" s="123"/>
    </row>
    <row r="52" spans="1:11" ht="11.25" customHeight="1">
      <c r="A52" s="2"/>
      <c r="B52" s="90"/>
      <c r="C52" s="90"/>
      <c r="D52" s="90"/>
      <c r="E52" s="90"/>
      <c r="F52" s="90"/>
      <c r="G52" s="90"/>
      <c r="H52" s="90"/>
      <c r="I52" s="122"/>
      <c r="J52" s="90"/>
      <c r="K52" s="123"/>
    </row>
    <row r="53" spans="1:11" ht="12.75">
      <c r="A53" s="2"/>
      <c r="B53" s="90"/>
      <c r="C53" s="90"/>
      <c r="D53" s="90"/>
      <c r="E53" s="90"/>
      <c r="F53" s="90"/>
      <c r="G53" s="90"/>
      <c r="H53" s="90"/>
      <c r="I53" s="122"/>
      <c r="J53" s="90"/>
      <c r="K53" s="123"/>
    </row>
    <row r="54" spans="1:11" ht="12.75">
      <c r="A54" s="2"/>
      <c r="B54" s="90"/>
      <c r="C54" s="90"/>
      <c r="D54" s="90"/>
      <c r="E54" s="90"/>
      <c r="F54" s="90"/>
      <c r="G54" s="90"/>
      <c r="H54" s="90"/>
      <c r="I54" s="122"/>
      <c r="J54" s="90"/>
      <c r="K54" s="123"/>
    </row>
    <row r="55" spans="1:11" ht="12.75">
      <c r="A55" s="2"/>
      <c r="B55" s="90"/>
      <c r="C55" s="90"/>
      <c r="D55" s="90"/>
      <c r="E55" s="90"/>
      <c r="F55" s="90"/>
      <c r="G55" s="90"/>
      <c r="H55" s="90"/>
      <c r="I55" s="122"/>
      <c r="J55" s="90"/>
      <c r="K55" s="123"/>
    </row>
    <row r="56" spans="1:11" ht="12.75">
      <c r="A56" s="2"/>
      <c r="B56" s="90"/>
      <c r="C56" s="90"/>
      <c r="D56" s="90"/>
      <c r="E56" s="90"/>
      <c r="F56" s="90"/>
      <c r="G56" s="90"/>
      <c r="H56" s="90"/>
      <c r="I56" s="122"/>
      <c r="J56" s="90"/>
      <c r="K56" s="123"/>
    </row>
    <row r="57" spans="1:11" ht="12.75">
      <c r="A57" s="2"/>
      <c r="B57" s="90"/>
      <c r="C57" s="90"/>
      <c r="D57" s="90"/>
      <c r="E57" s="90"/>
      <c r="F57" s="90"/>
      <c r="G57" s="90"/>
      <c r="H57" s="90"/>
      <c r="I57" s="122"/>
      <c r="J57" s="90"/>
      <c r="K57" s="123"/>
    </row>
    <row r="58" spans="1:11" ht="12.75">
      <c r="A58" s="360" t="str">
        <f>"Gráfico N° 4: Comparación de la producción de energía eléctrica por tipo de generación acumulada a "&amp;'1. Resumen'!Q4</f>
        <v>Gráfico N° 4: Comparación de la producción de energía eléctrica por tipo de generación acumulada a abril</v>
      </c>
      <c r="B58" s="90"/>
      <c r="C58" s="90"/>
      <c r="D58" s="90"/>
      <c r="E58" s="90"/>
      <c r="F58" s="90"/>
      <c r="G58" s="90"/>
      <c r="H58" s="90"/>
      <c r="I58" s="122"/>
      <c r="J58" s="90"/>
      <c r="K58" s="123"/>
    </row>
    <row r="59" spans="1:11" ht="12.75">
      <c r="B59" s="90"/>
      <c r="C59" s="90"/>
      <c r="D59" s="90"/>
      <c r="E59" s="90"/>
      <c r="F59" s="90"/>
      <c r="G59" s="90"/>
      <c r="H59" s="90"/>
      <c r="I59" s="122"/>
      <c r="J59" s="90"/>
      <c r="K59" s="123"/>
    </row>
    <row r="60" spans="1:11" ht="12.75">
      <c r="A60" s="2"/>
      <c r="B60" s="90"/>
      <c r="C60" s="90"/>
      <c r="D60" s="90"/>
      <c r="E60" s="90"/>
      <c r="F60" s="90"/>
      <c r="G60" s="90"/>
      <c r="H60" s="90"/>
      <c r="I60" s="122"/>
      <c r="J60" s="90"/>
      <c r="K60" s="123"/>
    </row>
    <row r="61" spans="1:11" ht="12.75">
      <c r="A61" s="2"/>
      <c r="B61" s="90"/>
      <c r="C61" s="90"/>
      <c r="D61" s="90"/>
      <c r="E61" s="90"/>
      <c r="F61" s="90"/>
      <c r="G61" s="90"/>
      <c r="H61" s="90"/>
      <c r="I61" s="122"/>
      <c r="J61" s="90"/>
      <c r="K61" s="123"/>
    </row>
    <row r="63" spans="1:11" ht="12.75">
      <c r="A63" s="124"/>
      <c r="B63" s="125"/>
      <c r="C63" s="125"/>
      <c r="D63" s="125"/>
      <c r="E63" s="125"/>
      <c r="F63" s="125"/>
      <c r="G63" s="125"/>
      <c r="H63" s="122"/>
      <c r="I63" s="122"/>
      <c r="J63" s="125"/>
      <c r="K63" s="123"/>
    </row>
    <row r="64" spans="1:11" ht="12.75">
      <c r="A64" s="2"/>
      <c r="B64" s="90"/>
      <c r="C64" s="90"/>
      <c r="D64" s="90"/>
      <c r="E64" s="90"/>
      <c r="F64" s="90"/>
      <c r="G64" s="90"/>
      <c r="H64" s="90"/>
      <c r="I64" s="122"/>
      <c r="J64" s="90"/>
      <c r="K64" s="126"/>
    </row>
    <row r="65" spans="1:11" ht="12.75">
      <c r="A65" s="2"/>
      <c r="B65" s="90"/>
      <c r="C65" s="90"/>
      <c r="D65" s="90"/>
      <c r="E65" s="90"/>
      <c r="F65" s="90"/>
      <c r="G65" s="90"/>
      <c r="H65" s="90"/>
      <c r="I65" s="127"/>
      <c r="J65" s="90"/>
      <c r="K65" s="126"/>
    </row>
    <row r="66" spans="1:11" ht="12.75">
      <c r="A66" s="2"/>
      <c r="B66" s="90"/>
      <c r="C66" s="90"/>
      <c r="D66" s="90"/>
      <c r="E66" s="90"/>
      <c r="F66" s="90"/>
      <c r="G66" s="90"/>
      <c r="H66" s="128"/>
      <c r="I66" s="128"/>
      <c r="J66" s="90"/>
      <c r="K66" s="126"/>
    </row>
    <row r="67" spans="1:11" ht="12.75">
      <c r="A67" s="2"/>
      <c r="B67" s="90"/>
      <c r="C67" s="90"/>
      <c r="D67" s="90"/>
      <c r="E67" s="90"/>
      <c r="F67" s="90"/>
      <c r="G67" s="90"/>
      <c r="H67" s="128"/>
      <c r="I67" s="128"/>
      <c r="J67" s="90"/>
      <c r="K67" s="126"/>
    </row>
    <row r="68" spans="1:11" ht="12.75">
      <c r="A68" s="124"/>
      <c r="B68" s="125"/>
      <c r="C68" s="125"/>
      <c r="D68" s="125"/>
      <c r="E68" s="125"/>
      <c r="F68" s="125"/>
      <c r="G68" s="125"/>
      <c r="H68" s="129"/>
      <c r="I68" s="122"/>
      <c r="J68" s="125"/>
      <c r="K68" s="123"/>
    </row>
    <row r="69" spans="1:11" ht="12.75">
      <c r="A69" s="124"/>
      <c r="B69" s="125"/>
      <c r="C69" s="125"/>
      <c r="D69" s="125"/>
      <c r="E69" s="125"/>
      <c r="F69" s="125"/>
      <c r="G69" s="125"/>
      <c r="H69" s="122"/>
      <c r="I69" s="122"/>
      <c r="J69" s="125"/>
      <c r="K69" s="123"/>
    </row>
    <row r="70" spans="1:11">
      <c r="A70" s="61"/>
      <c r="B70" s="61"/>
      <c r="C70" s="61"/>
      <c r="D70" s="61"/>
      <c r="E70" s="61"/>
      <c r="F70" s="61"/>
      <c r="G70" s="61"/>
      <c r="H70" s="61"/>
      <c r="I70" s="61"/>
      <c r="J70" s="61"/>
      <c r="K70" s="61"/>
    </row>
    <row r="71" spans="1:11">
      <c r="A71" s="61"/>
      <c r="B71" s="61"/>
      <c r="C71" s="61"/>
      <c r="D71" s="61"/>
      <c r="E71" s="61"/>
      <c r="F71" s="61"/>
      <c r="G71" s="61"/>
      <c r="H71" s="61"/>
      <c r="I71" s="61"/>
      <c r="J71" s="61"/>
      <c r="K71" s="61"/>
    </row>
    <row r="72" spans="1:11">
      <c r="A72" s="61"/>
      <c r="B72" s="61"/>
      <c r="C72" s="61"/>
      <c r="D72" s="61"/>
      <c r="E72" s="61"/>
      <c r="F72" s="61"/>
      <c r="G72" s="61"/>
      <c r="H72" s="61"/>
      <c r="I72" s="61"/>
      <c r="J72" s="61"/>
      <c r="K72" s="61"/>
    </row>
    <row r="73" spans="1:11">
      <c r="A73" s="61"/>
      <c r="B73" s="61"/>
      <c r="C73" s="61"/>
      <c r="D73" s="61"/>
      <c r="E73" s="61"/>
      <c r="F73" s="61"/>
      <c r="G73" s="61"/>
      <c r="H73" s="61"/>
      <c r="I73" s="61"/>
      <c r="J73" s="61"/>
      <c r="K73" s="61"/>
    </row>
    <row r="74" spans="1:11">
      <c r="A74" s="61"/>
      <c r="B74" s="61"/>
      <c r="C74" s="61"/>
      <c r="D74" s="61"/>
      <c r="E74" s="61"/>
      <c r="F74" s="61"/>
      <c r="G74" s="61"/>
      <c r="H74" s="61"/>
      <c r="I74" s="61"/>
      <c r="J74" s="61"/>
      <c r="K74" s="61"/>
    </row>
    <row r="75" spans="1:11">
      <c r="A75" s="61"/>
      <c r="B75" s="61"/>
      <c r="C75" s="61"/>
      <c r="D75" s="61"/>
      <c r="E75" s="61"/>
      <c r="F75" s="61"/>
      <c r="G75" s="61"/>
      <c r="H75" s="61"/>
      <c r="I75" s="61"/>
      <c r="J75" s="61"/>
      <c r="K75" s="61"/>
    </row>
    <row r="76" spans="1:11">
      <c r="A76" s="61"/>
      <c r="B76" s="61"/>
      <c r="C76" s="61"/>
      <c r="D76" s="61"/>
      <c r="E76" s="61"/>
      <c r="F76" s="61"/>
      <c r="G76" s="61"/>
      <c r="H76" s="61"/>
      <c r="I76" s="61"/>
      <c r="J76" s="61"/>
      <c r="K76" s="61"/>
    </row>
    <row r="77" spans="1:11">
      <c r="A77" s="61"/>
      <c r="B77" s="61"/>
      <c r="C77" s="61"/>
      <c r="D77" s="61"/>
      <c r="E77" s="61"/>
      <c r="F77" s="61"/>
      <c r="G77" s="61"/>
      <c r="H77" s="61"/>
      <c r="I77" s="61"/>
      <c r="J77" s="61"/>
      <c r="K77" s="61"/>
    </row>
    <row r="78" spans="1:11">
      <c r="A78" s="61"/>
      <c r="B78" s="61"/>
      <c r="C78" s="61"/>
      <c r="D78" s="61"/>
      <c r="E78" s="61"/>
      <c r="F78" s="61"/>
      <c r="G78" s="61"/>
      <c r="H78" s="61"/>
      <c r="I78" s="61"/>
      <c r="J78" s="61"/>
      <c r="K78" s="61"/>
    </row>
    <row r="79" spans="1:11">
      <c r="A79" s="61"/>
      <c r="B79" s="61"/>
      <c r="C79" s="61"/>
      <c r="D79" s="61"/>
      <c r="E79" s="61"/>
      <c r="F79" s="61"/>
      <c r="G79" s="61"/>
      <c r="H79" s="61"/>
      <c r="I79" s="61"/>
      <c r="J79" s="61"/>
      <c r="K79" s="61"/>
    </row>
    <row r="80" spans="1:11">
      <c r="A80" s="61"/>
      <c r="B80" s="61"/>
      <c r="C80" s="61"/>
      <c r="D80" s="61"/>
      <c r="E80" s="61"/>
      <c r="F80" s="61"/>
      <c r="G80" s="61"/>
      <c r="H80" s="61"/>
      <c r="I80" s="61"/>
      <c r="J80" s="61"/>
      <c r="K80" s="61"/>
    </row>
    <row r="81" spans="1:11">
      <c r="A81" s="61"/>
      <c r="B81" s="61"/>
      <c r="C81" s="61"/>
      <c r="D81" s="61"/>
      <c r="E81" s="61"/>
      <c r="F81" s="61"/>
      <c r="G81" s="61"/>
      <c r="H81" s="61"/>
      <c r="I81" s="61"/>
      <c r="J81" s="61"/>
      <c r="K81" s="61"/>
    </row>
    <row r="82" spans="1:11">
      <c r="A82" s="61"/>
      <c r="B82" s="61"/>
      <c r="C82" s="61"/>
      <c r="D82" s="61"/>
      <c r="E82" s="61"/>
      <c r="F82" s="61"/>
      <c r="G82" s="61"/>
      <c r="H82" s="61"/>
      <c r="I82" s="61"/>
      <c r="J82" s="61"/>
      <c r="K82" s="61"/>
    </row>
    <row r="83" spans="1:11">
      <c r="A83" s="61"/>
      <c r="B83" s="61"/>
      <c r="C83" s="61"/>
      <c r="D83" s="61"/>
      <c r="E83" s="61"/>
      <c r="F83" s="61"/>
      <c r="G83" s="61"/>
      <c r="H83" s="61"/>
      <c r="I83" s="61"/>
      <c r="J83" s="61"/>
      <c r="K83" s="61"/>
    </row>
    <row r="84" spans="1:11">
      <c r="A84" s="61"/>
      <c r="B84" s="61"/>
      <c r="C84" s="61"/>
      <c r="D84" s="61"/>
      <c r="E84" s="61"/>
      <c r="F84" s="61"/>
      <c r="G84" s="61"/>
      <c r="H84" s="61"/>
      <c r="I84" s="61"/>
      <c r="J84" s="61"/>
      <c r="K84" s="61"/>
    </row>
    <row r="85" spans="1:11">
      <c r="A85" s="61"/>
      <c r="B85" s="61"/>
      <c r="C85" s="61"/>
      <c r="D85" s="61"/>
      <c r="E85" s="61"/>
      <c r="F85" s="61"/>
      <c r="G85" s="61"/>
      <c r="H85" s="61"/>
      <c r="I85" s="61"/>
      <c r="J85" s="61"/>
      <c r="K85" s="61"/>
    </row>
    <row r="86" spans="1:11">
      <c r="A86" s="61"/>
      <c r="B86" s="61"/>
      <c r="C86" s="61"/>
      <c r="D86" s="61"/>
      <c r="E86" s="61"/>
      <c r="F86" s="61"/>
      <c r="G86" s="61"/>
      <c r="H86" s="61"/>
      <c r="I86" s="61"/>
      <c r="J86" s="61"/>
      <c r="K86" s="61"/>
    </row>
    <row r="87" spans="1:11">
      <c r="A87" s="61"/>
      <c r="B87" s="61"/>
      <c r="C87" s="61"/>
      <c r="D87" s="61"/>
      <c r="E87" s="61"/>
      <c r="F87" s="61"/>
      <c r="G87" s="61"/>
      <c r="H87" s="61"/>
      <c r="I87" s="61"/>
      <c r="J87" s="61"/>
      <c r="K87" s="61"/>
    </row>
  </sheetData>
  <mergeCells count="9">
    <mergeCell ref="B42:D42"/>
    <mergeCell ref="G42:I42"/>
    <mergeCell ref="J42:K42"/>
    <mergeCell ref="A6:A7"/>
    <mergeCell ref="A2:K2"/>
    <mergeCell ref="A4:K4"/>
    <mergeCell ref="B6:D6"/>
    <mergeCell ref="E6:F6"/>
    <mergeCell ref="G6:K6"/>
  </mergeCells>
  <pageMargins left="0.7" right="0.5803571428571429" top="0.86956521739130432" bottom="0.61458333333333337" header="0.3" footer="0.3"/>
  <pageSetup scale="94" orientation="portrait" r:id="rId1"/>
  <headerFooter>
    <oddHeader>&amp;R&amp;7Informe de la Operación Mensual - Abril 2018
INFSGI-MES-04-2018
10/05/2018
Versión: 01</oddHeader>
    <oddFooter>&amp;L&amp;7COES SINAC, 2018
&amp;C3&amp;R&amp;7Dirección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B9F81-AF40-4915-B597-6F2B545F3600}">
  <sheetPr>
    <tabColor theme="4"/>
  </sheetPr>
  <dimension ref="A1:L63"/>
  <sheetViews>
    <sheetView showGridLines="0" view="pageBreakPreview" zoomScale="130" zoomScaleNormal="100" zoomScaleSheetLayoutView="130" zoomScalePageLayoutView="145" workbookViewId="0">
      <selection activeCell="P17" sqref="P17"/>
    </sheetView>
  </sheetViews>
  <sheetFormatPr defaultRowHeight="11.25"/>
  <cols>
    <col min="1" max="1" width="16.1640625" style="3" customWidth="1"/>
    <col min="2" max="6" width="9.5" style="3" bestFit="1" customWidth="1"/>
    <col min="7" max="8" width="10.5" style="3" bestFit="1" customWidth="1"/>
    <col min="9" max="9" width="9.5" style="3" bestFit="1" customWidth="1"/>
    <col min="10" max="10" width="10.5" style="3" bestFit="1" customWidth="1"/>
    <col min="11" max="11" width="9.33203125" style="3" customWidth="1"/>
    <col min="12" max="16384" width="9.33203125" style="3"/>
  </cols>
  <sheetData>
    <row r="1" spans="1:12" ht="11.25" customHeight="1"/>
    <row r="2" spans="1:12" ht="11.25" customHeight="1">
      <c r="A2" s="890" t="str">
        <f>+"3.2. PRODUCCIÓN POR TIPO DE RECURSO ENERGÉTICO (GWh)"</f>
        <v>3.2. PRODUCCIÓN POR TIPO DE RECURSO ENERGÉTICO (GWh)</v>
      </c>
      <c r="B2" s="890"/>
      <c r="C2" s="890"/>
      <c r="D2" s="890"/>
      <c r="E2" s="890"/>
      <c r="F2" s="890"/>
      <c r="G2" s="890"/>
      <c r="H2" s="890"/>
      <c r="I2" s="890"/>
      <c r="J2" s="890"/>
      <c r="K2" s="890"/>
    </row>
    <row r="3" spans="1:12" ht="18.75" customHeight="1">
      <c r="A3" s="147"/>
      <c r="B3" s="148"/>
      <c r="C3" s="149"/>
      <c r="D3" s="150"/>
      <c r="E3" s="150"/>
      <c r="F3" s="150"/>
      <c r="G3" s="151"/>
      <c r="H3" s="151"/>
      <c r="I3" s="151"/>
      <c r="J3" s="147"/>
      <c r="K3" s="147"/>
      <c r="L3" s="45"/>
    </row>
    <row r="4" spans="1:12" ht="14.25" customHeight="1">
      <c r="A4" s="894" t="s">
        <v>45</v>
      </c>
      <c r="B4" s="891" t="s">
        <v>33</v>
      </c>
      <c r="C4" s="892"/>
      <c r="D4" s="892"/>
      <c r="E4" s="892" t="s">
        <v>34</v>
      </c>
      <c r="F4" s="892"/>
      <c r="G4" s="893" t="str">
        <f>+'3. Tipo Generación'!G6:K6</f>
        <v>Generación Acumulada a abril</v>
      </c>
      <c r="H4" s="893"/>
      <c r="I4" s="893"/>
      <c r="J4" s="893"/>
      <c r="K4" s="893"/>
      <c r="L4" s="152"/>
    </row>
    <row r="5" spans="1:12" ht="26.25" customHeight="1">
      <c r="A5" s="894"/>
      <c r="B5" s="365">
        <f>+'3. Tipo Generación'!B7</f>
        <v>43133</v>
      </c>
      <c r="C5" s="365">
        <f>+'3. Tipo Generación'!C7</f>
        <v>43163</v>
      </c>
      <c r="D5" s="365">
        <f>+'3. Tipo Generación'!D7</f>
        <v>43191</v>
      </c>
      <c r="E5" s="365">
        <f>+'3. Tipo Generación'!E7</f>
        <v>42826</v>
      </c>
      <c r="F5" s="366" t="s">
        <v>35</v>
      </c>
      <c r="G5" s="367">
        <v>2018</v>
      </c>
      <c r="H5" s="367">
        <v>2017</v>
      </c>
      <c r="I5" s="366" t="s">
        <v>43</v>
      </c>
      <c r="J5" s="367">
        <v>2016</v>
      </c>
      <c r="K5" s="366" t="s">
        <v>36</v>
      </c>
      <c r="L5" s="26"/>
    </row>
    <row r="6" spans="1:12" ht="11.25" customHeight="1">
      <c r="A6" s="165" t="s">
        <v>46</v>
      </c>
      <c r="B6" s="552">
        <v>2764.6728744499997</v>
      </c>
      <c r="C6" s="553">
        <v>2865.1492965074999</v>
      </c>
      <c r="D6" s="554">
        <v>3012.519140195001</v>
      </c>
      <c r="E6" s="552">
        <v>2575.6931020716493</v>
      </c>
      <c r="F6" s="374">
        <f>IF(E6=0,"",D6/E6-1)</f>
        <v>0.16959553052807785</v>
      </c>
      <c r="G6" s="552">
        <v>11581.518735680003</v>
      </c>
      <c r="H6" s="553">
        <v>10536.143794434773</v>
      </c>
      <c r="I6" s="374">
        <f t="shared" ref="I6:I16" si="0">IF(H6=0,"",G6/H6-1)</f>
        <v>9.9217983509052088E-2</v>
      </c>
      <c r="J6" s="552">
        <v>8962.0429033021555</v>
      </c>
      <c r="K6" s="374">
        <f>IF(J6=0,"",H6/J6-1)</f>
        <v>0.17564085645613492</v>
      </c>
      <c r="L6" s="31"/>
    </row>
    <row r="7" spans="1:12" ht="11.25" customHeight="1">
      <c r="A7" s="166" t="s">
        <v>52</v>
      </c>
      <c r="B7" s="555">
        <v>884.20280764999995</v>
      </c>
      <c r="C7" s="361">
        <v>1213.9535788149999</v>
      </c>
      <c r="D7" s="556">
        <v>967.57862643499971</v>
      </c>
      <c r="E7" s="555">
        <v>1171.903056874175</v>
      </c>
      <c r="F7" s="375">
        <f t="shared" ref="F7:F19" si="1">IF(E7=0,"",D7/E7-1)</f>
        <v>-0.17435267297976953</v>
      </c>
      <c r="G7" s="555">
        <v>4169.0572944799997</v>
      </c>
      <c r="H7" s="361">
        <v>4698.4218529375721</v>
      </c>
      <c r="I7" s="375">
        <f t="shared" si="0"/>
        <v>-0.11266858852331452</v>
      </c>
      <c r="J7" s="555">
        <v>5668.5841577201463</v>
      </c>
      <c r="K7" s="375">
        <f t="shared" ref="K7:K19" si="2">IF(J7=0,"",H7/J7-1)</f>
        <v>-0.17114719968676706</v>
      </c>
      <c r="L7" s="34"/>
    </row>
    <row r="8" spans="1:12" ht="11.25" customHeight="1">
      <c r="A8" s="167" t="s">
        <v>53</v>
      </c>
      <c r="B8" s="557">
        <v>40.139846787499998</v>
      </c>
      <c r="C8" s="362">
        <v>30.632152895000001</v>
      </c>
      <c r="D8" s="558">
        <v>25.3122974875</v>
      </c>
      <c r="E8" s="557">
        <v>26.533139539136002</v>
      </c>
      <c r="F8" s="852">
        <f t="shared" si="1"/>
        <v>-4.601197117420941E-2</v>
      </c>
      <c r="G8" s="557">
        <v>140.7378975025</v>
      </c>
      <c r="H8" s="362">
        <v>110.55066682507886</v>
      </c>
      <c r="I8" s="852">
        <f t="shared" si="0"/>
        <v>0.27306240246551861</v>
      </c>
      <c r="J8" s="557">
        <v>176.03823185415149</v>
      </c>
      <c r="K8" s="852">
        <f t="shared" si="2"/>
        <v>-0.37200762777104801</v>
      </c>
      <c r="L8" s="29"/>
    </row>
    <row r="9" spans="1:12" ht="11.25" customHeight="1">
      <c r="A9" s="166" t="s">
        <v>54</v>
      </c>
      <c r="B9" s="555">
        <v>47.557086605000002</v>
      </c>
      <c r="C9" s="361">
        <v>8.6827966275000001</v>
      </c>
      <c r="D9" s="556">
        <v>3.0498491149999998</v>
      </c>
      <c r="E9" s="555">
        <v>3.1329999999999999E-10</v>
      </c>
      <c r="F9" s="375"/>
      <c r="G9" s="555">
        <v>68.648614340000009</v>
      </c>
      <c r="H9" s="361">
        <v>39.824347569949701</v>
      </c>
      <c r="I9" s="375">
        <f t="shared" si="0"/>
        <v>0.72378503425377549</v>
      </c>
      <c r="J9" s="555">
        <v>183.2424221698117</v>
      </c>
      <c r="K9" s="375">
        <f t="shared" si="2"/>
        <v>-0.78266851584703312</v>
      </c>
      <c r="L9" s="29"/>
    </row>
    <row r="10" spans="1:12" ht="11.25" customHeight="1">
      <c r="A10" s="167" t="s">
        <v>55</v>
      </c>
      <c r="B10" s="557">
        <v>0</v>
      </c>
      <c r="C10" s="362">
        <v>0</v>
      </c>
      <c r="D10" s="558">
        <v>0</v>
      </c>
      <c r="E10" s="557">
        <v>0</v>
      </c>
      <c r="F10" s="852" t="str">
        <f t="shared" si="1"/>
        <v/>
      </c>
      <c r="G10" s="557">
        <v>0</v>
      </c>
      <c r="H10" s="362">
        <v>9.7034091828799998</v>
      </c>
      <c r="I10" s="852">
        <f t="shared" si="0"/>
        <v>-1</v>
      </c>
      <c r="J10" s="557">
        <v>38.626413283296998</v>
      </c>
      <c r="K10" s="852">
        <f t="shared" si="2"/>
        <v>-0.74878824208418049</v>
      </c>
      <c r="L10" s="29"/>
    </row>
    <row r="11" spans="1:12" ht="11.25" customHeight="1">
      <c r="A11" s="166" t="s">
        <v>26</v>
      </c>
      <c r="B11" s="555">
        <v>20.235010845000001</v>
      </c>
      <c r="C11" s="361">
        <v>0</v>
      </c>
      <c r="D11" s="556">
        <v>6.6665021175000003</v>
      </c>
      <c r="E11" s="555">
        <v>61.619238063476601</v>
      </c>
      <c r="F11" s="375">
        <f t="shared" si="1"/>
        <v>-0.89181135101617859</v>
      </c>
      <c r="G11" s="555">
        <v>26.9015129625</v>
      </c>
      <c r="H11" s="361">
        <v>288.80095781103535</v>
      </c>
      <c r="I11" s="375">
        <f t="shared" si="0"/>
        <v>-0.90685102581930543</v>
      </c>
      <c r="J11" s="555">
        <v>185.93132008020342</v>
      </c>
      <c r="K11" s="375">
        <f t="shared" si="2"/>
        <v>0.55326686050772955</v>
      </c>
      <c r="L11" s="31"/>
    </row>
    <row r="12" spans="1:12" ht="11.25" customHeight="1">
      <c r="A12" s="167" t="s">
        <v>47</v>
      </c>
      <c r="B12" s="557">
        <v>1.6140355500000003</v>
      </c>
      <c r="C12" s="362">
        <v>5.4108980000000001E-2</v>
      </c>
      <c r="D12" s="558">
        <v>0</v>
      </c>
      <c r="E12" s="557">
        <v>0.90456653404999998</v>
      </c>
      <c r="F12" s="852">
        <f t="shared" si="1"/>
        <v>-1</v>
      </c>
      <c r="G12" s="557">
        <v>1.7503584000000003</v>
      </c>
      <c r="H12" s="362">
        <v>25.076355260901373</v>
      </c>
      <c r="I12" s="852">
        <f t="shared" si="0"/>
        <v>-0.93019885139651337</v>
      </c>
      <c r="J12" s="557">
        <v>69.849281453532029</v>
      </c>
      <c r="K12" s="852">
        <f t="shared" si="2"/>
        <v>-0.64099336830567566</v>
      </c>
      <c r="L12" s="34"/>
    </row>
    <row r="13" spans="1:12" ht="11.25" customHeight="1">
      <c r="A13" s="166" t="s">
        <v>48</v>
      </c>
      <c r="B13" s="555">
        <v>1.2727732775</v>
      </c>
      <c r="C13" s="361">
        <v>0.12130072</v>
      </c>
      <c r="D13" s="556">
        <v>1.0751157500000002E-2</v>
      </c>
      <c r="E13" s="555">
        <v>0</v>
      </c>
      <c r="F13" s="375" t="str">
        <f>IF(E13=0,"",D13/E13-1)</f>
        <v/>
      </c>
      <c r="G13" s="555">
        <v>1.4048251549999999</v>
      </c>
      <c r="H13" s="361">
        <v>0.24963529262500003</v>
      </c>
      <c r="I13" s="375">
        <f t="shared" si="0"/>
        <v>4.6275101978882294</v>
      </c>
      <c r="J13" s="555">
        <v>2.6171268147903697</v>
      </c>
      <c r="K13" s="375">
        <f t="shared" si="2"/>
        <v>-0.90461475110253853</v>
      </c>
      <c r="L13" s="29"/>
    </row>
    <row r="14" spans="1:12" ht="11.25" customHeight="1">
      <c r="A14" s="167" t="s">
        <v>49</v>
      </c>
      <c r="B14" s="557">
        <v>40.702907707500003</v>
      </c>
      <c r="C14" s="362">
        <v>1.2248342974999999</v>
      </c>
      <c r="D14" s="558">
        <v>8.2326439750000002</v>
      </c>
      <c r="E14" s="557">
        <v>7.8534421608289993</v>
      </c>
      <c r="F14" s="852">
        <f t="shared" si="1"/>
        <v>4.82847911024753E-2</v>
      </c>
      <c r="G14" s="557">
        <v>51.003866864999999</v>
      </c>
      <c r="H14" s="362">
        <v>152.84164441280222</v>
      </c>
      <c r="I14" s="852">
        <f t="shared" si="0"/>
        <v>-0.66629600812690648</v>
      </c>
      <c r="J14" s="557">
        <v>257.14151530042193</v>
      </c>
      <c r="K14" s="852">
        <f t="shared" si="2"/>
        <v>-0.40561272560661688</v>
      </c>
      <c r="L14" s="29"/>
    </row>
    <row r="15" spans="1:12" ht="11.25" customHeight="1">
      <c r="A15" s="166" t="s">
        <v>50</v>
      </c>
      <c r="B15" s="555">
        <v>6.6318301625</v>
      </c>
      <c r="C15" s="361">
        <v>7.0476076300000008</v>
      </c>
      <c r="D15" s="556">
        <v>7.4688760849999998</v>
      </c>
      <c r="E15" s="555">
        <v>4.3071128636017502</v>
      </c>
      <c r="F15" s="375">
        <f t="shared" si="1"/>
        <v>0.73407949165146302</v>
      </c>
      <c r="G15" s="555">
        <v>27.996226652499999</v>
      </c>
      <c r="H15" s="361">
        <v>22.38056678912675</v>
      </c>
      <c r="I15" s="375">
        <f>IF(H15=0,"",G15/H15-1)</f>
        <v>0.25091678491813396</v>
      </c>
      <c r="J15" s="555">
        <v>30.277862485473399</v>
      </c>
      <c r="K15" s="375">
        <f t="shared" si="2"/>
        <v>-0.26082738502876768</v>
      </c>
      <c r="L15" s="29"/>
    </row>
    <row r="16" spans="1:12" ht="11.25" customHeight="1">
      <c r="A16" s="167" t="s">
        <v>51</v>
      </c>
      <c r="B16" s="557">
        <v>3.8624617800000003</v>
      </c>
      <c r="C16" s="362">
        <v>4.9983775250000004</v>
      </c>
      <c r="D16" s="558">
        <v>3.8766369750000003</v>
      </c>
      <c r="E16" s="557">
        <v>2.8657664250000003</v>
      </c>
      <c r="F16" s="852">
        <f t="shared" si="1"/>
        <v>0.35274003532929243</v>
      </c>
      <c r="G16" s="557">
        <v>16.666580255</v>
      </c>
      <c r="H16" s="362">
        <v>12.497919335175999</v>
      </c>
      <c r="I16" s="852">
        <f t="shared" si="0"/>
        <v>0.33354839377872314</v>
      </c>
      <c r="J16" s="557">
        <v>17.5553225319</v>
      </c>
      <c r="K16" s="852">
        <f t="shared" si="2"/>
        <v>-0.28808375280682708</v>
      </c>
      <c r="L16" s="29"/>
    </row>
    <row r="17" spans="1:12" ht="11.25" customHeight="1">
      <c r="A17" s="166" t="s">
        <v>30</v>
      </c>
      <c r="B17" s="555">
        <v>46.187362507500005</v>
      </c>
      <c r="C17" s="361">
        <v>62.167818492499997</v>
      </c>
      <c r="D17" s="556">
        <v>58.171585880000009</v>
      </c>
      <c r="E17" s="555">
        <v>19.088536792355001</v>
      </c>
      <c r="F17" s="375">
        <f t="shared" si="1"/>
        <v>2.0474617574301375</v>
      </c>
      <c r="G17" s="555">
        <v>226.18564572999998</v>
      </c>
      <c r="H17" s="361">
        <v>73.438169575798</v>
      </c>
      <c r="I17" s="375">
        <f>IF(H17=0,"",G17/H17-1)</f>
        <v>2.0799466685583194</v>
      </c>
      <c r="J17" s="555">
        <v>80.191739290249899</v>
      </c>
      <c r="K17" s="375">
        <f t="shared" si="2"/>
        <v>-8.4217773229829818E-2</v>
      </c>
      <c r="L17" s="29"/>
    </row>
    <row r="18" spans="1:12" ht="11.25" customHeight="1">
      <c r="A18" s="167" t="s">
        <v>29</v>
      </c>
      <c r="B18" s="557">
        <v>62.462496864999999</v>
      </c>
      <c r="C18" s="362">
        <v>121.84239174000001</v>
      </c>
      <c r="D18" s="558">
        <v>115.011208025</v>
      </c>
      <c r="E18" s="557">
        <v>92.967202730385409</v>
      </c>
      <c r="F18" s="852">
        <f t="shared" si="1"/>
        <v>0.23711593602041048</v>
      </c>
      <c r="G18" s="557">
        <v>386.68910400999999</v>
      </c>
      <c r="H18" s="362">
        <v>281.94971662937439</v>
      </c>
      <c r="I18" s="852">
        <f>IF(H18=0,"",G18/H18-1)</f>
        <v>0.37148250628783752</v>
      </c>
      <c r="J18" s="557">
        <v>257.89580191838758</v>
      </c>
      <c r="K18" s="852">
        <f t="shared" si="2"/>
        <v>9.3269896338207259E-2</v>
      </c>
      <c r="L18" s="29"/>
    </row>
    <row r="19" spans="1:12" ht="11.25" customHeight="1">
      <c r="A19" s="173" t="s">
        <v>44</v>
      </c>
      <c r="B19" s="559">
        <f>SUM(B6:B18)</f>
        <v>3919.5414941875006</v>
      </c>
      <c r="C19" s="560">
        <f>SUM(C6:C18)</f>
        <v>4315.8742642300003</v>
      </c>
      <c r="D19" s="561">
        <f>SUM(D6:D18)</f>
        <v>4207.8981174475002</v>
      </c>
      <c r="E19" s="559">
        <f>SUM(E6:E18)</f>
        <v>3963.7351640549714</v>
      </c>
      <c r="F19" s="853">
        <f t="shared" si="1"/>
        <v>6.1599209656264087E-2</v>
      </c>
      <c r="G19" s="559">
        <f>SUM(G6:G18)</f>
        <v>16698.560662032502</v>
      </c>
      <c r="H19" s="560">
        <f>SUM(H6:H18)</f>
        <v>16251.879036057089</v>
      </c>
      <c r="I19" s="853">
        <f>IF(H19=0,"",G19/H19-1)</f>
        <v>2.7484921896377967E-2</v>
      </c>
      <c r="J19" s="559">
        <f>SUM(J6:J18)</f>
        <v>15929.994098204517</v>
      </c>
      <c r="K19" s="853">
        <f t="shared" si="2"/>
        <v>2.0206218274045229E-2</v>
      </c>
      <c r="L19" s="39"/>
    </row>
    <row r="20" spans="1:12" ht="11.25" customHeight="1">
      <c r="A20" s="29"/>
      <c r="B20" s="29"/>
      <c r="C20" s="29"/>
      <c r="D20" s="29"/>
      <c r="E20" s="29"/>
      <c r="F20" s="29"/>
      <c r="G20" s="29"/>
      <c r="H20" s="29"/>
      <c r="I20" s="29"/>
      <c r="J20" s="29"/>
      <c r="K20" s="29"/>
      <c r="L20" s="29"/>
    </row>
    <row r="21" spans="1:12" ht="11.25" customHeight="1">
      <c r="A21" s="169" t="s">
        <v>40</v>
      </c>
      <c r="B21" s="347">
        <v>2.1206869999999993</v>
      </c>
      <c r="C21" s="348">
        <v>0</v>
      </c>
      <c r="D21" s="651">
        <v>0</v>
      </c>
      <c r="E21" s="347">
        <v>2.2991390000000003</v>
      </c>
      <c r="F21" s="141">
        <f>IF(E21=0,"",D21/E21-1)</f>
        <v>-1</v>
      </c>
      <c r="G21" s="347">
        <v>2.1206869999999993</v>
      </c>
      <c r="H21" s="650">
        <v>12.953248</v>
      </c>
      <c r="I21" s="144">
        <f>IF(H21=0,"",G21/H21-1)</f>
        <v>-0.83628144848303687</v>
      </c>
      <c r="J21" s="347">
        <v>0</v>
      </c>
      <c r="K21" s="141" t="str">
        <f>IF(J21=0,"",H21/J21-1)</f>
        <v/>
      </c>
      <c r="L21" s="29"/>
    </row>
    <row r="22" spans="1:12" ht="11.25" customHeight="1">
      <c r="A22" s="170" t="s">
        <v>41</v>
      </c>
      <c r="B22" s="344">
        <v>0</v>
      </c>
      <c r="C22" s="345">
        <v>0</v>
      </c>
      <c r="D22" s="346">
        <v>0</v>
      </c>
      <c r="E22" s="344">
        <v>0</v>
      </c>
      <c r="F22" s="142" t="str">
        <f>IF(E22=0,"",D22/E22-1)</f>
        <v/>
      </c>
      <c r="G22" s="344">
        <v>0</v>
      </c>
      <c r="H22" s="345">
        <v>0</v>
      </c>
      <c r="I22" s="136" t="str">
        <f>IF(H22=0,"",G22/H22-1)</f>
        <v/>
      </c>
      <c r="J22" s="344">
        <v>37.352100999999998</v>
      </c>
      <c r="K22" s="142">
        <f>IF(J22=0,"",H22/J22-1)</f>
        <v>-1</v>
      </c>
      <c r="L22" s="29"/>
    </row>
    <row r="23" spans="1:12" ht="23.25" customHeight="1">
      <c r="A23" s="171" t="s">
        <v>42</v>
      </c>
      <c r="B23" s="357">
        <f>+B22-B21</f>
        <v>-2.1206869999999993</v>
      </c>
      <c r="C23" s="357">
        <f>+C22-C21</f>
        <v>0</v>
      </c>
      <c r="D23" s="357">
        <f>+D22-D21</f>
        <v>0</v>
      </c>
      <c r="E23" s="357">
        <f>+E22-E21</f>
        <v>-2.2991390000000003</v>
      </c>
      <c r="F23" s="143"/>
      <c r="G23" s="357">
        <f>+G22-G21</f>
        <v>-2.1206869999999993</v>
      </c>
      <c r="H23" s="358">
        <f>+H22-H21</f>
        <v>-12.953248</v>
      </c>
      <c r="I23" s="145"/>
      <c r="J23" s="357">
        <f>+J22-J21</f>
        <v>37.352100999999998</v>
      </c>
      <c r="K23" s="143"/>
      <c r="L23" s="39"/>
    </row>
    <row r="24" spans="1:12" ht="11.25" customHeight="1">
      <c r="A24" s="342" t="s">
        <v>260</v>
      </c>
      <c r="B24" s="154"/>
      <c r="C24" s="154"/>
      <c r="D24" s="154"/>
      <c r="E24" s="154"/>
      <c r="F24" s="154"/>
      <c r="G24" s="154"/>
      <c r="H24" s="155"/>
      <c r="I24" s="155"/>
      <c r="J24" s="154"/>
      <c r="K24" s="156"/>
      <c r="L24" s="29"/>
    </row>
    <row r="25" spans="1:12" ht="11.25" customHeight="1">
      <c r="A25" s="157"/>
      <c r="B25" s="154"/>
      <c r="C25" s="154"/>
      <c r="D25" s="154"/>
      <c r="E25" s="154"/>
      <c r="F25" s="154"/>
      <c r="G25" s="154"/>
      <c r="H25" s="155"/>
      <c r="I25" s="155"/>
      <c r="J25" s="154"/>
      <c r="K25" s="156"/>
      <c r="L25" s="29"/>
    </row>
    <row r="26" spans="1:12" ht="11.25" customHeight="1">
      <c r="A26" s="158"/>
      <c r="B26" s="158"/>
      <c r="C26" s="158"/>
      <c r="D26" s="158"/>
      <c r="E26" s="158"/>
      <c r="F26" s="158"/>
      <c r="G26" s="158"/>
      <c r="H26" s="158"/>
      <c r="I26" s="158"/>
      <c r="J26" s="158"/>
      <c r="K26" s="158"/>
      <c r="L26" s="29"/>
    </row>
    <row r="27" spans="1:12" ht="11.25" customHeight="1">
      <c r="A27" s="157"/>
      <c r="B27" s="159"/>
      <c r="C27" s="159"/>
      <c r="D27" s="159"/>
      <c r="E27" s="159"/>
      <c r="F27" s="159"/>
      <c r="G27" s="159"/>
      <c r="H27" s="159"/>
      <c r="I27" s="159"/>
      <c r="J27" s="159"/>
      <c r="K27" s="159"/>
      <c r="L27" s="29"/>
    </row>
    <row r="28" spans="1:12" ht="11.25" customHeight="1">
      <c r="A28" s="157"/>
      <c r="B28" s="159"/>
      <c r="C28" s="159"/>
      <c r="D28" s="159"/>
      <c r="E28" s="159"/>
      <c r="F28" s="159"/>
      <c r="G28" s="159"/>
      <c r="H28" s="159"/>
      <c r="I28" s="159"/>
      <c r="J28" s="159"/>
      <c r="K28" s="159"/>
      <c r="L28" s="29"/>
    </row>
    <row r="29" spans="1:12" ht="11.25" customHeight="1">
      <c r="A29" s="157"/>
      <c r="B29" s="159"/>
      <c r="C29" s="159"/>
      <c r="D29" s="159"/>
      <c r="E29" s="159"/>
      <c r="F29" s="159"/>
      <c r="G29" s="159"/>
      <c r="H29" s="159"/>
      <c r="I29" s="159"/>
      <c r="J29" s="159"/>
      <c r="K29" s="159"/>
      <c r="L29" s="29"/>
    </row>
    <row r="30" spans="1:12" ht="11.25" customHeight="1">
      <c r="A30" s="157"/>
      <c r="B30" s="159"/>
      <c r="C30" s="159"/>
      <c r="D30" s="159"/>
      <c r="E30" s="159"/>
      <c r="F30" s="159"/>
      <c r="G30" s="159"/>
      <c r="H30" s="159"/>
      <c r="I30" s="159"/>
      <c r="J30" s="159"/>
      <c r="K30" s="159"/>
      <c r="L30" s="29"/>
    </row>
    <row r="31" spans="1:12" ht="11.25" customHeight="1">
      <c r="A31" s="157"/>
      <c r="B31" s="159"/>
      <c r="C31" s="159"/>
      <c r="D31" s="159"/>
      <c r="E31" s="159"/>
      <c r="F31" s="159"/>
      <c r="G31" s="159"/>
      <c r="H31" s="159"/>
      <c r="I31" s="159"/>
      <c r="J31" s="159"/>
      <c r="K31" s="159"/>
      <c r="L31" s="29"/>
    </row>
    <row r="32" spans="1:12" ht="11.25" customHeight="1">
      <c r="A32" s="157"/>
      <c r="B32" s="159"/>
      <c r="C32" s="159"/>
      <c r="D32" s="159"/>
      <c r="E32" s="159"/>
      <c r="F32" s="159"/>
      <c r="G32" s="159"/>
      <c r="H32" s="159"/>
      <c r="I32" s="159"/>
      <c r="J32" s="159"/>
      <c r="K32" s="159"/>
      <c r="L32" s="29"/>
    </row>
    <row r="33" spans="1:12" ht="11.25" customHeight="1">
      <c r="A33" s="157"/>
      <c r="B33" s="159"/>
      <c r="C33" s="159"/>
      <c r="D33" s="159"/>
      <c r="E33" s="159"/>
      <c r="F33" s="159"/>
      <c r="G33" s="159"/>
      <c r="H33" s="159"/>
      <c r="I33" s="159"/>
      <c r="J33" s="159"/>
      <c r="K33" s="159"/>
      <c r="L33" s="29"/>
    </row>
    <row r="34" spans="1:12" ht="11.25" customHeight="1">
      <c r="A34" s="157"/>
      <c r="B34" s="159"/>
      <c r="C34" s="159"/>
      <c r="D34" s="159"/>
      <c r="E34" s="159"/>
      <c r="F34" s="159"/>
      <c r="G34" s="159"/>
      <c r="H34" s="159"/>
      <c r="I34" s="159"/>
      <c r="J34" s="159"/>
      <c r="K34" s="159"/>
      <c r="L34" s="29"/>
    </row>
    <row r="35" spans="1:12" ht="11.25" customHeight="1">
      <c r="A35" s="157"/>
      <c r="B35" s="159"/>
      <c r="C35" s="159"/>
      <c r="D35" s="159"/>
      <c r="E35" s="159"/>
      <c r="F35" s="159"/>
      <c r="G35" s="159"/>
      <c r="H35" s="159"/>
      <c r="I35" s="159"/>
      <c r="J35" s="159"/>
      <c r="K35" s="159"/>
      <c r="L35" s="29"/>
    </row>
    <row r="36" spans="1:12" ht="11.25" customHeight="1">
      <c r="A36" s="157"/>
      <c r="B36" s="159"/>
      <c r="C36" s="159"/>
      <c r="D36" s="159"/>
      <c r="E36" s="159"/>
      <c r="F36" s="159"/>
      <c r="G36" s="159"/>
      <c r="H36" s="159"/>
      <c r="I36" s="159"/>
      <c r="J36" s="159"/>
      <c r="K36" s="159"/>
      <c r="L36" s="29"/>
    </row>
    <row r="37" spans="1:12" ht="11.25" customHeight="1">
      <c r="A37" s="157"/>
      <c r="B37" s="159"/>
      <c r="C37" s="159"/>
      <c r="D37" s="159"/>
      <c r="E37" s="159"/>
      <c r="F37" s="159"/>
      <c r="G37" s="159"/>
      <c r="H37" s="159"/>
      <c r="I37" s="159"/>
      <c r="J37" s="159"/>
      <c r="K37" s="159"/>
      <c r="L37" s="29"/>
    </row>
    <row r="38" spans="1:12" ht="11.25" customHeight="1">
      <c r="A38" s="157"/>
      <c r="B38" s="159"/>
      <c r="C38" s="159"/>
      <c r="D38" s="159"/>
      <c r="E38" s="159"/>
      <c r="F38" s="159"/>
      <c r="G38" s="159"/>
      <c r="H38" s="159"/>
      <c r="I38" s="159"/>
      <c r="J38" s="159"/>
      <c r="K38" s="159"/>
      <c r="L38" s="29"/>
    </row>
    <row r="39" spans="1:12" ht="11.25" customHeight="1">
      <c r="A39" s="157"/>
      <c r="B39" s="159"/>
      <c r="C39" s="159"/>
      <c r="D39" s="159"/>
      <c r="E39" s="159"/>
      <c r="F39" s="159"/>
      <c r="G39" s="159"/>
      <c r="H39" s="159"/>
      <c r="I39" s="159"/>
      <c r="J39" s="159"/>
      <c r="K39" s="159"/>
      <c r="L39" s="29"/>
    </row>
    <row r="40" spans="1:12" ht="11.25" customHeight="1">
      <c r="A40" s="157"/>
      <c r="B40" s="159"/>
      <c r="C40" s="159"/>
      <c r="D40" s="159"/>
      <c r="E40" s="159"/>
      <c r="F40" s="159"/>
      <c r="G40" s="159"/>
      <c r="H40" s="159"/>
      <c r="I40" s="159"/>
      <c r="J40" s="159"/>
      <c r="K40" s="159"/>
      <c r="L40" s="48"/>
    </row>
    <row r="41" spans="1:12" ht="11.25" customHeight="1">
      <c r="A41" s="157"/>
      <c r="B41" s="159"/>
      <c r="C41" s="159"/>
      <c r="D41" s="159"/>
      <c r="E41" s="159"/>
      <c r="F41" s="159"/>
      <c r="G41" s="159"/>
      <c r="H41" s="159"/>
      <c r="I41" s="159"/>
      <c r="J41" s="159"/>
      <c r="K41" s="159"/>
      <c r="L41" s="29"/>
    </row>
    <row r="42" spans="1:12" ht="11.25" customHeight="1">
      <c r="A42" s="157"/>
      <c r="B42" s="159"/>
      <c r="C42" s="159"/>
      <c r="D42" s="159"/>
      <c r="E42" s="159"/>
      <c r="F42" s="159"/>
      <c r="G42" s="159"/>
      <c r="H42" s="159"/>
      <c r="I42" s="159"/>
      <c r="J42" s="159"/>
      <c r="K42" s="159"/>
      <c r="L42" s="29"/>
    </row>
    <row r="43" spans="1:12" ht="11.25" customHeight="1">
      <c r="A43" s="157"/>
      <c r="B43" s="159"/>
      <c r="C43" s="159"/>
      <c r="D43" s="159"/>
      <c r="E43" s="159"/>
      <c r="F43" s="159"/>
      <c r="G43" s="159"/>
      <c r="H43" s="159"/>
      <c r="I43" s="159"/>
      <c r="J43" s="159"/>
      <c r="K43" s="159"/>
      <c r="L43" s="29"/>
    </row>
    <row r="44" spans="1:12" ht="11.25" customHeight="1">
      <c r="A44" s="157"/>
      <c r="B44" s="159"/>
      <c r="C44" s="159"/>
      <c r="D44" s="159"/>
      <c r="E44" s="159"/>
      <c r="F44" s="159"/>
      <c r="G44" s="159"/>
      <c r="H44" s="159"/>
      <c r="I44" s="159"/>
      <c r="J44" s="159"/>
      <c r="K44" s="159"/>
      <c r="L44" s="29"/>
    </row>
    <row r="45" spans="1:12" ht="11.25" customHeight="1">
      <c r="A45" s="157"/>
      <c r="B45" s="159"/>
      <c r="C45" s="159"/>
      <c r="D45" s="159"/>
      <c r="E45" s="159"/>
      <c r="F45" s="159"/>
      <c r="G45" s="159"/>
      <c r="H45" s="159"/>
      <c r="I45" s="159"/>
      <c r="J45" s="159"/>
      <c r="K45" s="159"/>
      <c r="L45" s="29"/>
    </row>
    <row r="46" spans="1:12" ht="11.25" customHeight="1">
      <c r="A46" s="157"/>
      <c r="B46" s="159"/>
      <c r="C46" s="159"/>
      <c r="D46" s="159"/>
      <c r="E46" s="159"/>
      <c r="F46" s="159"/>
      <c r="G46" s="159"/>
      <c r="H46" s="159"/>
      <c r="I46" s="159"/>
      <c r="J46" s="159"/>
      <c r="K46" s="159"/>
      <c r="L46" s="29"/>
    </row>
    <row r="47" spans="1:12" ht="11.25" customHeight="1">
      <c r="A47" s="157"/>
      <c r="B47" s="159"/>
      <c r="C47" s="159"/>
      <c r="D47" s="159"/>
      <c r="E47" s="159"/>
      <c r="F47" s="159"/>
      <c r="G47" s="159"/>
      <c r="H47" s="159"/>
      <c r="I47" s="159"/>
      <c r="J47" s="159"/>
      <c r="K47" s="159"/>
      <c r="L47" s="160"/>
    </row>
    <row r="48" spans="1:12" ht="11.25" customHeight="1">
      <c r="A48" s="157"/>
      <c r="B48" s="159"/>
      <c r="C48" s="159"/>
      <c r="D48" s="159"/>
      <c r="E48" s="159"/>
      <c r="F48" s="159"/>
      <c r="G48" s="159"/>
      <c r="H48" s="159"/>
      <c r="I48" s="159"/>
      <c r="J48" s="159"/>
      <c r="K48" s="159"/>
    </row>
    <row r="49" spans="1:11" ht="11.25" customHeight="1">
      <c r="A49" s="157"/>
      <c r="B49" s="159"/>
      <c r="C49" s="159"/>
      <c r="D49" s="159"/>
      <c r="E49" s="159"/>
      <c r="F49" s="159"/>
      <c r="G49" s="159"/>
      <c r="H49" s="159"/>
      <c r="I49" s="159"/>
      <c r="J49" s="159"/>
      <c r="K49" s="159"/>
    </row>
    <row r="50" spans="1:11" ht="11.25" customHeight="1">
      <c r="A50" s="157"/>
      <c r="B50" s="159"/>
      <c r="C50" s="159"/>
      <c r="D50" s="159"/>
      <c r="E50" s="159"/>
      <c r="F50" s="159"/>
      <c r="G50" s="159"/>
      <c r="H50" s="159"/>
      <c r="I50" s="159"/>
      <c r="J50" s="159"/>
      <c r="K50" s="159"/>
    </row>
    <row r="51" spans="1:11" ht="11.25" customHeight="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A53" s="157"/>
      <c r="B53" s="159"/>
      <c r="C53" s="159"/>
      <c r="D53" s="159"/>
      <c r="E53" s="159"/>
      <c r="F53" s="159"/>
      <c r="G53" s="159"/>
      <c r="H53" s="159"/>
      <c r="I53" s="159"/>
      <c r="J53" s="159"/>
      <c r="K53" s="159"/>
    </row>
    <row r="54" spans="1:11">
      <c r="A54" s="157"/>
      <c r="B54" s="159"/>
      <c r="C54" s="159"/>
      <c r="D54" s="159"/>
      <c r="E54" s="159"/>
      <c r="F54" s="159"/>
      <c r="G54" s="159"/>
      <c r="H54" s="159"/>
      <c r="I54" s="159"/>
      <c r="J54" s="159"/>
      <c r="K54" s="159"/>
    </row>
    <row r="55" spans="1:11">
      <c r="A55" s="157"/>
      <c r="B55" s="159"/>
      <c r="C55" s="159"/>
      <c r="D55" s="159"/>
      <c r="E55" s="159"/>
      <c r="F55" s="159"/>
      <c r="G55" s="159"/>
      <c r="H55" s="159"/>
      <c r="I55" s="159"/>
      <c r="J55" s="159"/>
      <c r="K55" s="159"/>
    </row>
    <row r="56" spans="1:11">
      <c r="A56" s="157"/>
      <c r="B56" s="159"/>
      <c r="C56" s="159"/>
      <c r="D56" s="159"/>
      <c r="E56" s="159"/>
      <c r="F56" s="159"/>
      <c r="G56" s="159"/>
      <c r="H56" s="159"/>
      <c r="I56" s="159"/>
      <c r="J56" s="159"/>
      <c r="K56" s="159"/>
    </row>
    <row r="57" spans="1:11">
      <c r="A57" s="157"/>
      <c r="B57" s="159"/>
      <c r="C57" s="159"/>
      <c r="D57" s="159"/>
      <c r="E57" s="159"/>
      <c r="F57" s="159"/>
      <c r="G57" s="159"/>
      <c r="H57" s="159"/>
      <c r="I57" s="159"/>
      <c r="J57" s="159"/>
      <c r="K57" s="159"/>
    </row>
    <row r="58" spans="1:11">
      <c r="A58" s="157"/>
      <c r="B58" s="159"/>
      <c r="C58" s="159"/>
      <c r="D58" s="159"/>
      <c r="E58" s="159"/>
      <c r="F58" s="159"/>
      <c r="G58" s="159"/>
      <c r="H58" s="159"/>
      <c r="I58" s="159"/>
      <c r="J58" s="159"/>
      <c r="K58" s="159"/>
    </row>
    <row r="59" spans="1:11">
      <c r="A59" s="157"/>
      <c r="B59" s="159"/>
      <c r="C59" s="159"/>
      <c r="D59" s="159"/>
      <c r="E59" s="159"/>
      <c r="F59" s="159"/>
      <c r="G59" s="159"/>
      <c r="H59" s="159"/>
      <c r="I59" s="159"/>
      <c r="J59" s="159"/>
      <c r="K59" s="159"/>
    </row>
    <row r="60" spans="1:11">
      <c r="A60" s="157"/>
      <c r="B60" s="159"/>
      <c r="C60" s="159"/>
      <c r="D60" s="159"/>
      <c r="E60" s="159"/>
      <c r="F60" s="159"/>
      <c r="G60" s="159"/>
      <c r="H60" s="159"/>
      <c r="I60" s="159"/>
      <c r="J60" s="159"/>
      <c r="K60" s="159"/>
    </row>
    <row r="61" spans="1:11">
      <c r="A61" s="157"/>
      <c r="B61" s="159"/>
      <c r="C61" s="159"/>
      <c r="D61" s="159"/>
      <c r="E61" s="159"/>
      <c r="F61" s="159"/>
      <c r="G61" s="159"/>
      <c r="H61" s="159"/>
      <c r="I61" s="159"/>
      <c r="J61" s="159"/>
      <c r="K61" s="159"/>
    </row>
    <row r="62" spans="1:11">
      <c r="B62" s="159"/>
      <c r="C62" s="159"/>
      <c r="D62" s="159"/>
      <c r="E62" s="159"/>
      <c r="F62" s="159"/>
      <c r="G62" s="159"/>
      <c r="H62" s="159"/>
      <c r="I62" s="159"/>
      <c r="J62" s="159"/>
      <c r="K62" s="159"/>
    </row>
    <row r="63" spans="1:11">
      <c r="A63" s="342" t="str">
        <f>"Gráfico N° 5: Comparación de la producción de energía eléctrica (GWh) por tipo de recurso energético acumulada a "&amp;'1. Resumen'!Q4</f>
        <v>Gráfico N° 5: Comparación de la producción de energía eléctrica (GWh) por tipo de recurso energético acumulada a abril</v>
      </c>
    </row>
  </sheetData>
  <mergeCells count="5">
    <mergeCell ref="A2:K2"/>
    <mergeCell ref="B4:D4"/>
    <mergeCell ref="E4:F4"/>
    <mergeCell ref="G4:K4"/>
    <mergeCell ref="A4:A5"/>
  </mergeCells>
  <pageMargins left="0.7" right="0.7" top="0.86956521739130432" bottom="0.61458333333333337" header="0.3" footer="0.3"/>
  <pageSetup orientation="portrait" r:id="rId1"/>
  <headerFooter>
    <oddHeader>&amp;R&amp;7Informe de la Operación Mensual - Abril 2018
INFSGI-MES-04-2018
10/05/2018
Versión: 01</oddHeader>
    <oddFooter>&amp;L&amp;7COES SINAC, 2018
&amp;C4&amp;R&amp;7Dirección Ejecutiva
Sub Dirección de Gestión de Información</oddFooter>
  </headerFooter>
  <ignoredErrors>
    <ignoredError sqref="K19 F19:J19 B19:E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08325-EFB5-4A50-BEC3-19ABF1A09CFD}">
  <sheetPr>
    <tabColor theme="4"/>
  </sheetPr>
  <dimension ref="A1:P61"/>
  <sheetViews>
    <sheetView showGridLines="0" view="pageBreakPreview" zoomScale="130" zoomScaleNormal="100" zoomScaleSheetLayoutView="130" zoomScalePageLayoutView="160" workbookViewId="0">
      <selection activeCell="P17" sqref="P17"/>
    </sheetView>
  </sheetViews>
  <sheetFormatPr defaultRowHeight="11.25"/>
  <cols>
    <col min="1" max="1" width="21.6640625" style="3" customWidth="1"/>
    <col min="2" max="2" width="10" style="3" customWidth="1"/>
    <col min="3" max="8" width="9.1640625" style="3" customWidth="1"/>
    <col min="9" max="9" width="9.83203125" style="3" customWidth="1"/>
    <col min="10" max="10" width="9.1640625" style="3" customWidth="1"/>
    <col min="11" max="11" width="9.6640625" style="3" customWidth="1"/>
    <col min="12" max="16384" width="9.33203125" style="3"/>
  </cols>
  <sheetData>
    <row r="1" spans="1:12" ht="11.25" customHeight="1"/>
    <row r="2" spans="1:12" ht="11.25" customHeight="1">
      <c r="A2" s="896" t="s">
        <v>268</v>
      </c>
      <c r="B2" s="896"/>
      <c r="C2" s="896"/>
      <c r="D2" s="896"/>
      <c r="E2" s="896"/>
      <c r="F2" s="896"/>
      <c r="G2" s="896"/>
      <c r="H2" s="896"/>
      <c r="I2" s="896"/>
      <c r="J2" s="896"/>
      <c r="K2" s="896"/>
      <c r="L2" s="45"/>
    </row>
    <row r="3" spans="1:12" ht="11.25" customHeight="1">
      <c r="A3" s="92"/>
      <c r="B3" s="91"/>
      <c r="C3" s="91"/>
      <c r="D3" s="91"/>
      <c r="E3" s="91"/>
      <c r="F3" s="91"/>
      <c r="G3" s="91"/>
      <c r="H3" s="91"/>
      <c r="I3" s="91"/>
      <c r="J3" s="91"/>
      <c r="K3" s="91"/>
      <c r="L3" s="45"/>
    </row>
    <row r="4" spans="1:12" ht="15.75" customHeight="1">
      <c r="A4" s="894" t="s">
        <v>264</v>
      </c>
      <c r="B4" s="891" t="s">
        <v>33</v>
      </c>
      <c r="C4" s="892"/>
      <c r="D4" s="892"/>
      <c r="E4" s="892" t="s">
        <v>34</v>
      </c>
      <c r="F4" s="892"/>
      <c r="G4" s="893" t="str">
        <f>+'4. Tipo Recurso'!G4:K4</f>
        <v>Generación Acumulada a abril</v>
      </c>
      <c r="H4" s="893"/>
      <c r="I4" s="893"/>
      <c r="J4" s="893"/>
      <c r="K4" s="893"/>
      <c r="L4" s="29"/>
    </row>
    <row r="5" spans="1:12" ht="29.25" customHeight="1">
      <c r="A5" s="894"/>
      <c r="B5" s="365">
        <f>+'4. Tipo Recurso'!B5</f>
        <v>43133</v>
      </c>
      <c r="C5" s="365">
        <f>+'4. Tipo Recurso'!C5</f>
        <v>43163</v>
      </c>
      <c r="D5" s="365">
        <f>+'4. Tipo Recurso'!D5</f>
        <v>43191</v>
      </c>
      <c r="E5" s="365">
        <f>+'4. Tipo Recurso'!E5</f>
        <v>42826</v>
      </c>
      <c r="F5" s="365" t="s">
        <v>35</v>
      </c>
      <c r="G5" s="367">
        <v>2018</v>
      </c>
      <c r="H5" s="367">
        <v>2017</v>
      </c>
      <c r="I5" s="366" t="s">
        <v>43</v>
      </c>
      <c r="J5" s="367">
        <v>2016</v>
      </c>
      <c r="K5" s="366" t="s">
        <v>36</v>
      </c>
      <c r="L5" s="31"/>
    </row>
    <row r="6" spans="1:12" ht="11.25" customHeight="1">
      <c r="A6" s="165" t="s">
        <v>46</v>
      </c>
      <c r="B6" s="663">
        <v>109.10575714000001</v>
      </c>
      <c r="C6" s="664">
        <v>127.87018885750004</v>
      </c>
      <c r="D6" s="665">
        <v>127.83187760000001</v>
      </c>
      <c r="E6" s="663">
        <v>90.345274965036964</v>
      </c>
      <c r="F6" s="374">
        <f t="shared" ref="F6:F11" si="0">IF(E6=0,"",D6/E6-1)</f>
        <v>0.41492598975951012</v>
      </c>
      <c r="G6" s="663">
        <v>473.00778781750006</v>
      </c>
      <c r="H6" s="664">
        <v>433.30861567130643</v>
      </c>
      <c r="I6" s="378">
        <f t="shared" ref="I6:I11" si="1">IF(H6=0,"",G6/H6-1)</f>
        <v>9.1618700183677237E-2</v>
      </c>
      <c r="J6" s="663">
        <v>370.94965992214281</v>
      </c>
      <c r="K6" s="374">
        <f t="shared" ref="K6:K11" si="2">IF(J6=0,"",H6/J6-1)</f>
        <v>0.16810624860055645</v>
      </c>
      <c r="L6" s="368"/>
    </row>
    <row r="7" spans="1:12" ht="11.25" customHeight="1">
      <c r="A7" s="166" t="s">
        <v>39</v>
      </c>
      <c r="B7" s="666">
        <v>62.462496864999999</v>
      </c>
      <c r="C7" s="667">
        <v>121.84239174000001</v>
      </c>
      <c r="D7" s="668">
        <v>115.011208025</v>
      </c>
      <c r="E7" s="666">
        <v>92.967202730385409</v>
      </c>
      <c r="F7" s="375">
        <f t="shared" si="0"/>
        <v>0.23711593602041048</v>
      </c>
      <c r="G7" s="666">
        <v>386.68910400999999</v>
      </c>
      <c r="H7" s="667">
        <v>281.94971662937439</v>
      </c>
      <c r="I7" s="354">
        <f t="shared" si="1"/>
        <v>0.37148250628783752</v>
      </c>
      <c r="J7" s="666">
        <v>257.89580191838758</v>
      </c>
      <c r="K7" s="375">
        <f t="shared" si="2"/>
        <v>9.3269896338207259E-2</v>
      </c>
      <c r="L7" s="368"/>
    </row>
    <row r="8" spans="1:12" ht="11.25" customHeight="1">
      <c r="A8" s="372" t="s">
        <v>30</v>
      </c>
      <c r="B8" s="669">
        <v>46.187362507500005</v>
      </c>
      <c r="C8" s="670">
        <v>62.167818492499997</v>
      </c>
      <c r="D8" s="671">
        <v>58.171585880000009</v>
      </c>
      <c r="E8" s="669">
        <v>19.088536792355001</v>
      </c>
      <c r="F8" s="376">
        <f t="shared" si="0"/>
        <v>2.0474617574301375</v>
      </c>
      <c r="G8" s="669">
        <v>226.18564572999998</v>
      </c>
      <c r="H8" s="670">
        <v>73.438169575798</v>
      </c>
      <c r="I8" s="371">
        <f t="shared" si="1"/>
        <v>2.0799466685583194</v>
      </c>
      <c r="J8" s="669">
        <v>80.191739290249899</v>
      </c>
      <c r="K8" s="376">
        <f t="shared" si="2"/>
        <v>-8.4217773229829818E-2</v>
      </c>
      <c r="L8" s="368"/>
    </row>
    <row r="9" spans="1:12" ht="11.25" customHeight="1">
      <c r="A9" s="166" t="s">
        <v>50</v>
      </c>
      <c r="B9" s="666">
        <v>6.6318301625</v>
      </c>
      <c r="C9" s="667">
        <v>7.0476076300000008</v>
      </c>
      <c r="D9" s="668">
        <v>7.4688760849999998</v>
      </c>
      <c r="E9" s="666">
        <v>4.3071128636017502</v>
      </c>
      <c r="F9" s="375">
        <f t="shared" si="0"/>
        <v>0.73407949165146302</v>
      </c>
      <c r="G9" s="666">
        <v>27.996226652499999</v>
      </c>
      <c r="H9" s="667">
        <v>22.38056678912675</v>
      </c>
      <c r="I9" s="354">
        <f t="shared" si="1"/>
        <v>0.25091678491813396</v>
      </c>
      <c r="J9" s="666">
        <v>30.277862485473399</v>
      </c>
      <c r="K9" s="375">
        <f t="shared" si="2"/>
        <v>-0.26082738502876768</v>
      </c>
      <c r="L9" s="44"/>
    </row>
    <row r="10" spans="1:12" ht="11.25" customHeight="1">
      <c r="A10" s="373" t="s">
        <v>51</v>
      </c>
      <c r="B10" s="672">
        <v>3.8624617800000003</v>
      </c>
      <c r="C10" s="673">
        <v>4.9983775250000004</v>
      </c>
      <c r="D10" s="674">
        <v>3.8766369750000003</v>
      </c>
      <c r="E10" s="672">
        <v>2.8657664250000003</v>
      </c>
      <c r="F10" s="377">
        <f t="shared" si="0"/>
        <v>0.35274003532929243</v>
      </c>
      <c r="G10" s="672">
        <v>16.666580255</v>
      </c>
      <c r="H10" s="673">
        <v>12.497919335175999</v>
      </c>
      <c r="I10" s="379">
        <f t="shared" si="1"/>
        <v>0.33354839377872314</v>
      </c>
      <c r="J10" s="672">
        <v>17.5553225319</v>
      </c>
      <c r="K10" s="377">
        <f t="shared" si="2"/>
        <v>-0.28808375280682708</v>
      </c>
      <c r="L10" s="369"/>
    </row>
    <row r="11" spans="1:12" ht="11.25" customHeight="1">
      <c r="A11" s="380" t="s">
        <v>261</v>
      </c>
      <c r="B11" s="675">
        <f>+SUM(B6:B10)</f>
        <v>228.249908455</v>
      </c>
      <c r="C11" s="676">
        <f>+SUM(C6:C10)</f>
        <v>323.92638424500007</v>
      </c>
      <c r="D11" s="677">
        <f>+SUM(D6:D10)</f>
        <v>312.360184565</v>
      </c>
      <c r="E11" s="678">
        <f>+SUM(E6:E10)</f>
        <v>209.57389377637915</v>
      </c>
      <c r="F11" s="381">
        <f t="shared" si="0"/>
        <v>0.4904536960042194</v>
      </c>
      <c r="G11" s="675">
        <f>+SUM(G6:G10)</f>
        <v>1130.545344465</v>
      </c>
      <c r="H11" s="676">
        <f>+SUM(H6:H10)</f>
        <v>823.57498800078167</v>
      </c>
      <c r="I11" s="382">
        <f t="shared" si="1"/>
        <v>0.37272909077701</v>
      </c>
      <c r="J11" s="675">
        <f>+SUM(J6:J10)</f>
        <v>756.87038614815356</v>
      </c>
      <c r="K11" s="381">
        <f t="shared" si="2"/>
        <v>8.8132133418642011E-2</v>
      </c>
      <c r="L11" s="29"/>
    </row>
    <row r="12" spans="1:12" ht="24.75" customHeight="1">
      <c r="A12" s="383" t="s">
        <v>262</v>
      </c>
      <c r="B12" s="384">
        <f>B11/'4. Tipo Recurso'!B19</f>
        <v>5.8233828827551411E-2</v>
      </c>
      <c r="C12" s="382">
        <f>C11/'4. Tipo Recurso'!C19</f>
        <v>7.5054638854913938E-2</v>
      </c>
      <c r="D12" s="381">
        <f>D11/'4. Tipo Recurso'!D19</f>
        <v>7.4231879158347322E-2</v>
      </c>
      <c r="E12" s="384">
        <f>E11/'4. Tipo Recurso'!E19</f>
        <v>5.287282956664071E-2</v>
      </c>
      <c r="F12" s="385"/>
      <c r="G12" s="384">
        <f>G11/'4. Tipo Recurso'!G19</f>
        <v>6.7703161209308277E-2</v>
      </c>
      <c r="H12" s="382">
        <f>H11/'4. Tipo Recurso'!H19</f>
        <v>5.0675677943059029E-2</v>
      </c>
      <c r="I12" s="830"/>
      <c r="J12" s="384">
        <f>J11/'4. Tipo Recurso'!J19</f>
        <v>4.7512282897421855E-2</v>
      </c>
      <c r="K12" s="385"/>
      <c r="L12" s="29"/>
    </row>
    <row r="13" spans="1:12" ht="11.25" customHeight="1">
      <c r="A13" s="386" t="s">
        <v>263</v>
      </c>
      <c r="B13" s="155"/>
      <c r="C13" s="155"/>
      <c r="D13" s="155"/>
      <c r="E13" s="155"/>
      <c r="F13" s="155"/>
      <c r="G13" s="155"/>
      <c r="H13" s="155"/>
      <c r="I13" s="155"/>
      <c r="J13" s="155"/>
      <c r="K13" s="156"/>
      <c r="L13" s="29"/>
    </row>
    <row r="14" spans="1:12" ht="23.25" customHeight="1">
      <c r="A14" s="897" t="s">
        <v>56</v>
      </c>
      <c r="B14" s="897"/>
      <c r="C14" s="897"/>
      <c r="D14" s="897"/>
      <c r="E14" s="897"/>
      <c r="F14" s="897"/>
      <c r="G14" s="897"/>
      <c r="H14" s="897"/>
      <c r="I14" s="897"/>
      <c r="J14" s="897"/>
      <c r="K14" s="897"/>
      <c r="L14" s="29"/>
    </row>
    <row r="15" spans="1:12" ht="11.25" customHeight="1">
      <c r="L15" s="29"/>
    </row>
    <row r="16" spans="1:12" ht="11.25" customHeight="1">
      <c r="A16" s="157"/>
      <c r="B16" s="174"/>
      <c r="C16" s="174"/>
      <c r="D16" s="174"/>
      <c r="E16" s="174"/>
      <c r="F16" s="174"/>
      <c r="G16" s="174"/>
      <c r="H16" s="174"/>
      <c r="I16" s="174"/>
      <c r="J16" s="174"/>
      <c r="K16" s="174"/>
      <c r="L16" s="29"/>
    </row>
    <row r="17" spans="1:12" ht="11.25" customHeight="1">
      <c r="A17" s="174"/>
      <c r="B17" s="174"/>
      <c r="C17" s="174"/>
      <c r="D17" s="174"/>
      <c r="E17" s="174"/>
      <c r="F17" s="174"/>
      <c r="G17" s="174"/>
      <c r="H17" s="174"/>
      <c r="I17" s="174"/>
      <c r="J17" s="174"/>
      <c r="K17" s="174"/>
      <c r="L17" s="29"/>
    </row>
    <row r="18" spans="1:12" ht="11.25" customHeight="1">
      <c r="A18" s="174"/>
      <c r="B18" s="174"/>
      <c r="C18" s="174"/>
      <c r="D18" s="174"/>
      <c r="E18" s="174"/>
      <c r="F18" s="174"/>
      <c r="G18" s="174"/>
      <c r="H18" s="174"/>
      <c r="I18" s="174"/>
      <c r="J18" s="174"/>
      <c r="K18" s="174"/>
      <c r="L18" s="39"/>
    </row>
    <row r="19" spans="1:12" ht="11.25" customHeight="1">
      <c r="A19" s="157"/>
      <c r="B19" s="159"/>
      <c r="C19" s="159"/>
      <c r="D19" s="159"/>
      <c r="E19" s="159"/>
      <c r="F19" s="159"/>
      <c r="G19" s="159"/>
      <c r="H19" s="159"/>
      <c r="I19" s="159"/>
      <c r="J19" s="159"/>
      <c r="K19" s="159"/>
      <c r="L19" s="29"/>
    </row>
    <row r="20" spans="1:12" ht="11.25" customHeight="1">
      <c r="A20" s="157"/>
      <c r="B20" s="159"/>
      <c r="C20" s="159"/>
      <c r="D20" s="159"/>
      <c r="E20" s="159"/>
      <c r="F20" s="159"/>
      <c r="G20" s="159"/>
      <c r="H20" s="159"/>
      <c r="I20" s="159"/>
      <c r="J20" s="159"/>
      <c r="K20" s="159"/>
      <c r="L20" s="29"/>
    </row>
    <row r="21" spans="1:12" ht="11.25" customHeight="1">
      <c r="A21" s="157"/>
      <c r="B21" s="159"/>
      <c r="C21" s="159"/>
      <c r="D21" s="159"/>
      <c r="E21" s="159"/>
      <c r="F21" s="159"/>
      <c r="G21" s="159"/>
      <c r="H21" s="159"/>
      <c r="I21" s="159"/>
      <c r="J21" s="159"/>
      <c r="K21" s="159"/>
      <c r="L21" s="29"/>
    </row>
    <row r="22" spans="1:12" ht="11.25" customHeight="1">
      <c r="A22" s="157"/>
      <c r="B22" s="159"/>
      <c r="C22" s="159"/>
      <c r="D22" s="159"/>
      <c r="E22" s="159"/>
      <c r="F22" s="159"/>
      <c r="G22" s="159"/>
      <c r="H22" s="159"/>
      <c r="I22" s="159"/>
      <c r="J22" s="159"/>
      <c r="K22" s="159"/>
      <c r="L22" s="39"/>
    </row>
    <row r="23" spans="1:12" ht="11.25" customHeight="1">
      <c r="A23" s="157"/>
      <c r="B23" s="159"/>
      <c r="C23" s="159"/>
      <c r="D23" s="159"/>
      <c r="E23" s="159"/>
      <c r="F23" s="159"/>
      <c r="G23" s="159"/>
      <c r="H23" s="159"/>
      <c r="I23" s="159"/>
      <c r="J23" s="159"/>
      <c r="K23" s="159"/>
      <c r="L23" s="29"/>
    </row>
    <row r="24" spans="1:12" ht="11.25" customHeight="1">
      <c r="A24" s="157"/>
      <c r="B24" s="159"/>
      <c r="C24" s="159"/>
      <c r="D24" s="159"/>
      <c r="E24" s="159"/>
      <c r="F24" s="159"/>
      <c r="G24" s="159"/>
      <c r="H24" s="159"/>
      <c r="I24" s="159"/>
      <c r="J24" s="159"/>
      <c r="K24" s="159"/>
      <c r="L24" s="29"/>
    </row>
    <row r="25" spans="1:12" ht="11.25" customHeight="1">
      <c r="A25" s="157"/>
      <c r="B25" s="159"/>
      <c r="C25" s="159"/>
      <c r="D25" s="159"/>
      <c r="E25" s="159"/>
      <c r="F25" s="159"/>
      <c r="G25" s="159"/>
      <c r="H25" s="159"/>
      <c r="I25" s="159"/>
      <c r="J25" s="159"/>
      <c r="K25" s="159"/>
      <c r="L25" s="29"/>
    </row>
    <row r="26" spans="1:12" ht="11.25" customHeight="1">
      <c r="A26" s="157"/>
      <c r="B26" s="159"/>
      <c r="C26" s="159"/>
      <c r="D26" s="159"/>
      <c r="E26" s="159"/>
      <c r="F26" s="159"/>
      <c r="G26" s="159"/>
      <c r="H26" s="159"/>
      <c r="I26" s="159"/>
      <c r="J26" s="159"/>
      <c r="K26" s="159"/>
      <c r="L26" s="29"/>
    </row>
    <row r="27" spans="1:12" ht="11.25" customHeight="1">
      <c r="A27" s="157"/>
      <c r="B27" s="159"/>
      <c r="C27" s="159"/>
      <c r="D27" s="159"/>
      <c r="E27" s="159"/>
      <c r="F27" s="159"/>
      <c r="G27" s="159"/>
      <c r="H27" s="159"/>
      <c r="I27" s="159"/>
      <c r="J27" s="159"/>
      <c r="K27" s="159"/>
      <c r="L27" s="29"/>
    </row>
    <row r="28" spans="1:12" ht="11.25" customHeight="1">
      <c r="A28" s="157"/>
      <c r="B28" s="159"/>
      <c r="C28" s="159"/>
      <c r="D28" s="159"/>
      <c r="E28" s="159"/>
      <c r="F28" s="159"/>
      <c r="G28" s="159"/>
      <c r="H28" s="159"/>
      <c r="I28" s="159"/>
      <c r="J28" s="159"/>
      <c r="K28" s="159"/>
      <c r="L28" s="29"/>
    </row>
    <row r="29" spans="1:12" ht="11.25" customHeight="1">
      <c r="A29" s="157"/>
      <c r="B29" s="159"/>
      <c r="C29" s="159"/>
      <c r="D29" s="159"/>
      <c r="E29" s="159"/>
      <c r="F29" s="159"/>
      <c r="G29" s="159"/>
      <c r="H29" s="159"/>
      <c r="I29" s="159"/>
      <c r="J29" s="159"/>
      <c r="K29" s="159"/>
      <c r="L29" s="29"/>
    </row>
    <row r="30" spans="1:12" ht="11.25" customHeight="1">
      <c r="A30" s="157"/>
      <c r="B30" s="159"/>
      <c r="C30" s="159"/>
      <c r="D30" s="159"/>
      <c r="E30" s="159"/>
      <c r="F30" s="159"/>
      <c r="G30" s="159"/>
      <c r="H30" s="159"/>
      <c r="I30" s="159"/>
      <c r="J30" s="159"/>
      <c r="K30" s="159"/>
      <c r="L30" s="29"/>
    </row>
    <row r="31" spans="1:12" ht="11.25" customHeight="1">
      <c r="A31" s="157"/>
      <c r="B31" s="159"/>
      <c r="C31" s="159"/>
      <c r="D31" s="159"/>
      <c r="E31" s="159"/>
      <c r="F31" s="159"/>
      <c r="G31" s="159"/>
      <c r="H31" s="159"/>
      <c r="I31" s="159"/>
      <c r="J31" s="159"/>
      <c r="K31" s="159"/>
      <c r="L31" s="29"/>
    </row>
    <row r="32" spans="1:12" ht="11.25" customHeight="1">
      <c r="A32" s="157"/>
      <c r="B32" s="159"/>
      <c r="C32" s="159"/>
      <c r="D32" s="159"/>
      <c r="E32" s="159"/>
      <c r="F32" s="159"/>
      <c r="G32" s="159"/>
      <c r="H32" s="159"/>
      <c r="I32" s="159"/>
      <c r="J32" s="159"/>
      <c r="K32" s="159"/>
      <c r="L32" s="29"/>
    </row>
    <row r="33" spans="1:16" ht="11.25" customHeight="1">
      <c r="A33" s="157"/>
      <c r="B33" s="159"/>
      <c r="C33" s="159"/>
      <c r="D33" s="159"/>
      <c r="E33" s="159"/>
      <c r="F33" s="159"/>
      <c r="G33" s="159"/>
      <c r="H33" s="159"/>
      <c r="I33" s="159"/>
      <c r="J33" s="159"/>
      <c r="K33" s="159"/>
      <c r="L33" s="29"/>
    </row>
    <row r="34" spans="1:16" ht="11.25" customHeight="1">
      <c r="A34" s="895" t="str">
        <f>"Gráfico N° 6: Comparación de la producción de energía eléctrica acumulada (GWh) con recursos energéticos renovables en "&amp;'1. Resumen'!Q4</f>
        <v>Gráfico N° 6: Comparación de la producción de energía eléctrica acumulada (GWh) con recursos energéticos renovables en abril</v>
      </c>
      <c r="B34" s="895"/>
      <c r="C34" s="895"/>
      <c r="D34" s="895"/>
      <c r="E34" s="895"/>
      <c r="F34" s="895"/>
      <c r="G34" s="895"/>
      <c r="H34" s="895"/>
      <c r="I34" s="895"/>
      <c r="J34" s="895"/>
      <c r="K34" s="895"/>
      <c r="L34" s="29"/>
    </row>
    <row r="35" spans="1:16" ht="11.25" customHeight="1">
      <c r="L35" s="48"/>
    </row>
    <row r="36" spans="1:16" ht="11.25" customHeight="1">
      <c r="A36" s="157"/>
      <c r="B36" s="159"/>
      <c r="C36" s="159"/>
      <c r="D36" s="159"/>
      <c r="E36" s="159"/>
      <c r="F36" s="159"/>
      <c r="G36" s="159"/>
      <c r="H36" s="159"/>
      <c r="I36" s="159"/>
      <c r="J36" s="159"/>
      <c r="K36" s="159"/>
      <c r="L36" s="29"/>
    </row>
    <row r="37" spans="1:16" ht="11.25" customHeight="1">
      <c r="A37" s="157"/>
      <c r="B37" s="159"/>
      <c r="C37" s="159"/>
      <c r="D37" s="159"/>
      <c r="E37" s="159"/>
      <c r="F37" s="159"/>
      <c r="G37" s="159"/>
      <c r="H37" s="159"/>
      <c r="I37" s="159"/>
      <c r="J37" s="159"/>
      <c r="K37" s="159"/>
      <c r="L37" s="29"/>
    </row>
    <row r="38" spans="1:16" ht="11.25" customHeight="1">
      <c r="A38" s="157"/>
      <c r="B38" s="159"/>
      <c r="C38" s="159"/>
      <c r="D38" s="159"/>
      <c r="E38" s="159"/>
      <c r="F38" s="159"/>
      <c r="G38" s="159"/>
      <c r="H38" s="159"/>
      <c r="I38" s="159"/>
      <c r="J38" s="159"/>
      <c r="K38" s="159"/>
      <c r="L38" s="29"/>
    </row>
    <row r="39" spans="1:16" ht="11.25" customHeight="1">
      <c r="A39" s="157"/>
      <c r="B39" s="159"/>
      <c r="C39" s="387" t="s">
        <v>266</v>
      </c>
      <c r="D39" s="201"/>
      <c r="E39" s="201"/>
      <c r="F39" s="388">
        <f>+'4. Tipo Recurso'!D19</f>
        <v>4207.8981174475002</v>
      </c>
      <c r="G39" s="387" t="s">
        <v>265</v>
      </c>
      <c r="H39" s="159"/>
      <c r="I39" s="159"/>
      <c r="J39" s="159"/>
      <c r="K39" s="159"/>
      <c r="L39" s="29"/>
      <c r="M39" s="389">
        <f>+F39-F40</f>
        <v>3895.5381174475001</v>
      </c>
      <c r="P39" s="679"/>
    </row>
    <row r="40" spans="1:16" ht="11.25" customHeight="1">
      <c r="A40" s="157"/>
      <c r="B40" s="159"/>
      <c r="C40" s="387" t="s">
        <v>267</v>
      </c>
      <c r="D40" s="201"/>
      <c r="E40" s="201"/>
      <c r="F40" s="388">
        <f>ROUND(D11,2)</f>
        <v>312.36</v>
      </c>
      <c r="G40" s="387" t="s">
        <v>265</v>
      </c>
      <c r="H40" s="159"/>
      <c r="I40" s="159"/>
      <c r="J40" s="159"/>
      <c r="K40" s="159"/>
      <c r="L40" s="29"/>
      <c r="M40" s="679"/>
      <c r="P40" s="679"/>
    </row>
    <row r="41" spans="1:16" ht="11.25" customHeight="1">
      <c r="A41" s="157"/>
      <c r="B41" s="159"/>
      <c r="C41" s="159"/>
      <c r="D41" s="159"/>
      <c r="E41" s="159"/>
      <c r="F41" s="159"/>
      <c r="G41" s="159"/>
      <c r="H41" s="159"/>
      <c r="I41" s="159"/>
      <c r="J41" s="159"/>
      <c r="K41" s="159"/>
      <c r="L41" s="29"/>
      <c r="P41" s="679"/>
    </row>
    <row r="42" spans="1:16" ht="11.25" customHeight="1">
      <c r="A42" s="157"/>
      <c r="B42" s="159"/>
      <c r="C42" s="159"/>
      <c r="D42" s="159"/>
      <c r="E42" s="159"/>
      <c r="F42" s="159"/>
      <c r="G42" s="159"/>
      <c r="H42" s="159"/>
      <c r="I42" s="159"/>
      <c r="J42" s="159"/>
      <c r="K42" s="159"/>
      <c r="L42" s="29"/>
      <c r="P42" s="679"/>
    </row>
    <row r="43" spans="1:16" ht="11.25" customHeight="1">
      <c r="A43" s="157"/>
      <c r="B43" s="159"/>
      <c r="C43" s="159"/>
      <c r="D43" s="159"/>
      <c r="E43" s="159"/>
      <c r="F43" s="159"/>
      <c r="G43" s="159"/>
      <c r="H43" s="159"/>
      <c r="I43" s="159"/>
      <c r="J43" s="159"/>
      <c r="K43" s="159"/>
      <c r="L43" s="29"/>
      <c r="P43" s="679"/>
    </row>
    <row r="44" spans="1:16" ht="11.25" customHeight="1">
      <c r="A44" s="157"/>
      <c r="B44" s="159"/>
      <c r="C44" s="159"/>
      <c r="D44" s="159"/>
      <c r="E44" s="159"/>
      <c r="F44" s="159"/>
      <c r="G44" s="159"/>
      <c r="H44" s="159"/>
      <c r="I44" s="159"/>
      <c r="J44" s="159"/>
      <c r="K44" s="159"/>
      <c r="L44" s="160"/>
    </row>
    <row r="45" spans="1:16" ht="11.25" customHeight="1">
      <c r="A45" s="157"/>
      <c r="B45" s="159"/>
      <c r="C45" s="159"/>
      <c r="D45" s="159"/>
      <c r="E45" s="159"/>
      <c r="F45" s="159"/>
      <c r="G45" s="159"/>
      <c r="H45" s="159"/>
      <c r="I45" s="159"/>
      <c r="J45" s="159"/>
      <c r="K45" s="159"/>
    </row>
    <row r="46" spans="1:16" ht="11.25" customHeight="1">
      <c r="A46" s="157"/>
      <c r="B46" s="159"/>
      <c r="C46" s="159"/>
      <c r="D46" s="159"/>
      <c r="E46" s="159"/>
      <c r="F46" s="159"/>
      <c r="G46" s="159"/>
      <c r="H46" s="159"/>
      <c r="I46" s="159"/>
      <c r="J46" s="159"/>
      <c r="K46" s="159"/>
    </row>
    <row r="47" spans="1:16" ht="11.25" customHeight="1">
      <c r="A47" s="157"/>
      <c r="B47" s="159"/>
      <c r="C47" s="159"/>
      <c r="D47" s="159"/>
      <c r="E47" s="159"/>
      <c r="F47" s="159"/>
      <c r="G47" s="159"/>
      <c r="H47" s="159"/>
      <c r="I47" s="159"/>
      <c r="J47" s="159"/>
      <c r="K47" s="159"/>
    </row>
    <row r="48" spans="1:16" ht="11.25" customHeight="1">
      <c r="A48" s="157"/>
      <c r="B48" s="159"/>
      <c r="C48" s="159"/>
      <c r="D48" s="159"/>
      <c r="E48" s="159"/>
      <c r="F48" s="159"/>
      <c r="G48" s="159"/>
      <c r="H48" s="159"/>
      <c r="I48" s="159"/>
      <c r="J48" s="159"/>
      <c r="K48" s="159"/>
    </row>
    <row r="49" spans="1:11">
      <c r="A49" s="157"/>
      <c r="B49" s="159"/>
      <c r="C49" s="159"/>
      <c r="D49" s="159"/>
      <c r="E49" s="159"/>
      <c r="F49" s="159"/>
      <c r="G49" s="159"/>
      <c r="H49" s="159"/>
      <c r="I49" s="159"/>
      <c r="J49" s="159"/>
      <c r="K49" s="159"/>
    </row>
    <row r="50" spans="1:11">
      <c r="A50" s="157"/>
      <c r="B50" s="159"/>
      <c r="C50" s="159"/>
      <c r="D50" s="159"/>
      <c r="E50" s="159"/>
      <c r="F50" s="159"/>
      <c r="G50" s="159"/>
      <c r="H50" s="159"/>
      <c r="I50" s="159"/>
      <c r="J50" s="159"/>
      <c r="K50" s="159"/>
    </row>
    <row r="51" spans="1:1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A53" s="157"/>
      <c r="B53" s="159"/>
      <c r="C53" s="159"/>
      <c r="D53" s="159"/>
      <c r="E53" s="159"/>
      <c r="F53" s="159"/>
      <c r="G53" s="159"/>
      <c r="H53" s="159"/>
      <c r="I53" s="159"/>
      <c r="J53" s="159"/>
      <c r="K53" s="159"/>
    </row>
    <row r="54" spans="1:11">
      <c r="A54" s="157"/>
      <c r="B54" s="159"/>
      <c r="C54" s="159"/>
      <c r="D54" s="159"/>
      <c r="E54" s="159"/>
      <c r="F54" s="159"/>
      <c r="G54" s="159"/>
      <c r="H54" s="159"/>
      <c r="I54" s="159"/>
      <c r="J54" s="159"/>
      <c r="K54" s="159"/>
    </row>
    <row r="55" spans="1:11">
      <c r="A55" s="157"/>
      <c r="B55" s="159"/>
      <c r="C55" s="159"/>
      <c r="D55" s="159"/>
      <c r="E55" s="159"/>
      <c r="F55" s="159"/>
      <c r="G55" s="159"/>
      <c r="H55" s="159"/>
      <c r="I55" s="159"/>
      <c r="J55" s="159"/>
      <c r="K55" s="159"/>
    </row>
    <row r="56" spans="1:11">
      <c r="A56" s="157"/>
      <c r="B56" s="159"/>
      <c r="C56" s="159"/>
      <c r="D56" s="159"/>
      <c r="E56" s="159"/>
      <c r="F56" s="159"/>
      <c r="G56" s="159"/>
      <c r="H56" s="159"/>
      <c r="I56" s="159"/>
      <c r="J56" s="159"/>
      <c r="K56" s="159"/>
    </row>
    <row r="57" spans="1:11">
      <c r="A57" s="157"/>
      <c r="B57" s="159"/>
      <c r="C57" s="159"/>
      <c r="D57" s="159"/>
      <c r="E57" s="159"/>
      <c r="F57" s="159"/>
      <c r="G57" s="159"/>
      <c r="H57" s="159"/>
      <c r="I57" s="159"/>
      <c r="J57" s="159"/>
      <c r="K57" s="159"/>
    </row>
    <row r="58" spans="1:11">
      <c r="A58" s="157"/>
      <c r="B58" s="159"/>
      <c r="C58" s="159"/>
      <c r="D58" s="159"/>
      <c r="E58" s="159"/>
      <c r="F58" s="159"/>
      <c r="G58" s="159"/>
      <c r="H58" s="159"/>
      <c r="I58" s="159"/>
      <c r="J58" s="159"/>
      <c r="K58" s="159"/>
    </row>
    <row r="59" spans="1:11">
      <c r="A59" s="157"/>
      <c r="B59" s="159"/>
      <c r="C59" s="159"/>
      <c r="D59" s="159"/>
      <c r="E59" s="159"/>
      <c r="F59" s="159"/>
      <c r="G59" s="159"/>
      <c r="H59" s="159"/>
      <c r="I59" s="159"/>
      <c r="J59" s="159"/>
      <c r="K59" s="159"/>
    </row>
    <row r="60" spans="1:11">
      <c r="B60" s="159"/>
      <c r="C60" s="159"/>
      <c r="D60" s="159"/>
      <c r="E60" s="159"/>
      <c r="F60" s="159"/>
      <c r="G60" s="159"/>
      <c r="H60" s="159"/>
      <c r="I60" s="159"/>
      <c r="J60" s="159"/>
      <c r="K60" s="159"/>
    </row>
    <row r="61" spans="1:11">
      <c r="A61" s="342" t="str">
        <f>"Gráfico N° 7: Participación de las RER en la Matriz de Generación del SEIN en "&amp;'1. Resumen'!Q4&amp;" "&amp;'1. Resumen'!Q5</f>
        <v>Gráfico N° 7: Participación de las RER en la Matriz de Generación del SEIN en abril 2018</v>
      </c>
      <c r="B61" s="159"/>
      <c r="C61" s="159"/>
      <c r="D61" s="159"/>
      <c r="E61" s="159"/>
      <c r="F61" s="159"/>
      <c r="G61" s="159"/>
      <c r="H61" s="159"/>
      <c r="I61" s="159"/>
      <c r="J61" s="159"/>
      <c r="K61" s="159"/>
    </row>
  </sheetData>
  <mergeCells count="7">
    <mergeCell ref="A34:K34"/>
    <mergeCell ref="A2:K2"/>
    <mergeCell ref="A4:A5"/>
    <mergeCell ref="B4:D4"/>
    <mergeCell ref="E4:F4"/>
    <mergeCell ref="G4:K4"/>
    <mergeCell ref="A14:K14"/>
  </mergeCells>
  <pageMargins left="0.6428571428571429" right="0.54761904761904767" top="0.86956521739130432" bottom="0.61458333333333337" header="0.3" footer="0.3"/>
  <pageSetup orientation="portrait" r:id="rId1"/>
  <headerFooter>
    <oddHeader>&amp;R&amp;7Informe de la Operación Mensual - Abril 2018
INFSGI-MES-04-2018
10/05/2018
Versión: 01</oddHeader>
    <oddFooter>&amp;L&amp;7COES SINAC, 2018
&amp;C5&amp;R&amp;7Dirección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17CCD-E29E-4ECA-B9FC-DDA2646DA177}">
  <sheetPr>
    <tabColor theme="4"/>
  </sheetPr>
  <dimension ref="A2:V64"/>
  <sheetViews>
    <sheetView showGridLines="0" view="pageBreakPreview" zoomScale="130" zoomScaleNormal="100" zoomScaleSheetLayoutView="130" zoomScalePageLayoutView="160" workbookViewId="0">
      <selection activeCell="P17" sqref="P17"/>
    </sheetView>
  </sheetViews>
  <sheetFormatPr defaultRowHeight="11.25"/>
  <cols>
    <col min="1" max="11" width="10.33203125" style="3" customWidth="1"/>
    <col min="12" max="12" width="21.1640625" style="541" bestFit="1" customWidth="1"/>
    <col min="13" max="14" width="9.33203125" style="541"/>
    <col min="15" max="15" width="11.83203125" style="541" customWidth="1"/>
    <col min="16" max="17" width="9.33203125" style="541"/>
    <col min="18" max="19" width="9.33203125" style="542"/>
    <col min="20" max="20" width="15" style="542" customWidth="1"/>
    <col min="21" max="22" width="9.33203125" style="542"/>
    <col min="23" max="16384" width="9.33203125" style="3"/>
  </cols>
  <sheetData>
    <row r="2" spans="1:22" ht="11.25" customHeight="1">
      <c r="A2" s="898" t="s">
        <v>273</v>
      </c>
      <c r="B2" s="898"/>
      <c r="C2" s="898"/>
      <c r="D2" s="898"/>
      <c r="E2" s="898"/>
      <c r="F2" s="898"/>
      <c r="G2" s="898"/>
      <c r="H2" s="898"/>
      <c r="I2" s="898"/>
      <c r="J2" s="898"/>
      <c r="K2" s="898"/>
    </row>
    <row r="3" spans="1:22" ht="11.25" customHeight="1"/>
    <row r="4" spans="1:22" ht="11.25" customHeight="1">
      <c r="L4" s="543" t="s">
        <v>57</v>
      </c>
      <c r="M4" s="544" t="s">
        <v>31</v>
      </c>
      <c r="N4" s="543" t="s">
        <v>58</v>
      </c>
      <c r="O4" s="551">
        <v>43101</v>
      </c>
      <c r="P4" s="545"/>
      <c r="Q4" s="545"/>
    </row>
    <row r="5" spans="1:22" ht="11.25" customHeight="1">
      <c r="A5" s="176"/>
      <c r="B5" s="159"/>
      <c r="C5" s="159"/>
      <c r="D5" s="159"/>
      <c r="E5" s="159"/>
      <c r="F5" s="159"/>
      <c r="G5" s="159"/>
      <c r="H5" s="159"/>
      <c r="I5" s="159"/>
      <c r="J5" s="159"/>
      <c r="K5" s="159"/>
      <c r="L5" s="543"/>
      <c r="M5" s="544"/>
      <c r="N5" s="543"/>
      <c r="O5" s="543" t="s">
        <v>59</v>
      </c>
      <c r="P5" s="543" t="s">
        <v>60</v>
      </c>
      <c r="Q5" s="543"/>
      <c r="U5" s="542">
        <v>2018</v>
      </c>
      <c r="V5" s="542">
        <v>2017</v>
      </c>
    </row>
    <row r="6" spans="1:22" ht="11.25" customHeight="1">
      <c r="A6" s="132"/>
      <c r="B6" s="159"/>
      <c r="C6" s="159"/>
      <c r="D6" s="159"/>
      <c r="E6" s="159"/>
      <c r="F6" s="159"/>
      <c r="G6" s="159"/>
      <c r="H6" s="159"/>
      <c r="I6" s="159"/>
      <c r="J6" s="159"/>
      <c r="K6" s="159"/>
      <c r="L6" s="546" t="s">
        <v>61</v>
      </c>
      <c r="M6" s="547" t="s">
        <v>62</v>
      </c>
      <c r="N6" s="548">
        <v>19.966000000000001</v>
      </c>
      <c r="O6" s="547">
        <v>14.456160050000001</v>
      </c>
      <c r="P6" s="547">
        <v>1</v>
      </c>
      <c r="Q6" s="547"/>
      <c r="S6" s="542" t="s">
        <v>62</v>
      </c>
      <c r="T6" s="542" t="s">
        <v>63</v>
      </c>
      <c r="U6" s="837">
        <v>1</v>
      </c>
      <c r="V6" s="837"/>
    </row>
    <row r="7" spans="1:22" ht="11.25" customHeight="1">
      <c r="A7" s="157"/>
      <c r="B7" s="159"/>
      <c r="C7" s="159"/>
      <c r="D7" s="159"/>
      <c r="E7" s="159"/>
      <c r="F7" s="159"/>
      <c r="G7" s="159"/>
      <c r="H7" s="159"/>
      <c r="I7" s="159"/>
      <c r="J7" s="159"/>
      <c r="K7" s="159"/>
      <c r="L7" s="546" t="s">
        <v>578</v>
      </c>
      <c r="M7" s="547" t="s">
        <v>62</v>
      </c>
      <c r="N7" s="548">
        <v>20</v>
      </c>
      <c r="O7" s="547">
        <v>14.084475920000001</v>
      </c>
      <c r="P7" s="547">
        <v>0.97808860555555566</v>
      </c>
      <c r="Q7" s="547"/>
      <c r="T7" s="542" t="s">
        <v>76</v>
      </c>
      <c r="U7" s="837">
        <v>1</v>
      </c>
      <c r="V7" s="837">
        <v>0.79755213102869338</v>
      </c>
    </row>
    <row r="8" spans="1:22" ht="11.25" customHeight="1">
      <c r="A8" s="157"/>
      <c r="B8" s="159"/>
      <c r="C8" s="159"/>
      <c r="D8" s="159"/>
      <c r="E8" s="159"/>
      <c r="F8" s="159"/>
      <c r="G8" s="159"/>
      <c r="H8" s="159"/>
      <c r="I8" s="159"/>
      <c r="J8" s="159"/>
      <c r="K8" s="159"/>
      <c r="L8" s="546" t="s">
        <v>67</v>
      </c>
      <c r="M8" s="547" t="s">
        <v>62</v>
      </c>
      <c r="N8" s="548">
        <v>19.899999999999999</v>
      </c>
      <c r="O8" s="547">
        <v>13.2414003125</v>
      </c>
      <c r="P8" s="547">
        <v>0.9241625008724178</v>
      </c>
      <c r="Q8" s="547"/>
      <c r="T8" s="542" t="s">
        <v>61</v>
      </c>
      <c r="U8" s="837">
        <v>0.99305138718460273</v>
      </c>
      <c r="V8" s="837">
        <v>0.99266979977072134</v>
      </c>
    </row>
    <row r="9" spans="1:22" ht="11.25" customHeight="1">
      <c r="A9" s="157"/>
      <c r="B9" s="159"/>
      <c r="C9" s="159"/>
      <c r="D9" s="159"/>
      <c r="E9" s="159"/>
      <c r="F9" s="159"/>
      <c r="G9" s="159"/>
      <c r="H9" s="159"/>
      <c r="I9" s="159"/>
      <c r="J9" s="159"/>
      <c r="K9" s="159"/>
      <c r="L9" s="546" t="s">
        <v>65</v>
      </c>
      <c r="M9" s="549" t="s">
        <v>62</v>
      </c>
      <c r="N9" s="548">
        <v>19.1995</v>
      </c>
      <c r="O9" s="547">
        <v>13.1516892225</v>
      </c>
      <c r="P9" s="547">
        <v>0.95139118368967945</v>
      </c>
      <c r="Q9" s="547"/>
      <c r="T9" s="542" t="s">
        <v>66</v>
      </c>
      <c r="U9" s="837">
        <v>0.98110698960802811</v>
      </c>
      <c r="V9" s="837">
        <v>0.95907915622229667</v>
      </c>
    </row>
    <row r="10" spans="1:22" ht="11.25" customHeight="1">
      <c r="A10" s="157"/>
      <c r="B10" s="159"/>
      <c r="C10" s="159"/>
      <c r="D10" s="159"/>
      <c r="E10" s="159"/>
      <c r="F10" s="159"/>
      <c r="G10" s="159"/>
      <c r="H10" s="159"/>
      <c r="I10" s="159"/>
      <c r="J10" s="159"/>
      <c r="K10" s="159"/>
      <c r="L10" s="546" t="s">
        <v>64</v>
      </c>
      <c r="M10" s="549" t="s">
        <v>62</v>
      </c>
      <c r="N10" s="548">
        <v>19.966999999999999</v>
      </c>
      <c r="O10" s="547">
        <v>11.898897762500001</v>
      </c>
      <c r="P10" s="547">
        <v>0.82767801334006674</v>
      </c>
      <c r="Q10" s="547"/>
      <c r="T10" s="542" t="s">
        <v>69</v>
      </c>
      <c r="U10" s="837">
        <v>0.92444234736322628</v>
      </c>
      <c r="V10" s="837">
        <v>0.85234861118309657</v>
      </c>
    </row>
    <row r="11" spans="1:22" ht="11.25" customHeight="1">
      <c r="A11" s="157"/>
      <c r="B11" s="159"/>
      <c r="C11" s="159"/>
      <c r="D11" s="159"/>
      <c r="E11" s="159"/>
      <c r="F11" s="159"/>
      <c r="G11" s="159"/>
      <c r="H11" s="159"/>
      <c r="I11" s="159"/>
      <c r="J11" s="159"/>
      <c r="K11" s="159"/>
      <c r="L11" s="546" t="s">
        <v>63</v>
      </c>
      <c r="M11" s="549" t="s">
        <v>62</v>
      </c>
      <c r="N11" s="548">
        <v>15</v>
      </c>
      <c r="O11" s="547">
        <v>7.6939949725000005</v>
      </c>
      <c r="P11" s="547">
        <v>0.71240694189814824</v>
      </c>
      <c r="Q11" s="547"/>
      <c r="T11" s="542" t="s">
        <v>68</v>
      </c>
      <c r="U11" s="837">
        <v>0.92338571864334018</v>
      </c>
      <c r="V11" s="837">
        <v>0.8256126307092011</v>
      </c>
    </row>
    <row r="12" spans="1:22" ht="11.25" customHeight="1">
      <c r="A12" s="157"/>
      <c r="B12" s="159"/>
      <c r="C12" s="159"/>
      <c r="D12" s="159"/>
      <c r="E12" s="159"/>
      <c r="F12" s="159"/>
      <c r="G12" s="159"/>
      <c r="H12" s="159"/>
      <c r="I12" s="159"/>
      <c r="J12" s="159"/>
      <c r="K12" s="159"/>
      <c r="L12" s="546" t="s">
        <v>68</v>
      </c>
      <c r="M12" s="547" t="s">
        <v>62</v>
      </c>
      <c r="N12" s="548">
        <v>10.222</v>
      </c>
      <c r="O12" s="547">
        <v>6.9671834500000003</v>
      </c>
      <c r="P12" s="547">
        <v>0.94664876546229282</v>
      </c>
      <c r="Q12" s="547"/>
      <c r="T12" s="542" t="s">
        <v>74</v>
      </c>
      <c r="U12" s="837">
        <v>0.87910973868332598</v>
      </c>
      <c r="V12" s="837">
        <v>0.58289099135992806</v>
      </c>
    </row>
    <row r="13" spans="1:22" ht="11.25" customHeight="1">
      <c r="A13" s="157"/>
      <c r="B13" s="159"/>
      <c r="C13" s="159"/>
      <c r="D13" s="159"/>
      <c r="E13" s="159"/>
      <c r="F13" s="159"/>
      <c r="G13" s="159"/>
      <c r="H13" s="159"/>
      <c r="I13" s="159"/>
      <c r="J13" s="159"/>
      <c r="K13" s="159"/>
      <c r="L13" s="546" t="s">
        <v>66</v>
      </c>
      <c r="M13" s="547" t="s">
        <v>62</v>
      </c>
      <c r="N13" s="548">
        <v>9.9830000000000005</v>
      </c>
      <c r="O13" s="547">
        <v>6.879448365</v>
      </c>
      <c r="P13" s="547">
        <v>0.95710601981702226</v>
      </c>
      <c r="Q13" s="547"/>
      <c r="T13" s="542" t="s">
        <v>65</v>
      </c>
      <c r="U13" s="837">
        <v>0.87072983106294732</v>
      </c>
      <c r="V13" s="837">
        <v>0.91241429855217226</v>
      </c>
    </row>
    <row r="14" spans="1:22" ht="11.25" customHeight="1">
      <c r="A14" s="157"/>
      <c r="B14" s="159"/>
      <c r="C14" s="159"/>
      <c r="D14" s="159"/>
      <c r="E14" s="159"/>
      <c r="F14" s="159"/>
      <c r="G14" s="159"/>
      <c r="H14" s="159"/>
      <c r="I14" s="159"/>
      <c r="J14" s="159"/>
      <c r="K14" s="159"/>
      <c r="L14" s="546" t="s">
        <v>69</v>
      </c>
      <c r="M14" s="547" t="s">
        <v>62</v>
      </c>
      <c r="N14" s="548">
        <v>9.85</v>
      </c>
      <c r="O14" s="547">
        <v>6.6647145275000002</v>
      </c>
      <c r="P14" s="547">
        <v>0.93975106140721953</v>
      </c>
      <c r="Q14" s="547"/>
      <c r="T14" s="542" t="s">
        <v>77</v>
      </c>
      <c r="U14" s="837">
        <v>0.84299695674623343</v>
      </c>
      <c r="V14" s="837">
        <v>0.52734713195386262</v>
      </c>
    </row>
    <row r="15" spans="1:22" ht="11.25" customHeight="1">
      <c r="A15" s="157"/>
      <c r="B15" s="159"/>
      <c r="C15" s="159"/>
      <c r="D15" s="159"/>
      <c r="E15" s="159"/>
      <c r="F15" s="159"/>
      <c r="G15" s="159"/>
      <c r="H15" s="159"/>
      <c r="I15" s="159"/>
      <c r="J15" s="159"/>
      <c r="K15" s="159"/>
      <c r="L15" s="546" t="s">
        <v>73</v>
      </c>
      <c r="M15" s="547" t="s">
        <v>62</v>
      </c>
      <c r="N15" s="548">
        <v>9.5660000000000007</v>
      </c>
      <c r="O15" s="547">
        <v>5.942144345</v>
      </c>
      <c r="P15" s="547">
        <v>0.86274077534439086</v>
      </c>
      <c r="Q15" s="547"/>
      <c r="T15" s="542" t="s">
        <v>578</v>
      </c>
      <c r="U15" s="837">
        <v>0.83960694047619056</v>
      </c>
      <c r="V15" s="837"/>
    </row>
    <row r="16" spans="1:22" ht="11.25" customHeight="1">
      <c r="A16" s="157"/>
      <c r="B16" s="159"/>
      <c r="C16" s="159"/>
      <c r="D16" s="159"/>
      <c r="E16" s="159"/>
      <c r="F16" s="159"/>
      <c r="G16" s="159"/>
      <c r="H16" s="159"/>
      <c r="I16" s="159"/>
      <c r="J16" s="159"/>
      <c r="K16" s="159"/>
      <c r="L16" s="546" t="s">
        <v>71</v>
      </c>
      <c r="M16" s="547" t="s">
        <v>62</v>
      </c>
      <c r="N16" s="548">
        <v>7.4240000000000004</v>
      </c>
      <c r="O16" s="547">
        <v>4.4403374949999996</v>
      </c>
      <c r="P16" s="547">
        <v>0.83070250669749746</v>
      </c>
      <c r="Q16" s="547"/>
      <c r="T16" s="542" t="s">
        <v>64</v>
      </c>
      <c r="U16" s="837">
        <v>0.83360637556308181</v>
      </c>
      <c r="V16" s="837">
        <v>0.86394565547041513</v>
      </c>
    </row>
    <row r="17" spans="1:22" ht="11.25" customHeight="1">
      <c r="A17" s="157"/>
      <c r="B17" s="159"/>
      <c r="C17" s="159"/>
      <c r="D17" s="159"/>
      <c r="E17" s="159"/>
      <c r="F17" s="159"/>
      <c r="G17" s="159"/>
      <c r="H17" s="159"/>
      <c r="I17" s="159"/>
      <c r="J17" s="159"/>
      <c r="K17" s="159"/>
      <c r="L17" s="546" t="s">
        <v>70</v>
      </c>
      <c r="M17" s="547" t="s">
        <v>62</v>
      </c>
      <c r="N17" s="548">
        <v>7.7450000000000001</v>
      </c>
      <c r="O17" s="547">
        <v>4.4244818375000001</v>
      </c>
      <c r="P17" s="547">
        <v>0.79342978220715887</v>
      </c>
      <c r="Q17" s="547"/>
      <c r="T17" s="542" t="s">
        <v>70</v>
      </c>
      <c r="U17" s="837">
        <v>0.83015243089179414</v>
      </c>
      <c r="V17" s="837">
        <v>0.64097206022715825</v>
      </c>
    </row>
    <row r="18" spans="1:22">
      <c r="A18" s="157"/>
      <c r="B18" s="159"/>
      <c r="C18" s="159"/>
      <c r="D18" s="159"/>
      <c r="E18" s="159"/>
      <c r="F18" s="159"/>
      <c r="G18" s="159"/>
      <c r="H18" s="159"/>
      <c r="I18" s="159"/>
      <c r="J18" s="159"/>
      <c r="K18" s="159"/>
      <c r="L18" s="546" t="s">
        <v>72</v>
      </c>
      <c r="M18" s="547" t="s">
        <v>62</v>
      </c>
      <c r="N18" s="548">
        <v>6.9580000000000002</v>
      </c>
      <c r="O18" s="547">
        <v>4.1599814574999998</v>
      </c>
      <c r="P18" s="547">
        <v>0.83037539872169519</v>
      </c>
      <c r="Q18" s="547"/>
      <c r="T18" s="542" t="s">
        <v>71</v>
      </c>
      <c r="U18" s="837">
        <v>0.82515170650555236</v>
      </c>
      <c r="V18" s="837">
        <v>0.84766407333328198</v>
      </c>
    </row>
    <row r="19" spans="1:22">
      <c r="A19" s="157"/>
      <c r="B19" s="159"/>
      <c r="C19" s="159"/>
      <c r="D19" s="159"/>
      <c r="E19" s="159"/>
      <c r="F19" s="159"/>
      <c r="G19" s="159"/>
      <c r="H19" s="159"/>
      <c r="I19" s="159"/>
      <c r="J19" s="159"/>
      <c r="K19" s="159"/>
      <c r="L19" s="546" t="s">
        <v>74</v>
      </c>
      <c r="M19" s="547" t="s">
        <v>62</v>
      </c>
      <c r="N19" s="548">
        <v>5.1890000000000001</v>
      </c>
      <c r="O19" s="547">
        <v>3.5220719999999996</v>
      </c>
      <c r="P19" s="547">
        <v>0.94271857133680215</v>
      </c>
      <c r="Q19" s="547"/>
      <c r="T19" s="542" t="s">
        <v>72</v>
      </c>
      <c r="U19" s="837">
        <v>0.8147547144224474</v>
      </c>
      <c r="V19" s="837">
        <v>0.8816091206067056</v>
      </c>
    </row>
    <row r="20" spans="1:22">
      <c r="A20" s="157"/>
      <c r="B20" s="159"/>
      <c r="C20" s="159"/>
      <c r="D20" s="159"/>
      <c r="E20" s="159"/>
      <c r="F20" s="159"/>
      <c r="G20" s="159"/>
      <c r="H20" s="159"/>
      <c r="I20" s="159"/>
      <c r="J20" s="159"/>
      <c r="K20" s="159"/>
      <c r="L20" s="546" t="s">
        <v>75</v>
      </c>
      <c r="M20" s="547" t="s">
        <v>62</v>
      </c>
      <c r="N20" s="548">
        <v>5.67</v>
      </c>
      <c r="O20" s="547">
        <v>3.3721646325000001</v>
      </c>
      <c r="P20" s="547">
        <v>0.82602504225455631</v>
      </c>
      <c r="Q20" s="547"/>
      <c r="T20" s="542" t="s">
        <v>67</v>
      </c>
      <c r="U20" s="837">
        <v>0.80773036017762434</v>
      </c>
      <c r="V20" s="837">
        <v>5.3391959798994976E-4</v>
      </c>
    </row>
    <row r="21" spans="1:22">
      <c r="A21" s="157"/>
      <c r="B21" s="159"/>
      <c r="C21" s="159"/>
      <c r="D21" s="159"/>
      <c r="E21" s="159"/>
      <c r="F21" s="159"/>
      <c r="G21" s="159"/>
      <c r="H21" s="159"/>
      <c r="I21" s="159"/>
      <c r="J21" s="159"/>
      <c r="K21" s="159"/>
      <c r="L21" s="546" t="s">
        <v>76</v>
      </c>
      <c r="M21" s="547" t="s">
        <v>62</v>
      </c>
      <c r="N21" s="548">
        <v>3.48</v>
      </c>
      <c r="O21" s="547">
        <v>2.55572775</v>
      </c>
      <c r="P21" s="547">
        <v>1</v>
      </c>
      <c r="Q21" s="547"/>
      <c r="T21" s="542" t="s">
        <v>75</v>
      </c>
      <c r="U21" s="837">
        <v>0.74667221089310221</v>
      </c>
      <c r="V21" s="837">
        <v>0.84171317397600132</v>
      </c>
    </row>
    <row r="22" spans="1:22">
      <c r="A22" s="157"/>
      <c r="B22" s="159"/>
      <c r="C22" s="159"/>
      <c r="D22" s="159"/>
      <c r="E22" s="159"/>
      <c r="F22" s="159"/>
      <c r="G22" s="159"/>
      <c r="H22" s="159"/>
      <c r="I22" s="159"/>
      <c r="J22" s="159"/>
      <c r="K22" s="159"/>
      <c r="L22" s="546" t="s">
        <v>77</v>
      </c>
      <c r="M22" s="547" t="s">
        <v>62</v>
      </c>
      <c r="N22" s="548">
        <v>3.91621</v>
      </c>
      <c r="O22" s="547">
        <v>2.4280124124999998</v>
      </c>
      <c r="P22" s="547">
        <v>0.86109770972587141</v>
      </c>
      <c r="Q22" s="547"/>
      <c r="T22" s="542" t="s">
        <v>73</v>
      </c>
      <c r="U22" s="837">
        <v>0.73619263864206552</v>
      </c>
      <c r="V22" s="837">
        <v>0.16569900509548435</v>
      </c>
    </row>
    <row r="23" spans="1:22">
      <c r="A23" s="157"/>
      <c r="B23" s="159"/>
      <c r="C23" s="159"/>
      <c r="D23" s="159"/>
      <c r="E23" s="159"/>
      <c r="F23" s="159"/>
      <c r="G23" s="159"/>
      <c r="H23" s="159"/>
      <c r="I23" s="159"/>
      <c r="J23" s="159"/>
      <c r="K23" s="159"/>
      <c r="L23" s="546" t="s">
        <v>78</v>
      </c>
      <c r="M23" s="547" t="s">
        <v>62</v>
      </c>
      <c r="N23" s="548">
        <v>3.964</v>
      </c>
      <c r="O23" s="547">
        <v>1.7214</v>
      </c>
      <c r="P23" s="547">
        <v>0.60313656239488733</v>
      </c>
      <c r="Q23" s="547"/>
      <c r="T23" s="542" t="s">
        <v>78</v>
      </c>
      <c r="U23" s="837">
        <v>0.67876513622603429</v>
      </c>
      <c r="V23" s="837">
        <v>0.7100624369323828</v>
      </c>
    </row>
    <row r="24" spans="1:22">
      <c r="A24" s="157"/>
      <c r="B24" s="159"/>
      <c r="C24" s="159"/>
      <c r="D24" s="159"/>
      <c r="E24" s="159"/>
      <c r="F24" s="159"/>
      <c r="G24" s="159"/>
      <c r="H24" s="159"/>
      <c r="I24" s="159"/>
      <c r="J24" s="159"/>
      <c r="K24" s="159"/>
      <c r="L24" s="546" t="s">
        <v>79</v>
      </c>
      <c r="M24" s="547" t="s">
        <v>62</v>
      </c>
      <c r="N24" s="548">
        <v>1.714</v>
      </c>
      <c r="O24" s="547">
        <v>0.22759108749999998</v>
      </c>
      <c r="P24" s="547">
        <v>0.18442166431673798</v>
      </c>
      <c r="Q24" s="547"/>
      <c r="T24" s="542" t="s">
        <v>79</v>
      </c>
      <c r="U24" s="837">
        <v>0.20038974023158954</v>
      </c>
      <c r="V24" s="837">
        <v>4.1064061918063319E-2</v>
      </c>
    </row>
    <row r="25" spans="1:22">
      <c r="A25" s="157"/>
      <c r="B25" s="159"/>
      <c r="C25" s="159"/>
      <c r="D25" s="159"/>
      <c r="E25" s="159"/>
      <c r="F25" s="159"/>
      <c r="G25" s="159"/>
      <c r="H25" s="159"/>
      <c r="I25" s="159"/>
      <c r="J25" s="159"/>
      <c r="K25" s="159"/>
      <c r="L25" s="546" t="s">
        <v>80</v>
      </c>
      <c r="M25" s="547" t="s">
        <v>248</v>
      </c>
      <c r="N25" s="548">
        <v>97.15</v>
      </c>
      <c r="O25" s="547">
        <v>36.452785259999999</v>
      </c>
      <c r="P25" s="547">
        <v>0.52114120861211166</v>
      </c>
      <c r="Q25" s="547"/>
      <c r="S25" s="542" t="s">
        <v>81</v>
      </c>
      <c r="T25" s="542" t="s">
        <v>80</v>
      </c>
      <c r="U25" s="837">
        <v>0.53773848247984202</v>
      </c>
      <c r="V25" s="837">
        <v>0.5386712870408259</v>
      </c>
    </row>
    <row r="26" spans="1:22">
      <c r="A26" s="157"/>
      <c r="B26" s="159"/>
      <c r="C26" s="159"/>
      <c r="D26" s="159"/>
      <c r="E26" s="159"/>
      <c r="F26" s="159"/>
      <c r="G26" s="159"/>
      <c r="H26" s="159"/>
      <c r="I26" s="159"/>
      <c r="J26" s="159"/>
      <c r="K26" s="159"/>
      <c r="L26" s="546" t="s">
        <v>82</v>
      </c>
      <c r="M26" s="547" t="s">
        <v>248</v>
      </c>
      <c r="N26" s="548">
        <v>83.15</v>
      </c>
      <c r="O26" s="547">
        <v>23.0471522275</v>
      </c>
      <c r="P26" s="547">
        <v>0.38496612927607399</v>
      </c>
      <c r="Q26" s="547"/>
      <c r="T26" s="542" t="s">
        <v>83</v>
      </c>
      <c r="U26" s="837">
        <v>0.50067217561848953</v>
      </c>
      <c r="V26" s="837">
        <v>0.5604561437833977</v>
      </c>
    </row>
    <row r="27" spans="1:22">
      <c r="A27" s="157"/>
      <c r="B27" s="159"/>
      <c r="C27" s="159"/>
      <c r="D27" s="159"/>
      <c r="E27" s="159"/>
      <c r="F27" s="159"/>
      <c r="G27" s="159"/>
      <c r="H27" s="159"/>
      <c r="I27" s="159"/>
      <c r="J27" s="159"/>
      <c r="K27" s="159"/>
      <c r="L27" s="546" t="s">
        <v>83</v>
      </c>
      <c r="M27" s="547" t="s">
        <v>248</v>
      </c>
      <c r="N27" s="548">
        <v>32</v>
      </c>
      <c r="O27" s="547">
        <v>11.09447503</v>
      </c>
      <c r="P27" s="547">
        <v>0.48153103428819444</v>
      </c>
      <c r="Q27" s="547"/>
      <c r="T27" s="542" t="s">
        <v>82</v>
      </c>
      <c r="U27" s="837">
        <v>0.38591262389757464</v>
      </c>
      <c r="V27" s="837">
        <v>0.26223835580843291</v>
      </c>
    </row>
    <row r="28" spans="1:22">
      <c r="A28" s="157"/>
      <c r="B28" s="159"/>
      <c r="C28" s="159"/>
      <c r="D28" s="159"/>
      <c r="E28" s="159"/>
      <c r="F28" s="159"/>
      <c r="G28" s="159"/>
      <c r="H28" s="159"/>
      <c r="I28" s="159"/>
      <c r="J28" s="159"/>
      <c r="K28" s="159"/>
      <c r="L28" s="546" t="s">
        <v>84</v>
      </c>
      <c r="M28" s="547" t="s">
        <v>248</v>
      </c>
      <c r="N28" s="548">
        <v>30.86</v>
      </c>
      <c r="O28" s="547">
        <v>7.7621449225000001</v>
      </c>
      <c r="P28" s="547">
        <v>0.34934403230089289</v>
      </c>
      <c r="Q28" s="547"/>
      <c r="T28" s="542" t="s">
        <v>84</v>
      </c>
      <c r="U28" s="837">
        <v>0.30241983928876826</v>
      </c>
      <c r="V28" s="837">
        <v>0.188839136112153</v>
      </c>
    </row>
    <row r="29" spans="1:22">
      <c r="A29" s="157"/>
      <c r="B29" s="159"/>
      <c r="C29" s="159"/>
      <c r="D29" s="159"/>
      <c r="E29" s="159"/>
      <c r="F29" s="159"/>
      <c r="G29" s="159"/>
      <c r="H29" s="159"/>
      <c r="I29" s="159"/>
      <c r="J29" s="159"/>
      <c r="K29" s="159"/>
      <c r="L29" s="546" t="s">
        <v>88</v>
      </c>
      <c r="M29" s="547" t="s">
        <v>86</v>
      </c>
      <c r="N29" s="548">
        <v>144.47999999999999</v>
      </c>
      <c r="O29" s="547">
        <v>31.8351268525</v>
      </c>
      <c r="P29" s="547">
        <v>0.30603165809666089</v>
      </c>
      <c r="Q29" s="547"/>
      <c r="S29" s="542" t="s">
        <v>86</v>
      </c>
      <c r="T29" s="542" t="s">
        <v>87</v>
      </c>
      <c r="U29" s="837">
        <v>0.34000938693576388</v>
      </c>
      <c r="V29" s="837">
        <v>0.31499101371740451</v>
      </c>
    </row>
    <row r="30" spans="1:22">
      <c r="A30" s="157"/>
      <c r="B30" s="159"/>
      <c r="C30" s="159"/>
      <c r="D30" s="159"/>
      <c r="E30" s="159"/>
      <c r="F30" s="159"/>
      <c r="G30" s="159"/>
      <c r="H30" s="159"/>
      <c r="I30" s="159"/>
      <c r="J30" s="159"/>
      <c r="K30" s="159"/>
      <c r="L30" s="546" t="s">
        <v>579</v>
      </c>
      <c r="M30" s="547" t="s">
        <v>86</v>
      </c>
      <c r="N30" s="548">
        <v>44.54</v>
      </c>
      <c r="O30" s="547">
        <v>8.1170165425</v>
      </c>
      <c r="P30" s="547">
        <v>0.2531125749170533</v>
      </c>
      <c r="Q30" s="547"/>
      <c r="T30" s="542" t="s">
        <v>88</v>
      </c>
      <c r="U30" s="837">
        <v>0.31242661657639725</v>
      </c>
      <c r="V30" s="837"/>
    </row>
    <row r="31" spans="1:22">
      <c r="A31" s="157"/>
      <c r="B31" s="159"/>
      <c r="C31" s="159"/>
      <c r="D31" s="159"/>
      <c r="E31" s="159"/>
      <c r="F31" s="159"/>
      <c r="G31" s="159"/>
      <c r="H31" s="159"/>
      <c r="I31" s="159"/>
      <c r="J31" s="159"/>
      <c r="K31" s="159"/>
      <c r="L31" s="546" t="s">
        <v>85</v>
      </c>
      <c r="M31" s="547" t="s">
        <v>86</v>
      </c>
      <c r="N31" s="548">
        <v>20</v>
      </c>
      <c r="O31" s="547">
        <v>4.0577368074999995</v>
      </c>
      <c r="P31" s="547">
        <v>0.28178727829861105</v>
      </c>
      <c r="Q31" s="547"/>
      <c r="T31" s="542" t="s">
        <v>269</v>
      </c>
      <c r="U31" s="837">
        <v>0.31117151536458332</v>
      </c>
      <c r="V31" s="837">
        <v>0.28967338826736111</v>
      </c>
    </row>
    <row r="32" spans="1:22">
      <c r="A32" s="157"/>
      <c r="B32" s="159"/>
      <c r="C32" s="159"/>
      <c r="D32" s="159"/>
      <c r="E32" s="159"/>
      <c r="F32" s="159"/>
      <c r="G32" s="159"/>
      <c r="H32" s="159"/>
      <c r="I32" s="159"/>
      <c r="J32" s="159"/>
      <c r="K32" s="159"/>
      <c r="L32" s="546" t="s">
        <v>621</v>
      </c>
      <c r="M32" s="547" t="s">
        <v>86</v>
      </c>
      <c r="N32" s="548">
        <v>20</v>
      </c>
      <c r="O32" s="547">
        <v>4.0056564999999997</v>
      </c>
      <c r="P32" s="547">
        <v>0.27817059027777774</v>
      </c>
      <c r="Q32" s="547"/>
      <c r="T32" s="542" t="s">
        <v>270</v>
      </c>
      <c r="U32" s="837">
        <v>0.29761519470486114</v>
      </c>
      <c r="V32" s="837">
        <v>0.27302305121527776</v>
      </c>
    </row>
    <row r="33" spans="1:22">
      <c r="A33" s="157"/>
      <c r="B33" s="159"/>
      <c r="C33" s="159"/>
      <c r="D33" s="159"/>
      <c r="E33" s="159"/>
      <c r="F33" s="159"/>
      <c r="G33" s="159"/>
      <c r="H33" s="159"/>
      <c r="I33" s="159"/>
      <c r="J33" s="159"/>
      <c r="K33" s="159"/>
      <c r="L33" s="546" t="s">
        <v>622</v>
      </c>
      <c r="M33" s="547" t="s">
        <v>86</v>
      </c>
      <c r="N33" s="548">
        <v>16</v>
      </c>
      <c r="O33" s="547">
        <v>3.7161225949999999</v>
      </c>
      <c r="P33" s="547">
        <v>0.32258008637152774</v>
      </c>
      <c r="Q33" s="547"/>
      <c r="T33" s="542" t="s">
        <v>579</v>
      </c>
      <c r="U33" s="837">
        <v>0.25512939144045949</v>
      </c>
      <c r="V33" s="837"/>
    </row>
    <row r="34" spans="1:22">
      <c r="B34" s="159"/>
      <c r="C34" s="159"/>
      <c r="D34" s="159"/>
      <c r="E34" s="159"/>
      <c r="F34" s="159"/>
      <c r="G34" s="159"/>
      <c r="H34" s="159"/>
      <c r="I34" s="159"/>
      <c r="J34" s="159"/>
      <c r="K34" s="159"/>
      <c r="L34" s="546" t="s">
        <v>271</v>
      </c>
      <c r="M34" s="547" t="s">
        <v>86</v>
      </c>
      <c r="N34" s="548">
        <v>20</v>
      </c>
      <c r="O34" s="547">
        <v>3.2322990749999998</v>
      </c>
      <c r="P34" s="547">
        <v>0.22446521354166665</v>
      </c>
      <c r="Q34" s="547"/>
      <c r="T34" s="542" t="s">
        <v>271</v>
      </c>
      <c r="U34" s="837">
        <v>0.24692312717013892</v>
      </c>
      <c r="V34" s="837">
        <v>0.24421526492187498</v>
      </c>
    </row>
    <row r="35" spans="1:22">
      <c r="A35" s="157"/>
      <c r="B35" s="159"/>
      <c r="C35" s="159"/>
      <c r="D35" s="159"/>
      <c r="E35" s="159"/>
      <c r="F35" s="159"/>
      <c r="G35" s="159"/>
      <c r="H35" s="159"/>
      <c r="I35" s="159"/>
      <c r="J35" s="159"/>
      <c r="K35" s="159"/>
      <c r="L35" s="546" t="s">
        <v>89</v>
      </c>
      <c r="M35" s="547" t="s">
        <v>86</v>
      </c>
      <c r="N35" s="548">
        <v>20</v>
      </c>
      <c r="O35" s="547">
        <v>3.2076275074999998</v>
      </c>
      <c r="P35" s="547">
        <v>0.22275191024305555</v>
      </c>
      <c r="Q35" s="547"/>
      <c r="T35" s="542" t="s">
        <v>89</v>
      </c>
      <c r="U35" s="837">
        <v>0.20623358224826388</v>
      </c>
      <c r="V35" s="837">
        <v>0.21606370642361111</v>
      </c>
    </row>
    <row r="36" spans="1:22">
      <c r="A36" s="157"/>
      <c r="B36" s="159"/>
      <c r="C36" s="159"/>
      <c r="D36" s="159"/>
      <c r="E36" s="159"/>
      <c r="F36" s="159"/>
      <c r="G36" s="159"/>
      <c r="H36" s="159"/>
      <c r="I36" s="159"/>
      <c r="J36" s="159"/>
      <c r="K36" s="159"/>
      <c r="L36" s="546" t="s">
        <v>90</v>
      </c>
      <c r="M36" s="547" t="s">
        <v>542</v>
      </c>
      <c r="N36" s="548">
        <v>12.74105</v>
      </c>
      <c r="O36" s="547">
        <v>7.4688760849999998</v>
      </c>
      <c r="P36" s="547">
        <v>0.81417457799352844</v>
      </c>
      <c r="Q36" s="547"/>
      <c r="S36" s="542" t="s">
        <v>272</v>
      </c>
      <c r="T36" s="542" t="s">
        <v>91</v>
      </c>
      <c r="U36" s="837">
        <v>0.91397486416585205</v>
      </c>
      <c r="V36" s="837">
        <v>0.86500185999315726</v>
      </c>
    </row>
    <row r="37" spans="1:22">
      <c r="A37" s="157"/>
      <c r="B37" s="159"/>
      <c r="C37" s="159"/>
      <c r="D37" s="159"/>
      <c r="E37" s="159"/>
      <c r="F37" s="159"/>
      <c r="G37" s="159"/>
      <c r="H37" s="159"/>
      <c r="I37" s="159"/>
      <c r="J37" s="159"/>
      <c r="K37" s="159"/>
      <c r="L37" s="546" t="s">
        <v>91</v>
      </c>
      <c r="M37" s="547" t="s">
        <v>542</v>
      </c>
      <c r="N37" s="548">
        <v>4.2625000000000002</v>
      </c>
      <c r="O37" s="547">
        <v>2.5777057499999998</v>
      </c>
      <c r="P37" s="547">
        <v>0.83991715542521972</v>
      </c>
      <c r="Q37" s="547"/>
      <c r="T37" s="542" t="s">
        <v>90</v>
      </c>
      <c r="U37" s="837">
        <v>0.76296004113617455</v>
      </c>
      <c r="V37" s="837">
        <v>0.61399713151335011</v>
      </c>
    </row>
    <row r="38" spans="1:22" ht="11.25" customHeight="1">
      <c r="A38" s="157"/>
      <c r="B38" s="159"/>
      <c r="C38" s="159"/>
      <c r="D38" s="159"/>
      <c r="E38" s="159"/>
      <c r="F38" s="159"/>
      <c r="G38" s="159"/>
      <c r="H38" s="159"/>
      <c r="I38" s="159"/>
      <c r="J38" s="159"/>
      <c r="K38" s="159"/>
      <c r="L38" s="550" t="s">
        <v>92</v>
      </c>
      <c r="M38" s="550" t="s">
        <v>542</v>
      </c>
      <c r="N38" s="548">
        <v>2.9537</v>
      </c>
      <c r="O38" s="547">
        <v>1.298931225</v>
      </c>
      <c r="P38" s="547">
        <v>0.61078347355294482</v>
      </c>
      <c r="Q38" s="550"/>
      <c r="T38" s="542" t="s">
        <v>92</v>
      </c>
      <c r="U38" s="837">
        <v>0.64027801553277808</v>
      </c>
      <c r="V38" s="837">
        <v>0.21791117584354633</v>
      </c>
    </row>
    <row r="39" spans="1:22">
      <c r="A39" s="157"/>
      <c r="B39" s="159"/>
      <c r="C39" s="159"/>
      <c r="D39" s="159"/>
      <c r="E39" s="159"/>
      <c r="F39" s="159"/>
      <c r="G39" s="159"/>
      <c r="H39" s="159"/>
      <c r="I39" s="159"/>
      <c r="J39" s="159"/>
      <c r="K39" s="159"/>
      <c r="L39" s="541" t="s">
        <v>93</v>
      </c>
      <c r="M39" s="541" t="s">
        <v>542</v>
      </c>
      <c r="N39" s="548">
        <v>16.05958</v>
      </c>
      <c r="O39" s="547">
        <v>0</v>
      </c>
      <c r="P39" s="547">
        <v>0</v>
      </c>
      <c r="T39" s="542" t="s">
        <v>93</v>
      </c>
      <c r="U39" s="837">
        <v>0</v>
      </c>
      <c r="V39" s="837"/>
    </row>
    <row r="40" spans="1:22">
      <c r="A40" s="157"/>
      <c r="B40" s="159"/>
      <c r="C40" s="159"/>
      <c r="D40" s="159"/>
      <c r="E40" s="159"/>
      <c r="F40" s="159"/>
      <c r="G40" s="159"/>
      <c r="H40" s="159"/>
      <c r="I40" s="159"/>
      <c r="J40" s="159"/>
      <c r="K40" s="159"/>
    </row>
    <row r="41" spans="1:22">
      <c r="A41" s="157"/>
      <c r="B41" s="159"/>
      <c r="C41" s="159"/>
      <c r="D41" s="159"/>
      <c r="E41" s="159"/>
      <c r="F41" s="159"/>
      <c r="G41" s="159"/>
      <c r="H41" s="159"/>
      <c r="I41" s="159"/>
      <c r="J41" s="159"/>
      <c r="K41" s="159"/>
    </row>
    <row r="42" spans="1:22">
      <c r="A42" s="157"/>
      <c r="B42" s="159"/>
      <c r="C42" s="159"/>
      <c r="D42" s="159"/>
      <c r="E42" s="159"/>
      <c r="F42" s="159"/>
      <c r="G42" s="159"/>
      <c r="H42" s="159"/>
      <c r="I42" s="159"/>
      <c r="J42" s="159"/>
      <c r="K42" s="159"/>
    </row>
    <row r="43" spans="1:22" ht="26.25" customHeight="1">
      <c r="A43" s="895" t="str">
        <f>"Gráfico N° 8: Producción de energía eléctrica (GWh) y factor de planta de las centrales con recursos energético renovables por tipo de generación en "&amp;'1. Resumen'!Q4&amp;" "&amp;'1. Resumen'!Q5</f>
        <v>Gráfico N° 8: Producción de energía eléctrica (GWh) y factor de planta de las centrales con recursos energético renovables por tipo de generación en abril 2018</v>
      </c>
      <c r="B43" s="895"/>
      <c r="C43" s="895"/>
      <c r="D43" s="895"/>
      <c r="E43" s="895"/>
      <c r="F43" s="895"/>
      <c r="G43" s="895"/>
      <c r="H43" s="895"/>
      <c r="I43" s="895"/>
      <c r="J43" s="895"/>
      <c r="K43" s="895"/>
    </row>
    <row r="44" spans="1:22">
      <c r="A44" s="157"/>
      <c r="B44" s="159"/>
      <c r="C44" s="159"/>
      <c r="D44" s="159"/>
      <c r="E44" s="159"/>
      <c r="F44" s="159"/>
      <c r="G44" s="159"/>
      <c r="H44" s="159"/>
      <c r="I44" s="159"/>
      <c r="J44" s="159"/>
      <c r="K44" s="159"/>
    </row>
    <row r="45" spans="1:22" ht="12">
      <c r="A45" s="157"/>
      <c r="B45" s="159"/>
      <c r="C45" s="899" t="str">
        <f>"Factor de planta de las centrales RER  Acumulado al "&amp;'1. Resumen'!Q7&amp;" de "&amp;'1. Resumen'!Q4</f>
        <v>Factor de planta de las centrales RER  Acumulado al 30 de abril</v>
      </c>
      <c r="D45" s="899"/>
      <c r="E45" s="899"/>
      <c r="F45" s="899"/>
      <c r="G45" s="899"/>
      <c r="H45" s="899"/>
      <c r="I45" s="899"/>
      <c r="J45" s="159"/>
      <c r="K45" s="159"/>
    </row>
    <row r="46" spans="1:22">
      <c r="A46" s="157"/>
      <c r="B46" s="159"/>
      <c r="C46" s="159"/>
      <c r="D46" s="159"/>
      <c r="E46" s="159"/>
      <c r="F46" s="159"/>
      <c r="G46" s="159"/>
      <c r="H46" s="159"/>
      <c r="I46" s="159"/>
      <c r="J46" s="159"/>
      <c r="K46" s="159"/>
    </row>
    <row r="47" spans="1:22">
      <c r="A47" s="157"/>
      <c r="B47" s="159"/>
      <c r="C47" s="159"/>
      <c r="D47" s="159"/>
      <c r="E47" s="159"/>
      <c r="F47" s="159"/>
      <c r="G47" s="159"/>
      <c r="H47" s="159"/>
      <c r="I47" s="159"/>
      <c r="J47" s="159"/>
      <c r="K47" s="159"/>
    </row>
    <row r="48" spans="1:22">
      <c r="A48" s="157"/>
      <c r="B48" s="159"/>
      <c r="C48" s="159"/>
      <c r="D48" s="159"/>
      <c r="E48" s="159"/>
      <c r="F48" s="159"/>
      <c r="G48" s="159"/>
      <c r="H48" s="159"/>
      <c r="I48" s="159"/>
      <c r="J48" s="159"/>
      <c r="K48" s="159"/>
    </row>
    <row r="49" spans="1:11">
      <c r="A49" s="157"/>
      <c r="B49" s="159"/>
      <c r="C49" s="159"/>
      <c r="D49" s="159"/>
      <c r="E49" s="159"/>
      <c r="F49" s="159"/>
      <c r="G49" s="159"/>
      <c r="H49" s="159"/>
      <c r="I49" s="159"/>
      <c r="J49" s="159"/>
      <c r="K49" s="159"/>
    </row>
    <row r="50" spans="1:11">
      <c r="A50" s="157"/>
      <c r="B50" s="159"/>
      <c r="C50" s="159"/>
      <c r="D50" s="159"/>
      <c r="E50" s="159"/>
      <c r="F50" s="159"/>
      <c r="G50" s="159"/>
      <c r="H50" s="159"/>
      <c r="I50" s="159"/>
      <c r="J50" s="159"/>
      <c r="K50" s="159"/>
    </row>
    <row r="51" spans="1:1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B53" s="159"/>
      <c r="C53" s="159"/>
      <c r="D53" s="159"/>
      <c r="E53" s="159"/>
      <c r="F53" s="159"/>
      <c r="G53" s="159"/>
      <c r="H53" s="159"/>
      <c r="I53" s="159"/>
      <c r="J53" s="159"/>
      <c r="K53" s="159"/>
    </row>
    <row r="64" spans="1:11">
      <c r="A64" s="342" t="str">
        <f>"Gráfico N° 9: factor de planta de las centrales con recursos energético renovables en el SEIN en "&amp;'1. Resumen'!Q4</f>
        <v>Gráfico N° 9: factor de planta de las centrales con recursos energético renovables en el SEIN en abril</v>
      </c>
    </row>
  </sheetData>
  <mergeCells count="3">
    <mergeCell ref="A43:K43"/>
    <mergeCell ref="A2:K2"/>
    <mergeCell ref="C45:I45"/>
  </mergeCells>
  <pageMargins left="0.7" right="0.59782608695652173" top="0.86956521739130432" bottom="0.61458333333333337" header="0.3" footer="0.3"/>
  <pageSetup orientation="portrait" r:id="rId1"/>
  <headerFooter>
    <oddHeader>&amp;R&amp;7Informe de la Operación Mensual - Abril 2018
INFSGI-MES-04-2018
10/05/2018
Versión: 01</oddHeader>
    <oddFooter>&amp;L&amp;7COES SINAC, 2018
&amp;C6&amp;R&amp;7Dirección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EBCF9-2029-4238-BBFC-D23F9CC4BAF5}">
  <sheetPr>
    <tabColor theme="4"/>
  </sheetPr>
  <dimension ref="A1:N70"/>
  <sheetViews>
    <sheetView showGridLines="0" view="pageBreakPreview" zoomScale="145" zoomScaleNormal="100" zoomScaleSheetLayoutView="145" zoomScalePageLayoutView="145" workbookViewId="0">
      <selection activeCell="P17" sqref="P17"/>
    </sheetView>
  </sheetViews>
  <sheetFormatPr defaultRowHeight="11.25"/>
  <cols>
    <col min="1" max="1" width="30.1640625" style="3" customWidth="1"/>
    <col min="2" max="9" width="9.33203125" style="3"/>
    <col min="10" max="10" width="9.33203125" style="3" customWidth="1"/>
    <col min="11" max="11" width="22.83203125" style="3" customWidth="1"/>
    <col min="12" max="12" width="19.1640625" style="3" customWidth="1"/>
    <col min="13" max="16384" width="9.33203125" style="3"/>
  </cols>
  <sheetData>
    <row r="1" spans="1:14" ht="11.25" customHeight="1"/>
    <row r="2" spans="1:14" ht="11.25" customHeight="1">
      <c r="A2" s="896" t="s">
        <v>274</v>
      </c>
      <c r="B2" s="896"/>
      <c r="C2" s="896"/>
      <c r="D2" s="896"/>
      <c r="E2" s="896"/>
      <c r="F2" s="896"/>
      <c r="G2" s="896"/>
      <c r="H2" s="896"/>
      <c r="I2" s="896"/>
      <c r="J2" s="84"/>
    </row>
    <row r="3" spans="1:14" ht="6" customHeight="1">
      <c r="A3" s="84"/>
      <c r="B3" s="84"/>
      <c r="C3" s="84"/>
      <c r="D3" s="84"/>
      <c r="E3" s="84"/>
      <c r="F3" s="84"/>
      <c r="G3" s="84"/>
      <c r="H3" s="84"/>
      <c r="I3" s="84"/>
      <c r="J3" s="84"/>
      <c r="K3" s="624"/>
      <c r="L3" s="624"/>
    </row>
    <row r="4" spans="1:14" ht="11.25" customHeight="1">
      <c r="A4" s="902" t="s">
        <v>288</v>
      </c>
      <c r="B4" s="903" t="str">
        <f>+'1. Resumen'!Q4</f>
        <v>abril</v>
      </c>
      <c r="C4" s="904"/>
      <c r="D4" s="904"/>
      <c r="E4" s="159"/>
      <c r="F4" s="159"/>
      <c r="G4" s="905" t="s">
        <v>289</v>
      </c>
      <c r="H4" s="905"/>
      <c r="I4" s="905"/>
      <c r="J4" s="159"/>
      <c r="K4" s="160"/>
      <c r="L4" s="625"/>
      <c r="M4" s="626">
        <v>2018</v>
      </c>
      <c r="N4" s="626">
        <v>2017</v>
      </c>
    </row>
    <row r="5" spans="1:14" ht="11.25" customHeight="1">
      <c r="A5" s="902"/>
      <c r="B5" s="177">
        <f>+'1. Resumen'!Q5</f>
        <v>2018</v>
      </c>
      <c r="C5" s="178">
        <f>+B5-1</f>
        <v>2017</v>
      </c>
      <c r="D5" s="178" t="s">
        <v>35</v>
      </c>
      <c r="E5" s="159"/>
      <c r="F5" s="159"/>
      <c r="G5" s="159"/>
      <c r="H5" s="159"/>
      <c r="I5" s="159"/>
      <c r="J5" s="159"/>
      <c r="K5" s="627"/>
      <c r="L5" s="632" t="s">
        <v>132</v>
      </c>
      <c r="M5" s="629">
        <v>0</v>
      </c>
      <c r="N5" s="629"/>
    </row>
    <row r="6" spans="1:14" ht="10.5" customHeight="1">
      <c r="A6" s="754" t="s">
        <v>281</v>
      </c>
      <c r="B6" s="755">
        <v>656.25707589499996</v>
      </c>
      <c r="C6" s="756">
        <v>314.50654908750005</v>
      </c>
      <c r="D6" s="757">
        <f>IF(C6=0,"",B6/C6-1)</f>
        <v>1.086624516402106</v>
      </c>
      <c r="E6" s="159"/>
      <c r="F6" s="159"/>
      <c r="G6" s="159"/>
      <c r="H6" s="159"/>
      <c r="I6" s="159"/>
      <c r="J6" s="159"/>
      <c r="K6" s="630"/>
      <c r="L6" s="632" t="s">
        <v>126</v>
      </c>
      <c r="M6" s="629">
        <v>0</v>
      </c>
      <c r="N6" s="629"/>
    </row>
    <row r="7" spans="1:14" ht="10.5" customHeight="1">
      <c r="A7" s="758" t="s">
        <v>96</v>
      </c>
      <c r="B7" s="759">
        <v>596.20544987749997</v>
      </c>
      <c r="C7" s="759">
        <v>582.73092744000007</v>
      </c>
      <c r="D7" s="760">
        <f t="shared" ref="D7:D59" si="0">IF(C7=0,"",B7/C7-1)</f>
        <v>2.3123060409192542E-2</v>
      </c>
      <c r="E7" s="836"/>
      <c r="F7" s="159"/>
      <c r="G7" s="159"/>
      <c r="H7" s="159"/>
      <c r="I7" s="159"/>
      <c r="J7" s="159"/>
      <c r="K7" s="160"/>
      <c r="L7" s="629" t="s">
        <v>134</v>
      </c>
      <c r="M7" s="629">
        <v>81.912645420000004</v>
      </c>
      <c r="N7" s="629"/>
    </row>
    <row r="8" spans="1:14" ht="10.5" customHeight="1">
      <c r="A8" s="754" t="s">
        <v>95</v>
      </c>
      <c r="B8" s="756">
        <v>433.15324207750007</v>
      </c>
      <c r="C8" s="756">
        <v>407.37107582750002</v>
      </c>
      <c r="D8" s="757">
        <f t="shared" si="0"/>
        <v>6.3289142945724075E-2</v>
      </c>
      <c r="E8" s="159"/>
      <c r="F8" s="159"/>
      <c r="G8" s="159"/>
      <c r="H8" s="159"/>
      <c r="I8" s="159"/>
      <c r="J8" s="159"/>
      <c r="K8" s="160"/>
      <c r="L8" s="632" t="s">
        <v>133</v>
      </c>
      <c r="M8" s="629">
        <v>7.6088593950000005</v>
      </c>
      <c r="N8" s="629"/>
    </row>
    <row r="9" spans="1:14" ht="10.5" customHeight="1">
      <c r="A9" s="758" t="s">
        <v>279</v>
      </c>
      <c r="B9" s="759">
        <v>338.99315323249999</v>
      </c>
      <c r="C9" s="759">
        <v>335.86581682500002</v>
      </c>
      <c r="D9" s="760">
        <f t="shared" si="0"/>
        <v>9.3112673300999038E-3</v>
      </c>
      <c r="E9" s="159"/>
      <c r="F9" s="159"/>
      <c r="G9" s="159"/>
      <c r="H9" s="159"/>
      <c r="I9" s="159"/>
      <c r="J9" s="159"/>
      <c r="K9" s="160"/>
      <c r="L9" s="632" t="s">
        <v>129</v>
      </c>
      <c r="M9" s="629">
        <v>0.24470726500000001</v>
      </c>
      <c r="N9" s="629">
        <v>0</v>
      </c>
    </row>
    <row r="10" spans="1:14" ht="10.5" customHeight="1">
      <c r="A10" s="754" t="s">
        <v>276</v>
      </c>
      <c r="B10" s="756">
        <v>306.9613277725</v>
      </c>
      <c r="C10" s="756">
        <v>291.71132715500005</v>
      </c>
      <c r="D10" s="757">
        <f t="shared" si="0"/>
        <v>5.227771155213623E-2</v>
      </c>
      <c r="E10" s="159"/>
      <c r="F10" s="159"/>
      <c r="G10" s="159"/>
      <c r="H10" s="159"/>
      <c r="I10" s="159"/>
      <c r="J10" s="159"/>
      <c r="K10" s="627"/>
      <c r="L10" s="629" t="s">
        <v>285</v>
      </c>
      <c r="M10" s="629">
        <v>0</v>
      </c>
      <c r="N10" s="629">
        <v>0</v>
      </c>
    </row>
    <row r="11" spans="1:14" ht="10.5" customHeight="1">
      <c r="A11" s="758" t="s">
        <v>97</v>
      </c>
      <c r="B11" s="759">
        <v>256.069488105</v>
      </c>
      <c r="C11" s="759">
        <v>223.59760478250001</v>
      </c>
      <c r="D11" s="760">
        <f t="shared" si="0"/>
        <v>0.1452246474379113</v>
      </c>
      <c r="E11" s="159"/>
      <c r="F11" s="159"/>
      <c r="G11" s="159"/>
      <c r="H11" s="159"/>
      <c r="I11" s="159"/>
      <c r="J11" s="159"/>
      <c r="K11" s="630"/>
      <c r="L11" s="629" t="s">
        <v>275</v>
      </c>
      <c r="M11" s="629">
        <v>0.40776897750000002</v>
      </c>
      <c r="N11" s="629">
        <v>0</v>
      </c>
    </row>
    <row r="12" spans="1:14" ht="10.5" customHeight="1">
      <c r="A12" s="754" t="s">
        <v>282</v>
      </c>
      <c r="B12" s="756">
        <v>245.52694818500001</v>
      </c>
      <c r="C12" s="756">
        <v>239.070747125</v>
      </c>
      <c r="D12" s="757">
        <f t="shared" si="0"/>
        <v>2.700539960509829E-2</v>
      </c>
      <c r="E12" s="159"/>
      <c r="F12" s="159"/>
      <c r="G12" s="159"/>
      <c r="H12" s="159"/>
      <c r="I12" s="159"/>
      <c r="J12" s="159"/>
      <c r="K12" s="630"/>
      <c r="L12" s="629" t="s">
        <v>131</v>
      </c>
      <c r="M12" s="629">
        <v>0</v>
      </c>
      <c r="N12" s="629">
        <v>0</v>
      </c>
    </row>
    <row r="13" spans="1:14" ht="10.5" customHeight="1">
      <c r="A13" s="758" t="s">
        <v>94</v>
      </c>
      <c r="B13" s="759">
        <v>196.12275416249997</v>
      </c>
      <c r="C13" s="759">
        <v>526.53149707749992</v>
      </c>
      <c r="D13" s="761">
        <f t="shared" si="0"/>
        <v>-0.6275194261861361</v>
      </c>
      <c r="E13" s="159"/>
      <c r="F13" s="159"/>
      <c r="G13" s="159"/>
      <c r="H13" s="159"/>
      <c r="I13" s="159"/>
      <c r="J13" s="159"/>
      <c r="K13" s="630"/>
      <c r="L13" s="632" t="s">
        <v>128</v>
      </c>
      <c r="M13" s="629">
        <v>0</v>
      </c>
      <c r="N13" s="629">
        <v>0.22759108749999998</v>
      </c>
    </row>
    <row r="14" spans="1:14" ht="10.5" customHeight="1">
      <c r="A14" s="754" t="s">
        <v>101</v>
      </c>
      <c r="B14" s="756">
        <v>150.48492308499999</v>
      </c>
      <c r="C14" s="756">
        <v>143.15926459000002</v>
      </c>
      <c r="D14" s="757">
        <f t="shared" si="0"/>
        <v>5.117138954283007E-2</v>
      </c>
      <c r="E14" s="159"/>
      <c r="F14" s="159"/>
      <c r="G14" s="159"/>
      <c r="H14" s="159"/>
      <c r="I14" s="159"/>
      <c r="J14" s="159"/>
      <c r="K14" s="630"/>
      <c r="L14" s="632" t="s">
        <v>286</v>
      </c>
      <c r="M14" s="629">
        <v>4.574458355</v>
      </c>
      <c r="N14" s="629">
        <v>0.33972637500000002</v>
      </c>
    </row>
    <row r="15" spans="1:14" ht="10.5" customHeight="1">
      <c r="A15" s="758" t="s">
        <v>100</v>
      </c>
      <c r="B15" s="759">
        <v>129.9646957825</v>
      </c>
      <c r="C15" s="759">
        <v>129.11133297000001</v>
      </c>
      <c r="D15" s="760">
        <f t="shared" si="0"/>
        <v>6.6095112866526584E-3</v>
      </c>
      <c r="E15" s="159"/>
      <c r="F15" s="159"/>
      <c r="G15" s="159"/>
      <c r="H15" s="159"/>
      <c r="I15" s="159"/>
      <c r="J15" s="159"/>
      <c r="K15" s="630"/>
      <c r="L15" s="635" t="s">
        <v>124</v>
      </c>
      <c r="M15" s="629">
        <v>2.0441999874999999</v>
      </c>
      <c r="N15" s="629">
        <v>1.7214</v>
      </c>
    </row>
    <row r="16" spans="1:14" ht="10.5" customHeight="1">
      <c r="A16" s="754" t="s">
        <v>107</v>
      </c>
      <c r="B16" s="756">
        <v>124.9771194625</v>
      </c>
      <c r="C16" s="756">
        <v>0</v>
      </c>
      <c r="D16" s="757" t="str">
        <f t="shared" si="0"/>
        <v/>
      </c>
      <c r="E16" s="159"/>
      <c r="F16" s="159"/>
      <c r="G16" s="159"/>
      <c r="H16" s="159"/>
      <c r="I16" s="159"/>
      <c r="J16" s="159" t="s">
        <v>8</v>
      </c>
      <c r="K16" s="630"/>
      <c r="L16" s="629" t="s">
        <v>123</v>
      </c>
      <c r="M16" s="629">
        <v>1.2563390649999999</v>
      </c>
      <c r="N16" s="629">
        <v>2.4280124124999998</v>
      </c>
    </row>
    <row r="17" spans="1:14" ht="10.5" customHeight="1">
      <c r="A17" s="758" t="s">
        <v>99</v>
      </c>
      <c r="B17" s="759">
        <v>116.81996091250002</v>
      </c>
      <c r="C17" s="759">
        <v>119.18335080750001</v>
      </c>
      <c r="D17" s="760">
        <f t="shared" si="0"/>
        <v>-1.9829866159890353E-2</v>
      </c>
      <c r="E17" s="159"/>
      <c r="F17" s="159"/>
      <c r="G17" s="159"/>
      <c r="H17" s="159"/>
      <c r="I17" s="159"/>
      <c r="J17" s="159"/>
      <c r="K17" s="630"/>
      <c r="L17" s="629" t="s">
        <v>125</v>
      </c>
      <c r="M17" s="629">
        <v>1.8722867500000002</v>
      </c>
      <c r="N17" s="629">
        <v>2.55572775</v>
      </c>
    </row>
    <row r="18" spans="1:14" ht="10.5" customHeight="1">
      <c r="A18" s="754" t="s">
        <v>98</v>
      </c>
      <c r="B18" s="756">
        <v>86.446789157500021</v>
      </c>
      <c r="C18" s="756">
        <v>114.27141940999998</v>
      </c>
      <c r="D18" s="757">
        <f t="shared" si="0"/>
        <v>-0.24349597122502364</v>
      </c>
      <c r="E18" s="159"/>
      <c r="F18" s="159"/>
      <c r="G18" s="159"/>
      <c r="H18" s="159"/>
      <c r="I18" s="159"/>
      <c r="J18" s="159"/>
      <c r="K18" s="634"/>
      <c r="L18" s="629" t="s">
        <v>113</v>
      </c>
      <c r="M18" s="629">
        <v>0</v>
      </c>
      <c r="N18" s="629">
        <v>3.0498491149999998</v>
      </c>
    </row>
    <row r="19" spans="1:14" ht="10.5" customHeight="1">
      <c r="A19" s="758" t="s">
        <v>102</v>
      </c>
      <c r="B19" s="759">
        <v>79.22212755000001</v>
      </c>
      <c r="C19" s="759">
        <v>78.9004833475</v>
      </c>
      <c r="D19" s="760">
        <f t="shared" si="0"/>
        <v>4.0765808884009047E-3</v>
      </c>
      <c r="E19" s="159"/>
      <c r="F19" s="159"/>
      <c r="G19" s="159"/>
      <c r="H19" s="159"/>
      <c r="I19" s="159"/>
      <c r="J19" s="159"/>
      <c r="K19" s="630"/>
      <c r="L19" s="631" t="s">
        <v>120</v>
      </c>
      <c r="M19" s="629">
        <v>3.4773961800000004</v>
      </c>
      <c r="N19" s="629">
        <v>3.2076275074999998</v>
      </c>
    </row>
    <row r="20" spans="1:14" ht="10.5" customHeight="1">
      <c r="A20" s="754" t="s">
        <v>105</v>
      </c>
      <c r="B20" s="756">
        <v>68.48977743750001</v>
      </c>
      <c r="C20" s="756"/>
      <c r="D20" s="757" t="str">
        <f t="shared" si="0"/>
        <v/>
      </c>
      <c r="E20" s="159"/>
      <c r="F20" s="159"/>
      <c r="G20" s="159"/>
      <c r="H20" s="159"/>
      <c r="I20" s="159"/>
      <c r="J20" s="159"/>
      <c r="K20" s="630"/>
      <c r="L20" s="629" t="s">
        <v>119</v>
      </c>
      <c r="M20" s="629">
        <v>3.6393710649999997</v>
      </c>
      <c r="N20" s="629">
        <v>3.2322990749999998</v>
      </c>
    </row>
    <row r="21" spans="1:14" ht="10.5" customHeight="1">
      <c r="A21" s="758" t="s">
        <v>596</v>
      </c>
      <c r="B21" s="759">
        <v>62.536225502500002</v>
      </c>
      <c r="C21" s="759">
        <v>63.4044227475</v>
      </c>
      <c r="D21" s="760">
        <f t="shared" si="0"/>
        <v>-1.3693007638559851E-2</v>
      </c>
      <c r="E21" s="159"/>
      <c r="F21" s="159"/>
      <c r="G21" s="159"/>
      <c r="H21" s="159"/>
      <c r="I21" s="159"/>
      <c r="J21" s="159"/>
      <c r="K21" s="630"/>
      <c r="L21" s="631" t="s">
        <v>122</v>
      </c>
      <c r="M21" s="629">
        <v>1.7563550000000001</v>
      </c>
      <c r="N21" s="629">
        <v>3.5220719999999996</v>
      </c>
    </row>
    <row r="22" spans="1:14" ht="10.5" customHeight="1">
      <c r="A22" s="754" t="s">
        <v>106</v>
      </c>
      <c r="B22" s="756">
        <v>36.452785259999999</v>
      </c>
      <c r="C22" s="756">
        <v>45.858805932499997</v>
      </c>
      <c r="D22" s="757">
        <f t="shared" si="0"/>
        <v>-0.20510827705249912</v>
      </c>
      <c r="E22" s="159"/>
      <c r="F22" s="159"/>
      <c r="G22" s="159"/>
      <c r="H22" s="159"/>
      <c r="I22" s="159"/>
      <c r="J22" s="159"/>
      <c r="K22" s="634"/>
      <c r="L22" s="629" t="s">
        <v>127</v>
      </c>
      <c r="M22" s="629">
        <v>9.5383417499999998E-2</v>
      </c>
      <c r="N22" s="629">
        <v>3.5581746674999999</v>
      </c>
    </row>
    <row r="23" spans="1:14" ht="10.5" customHeight="1">
      <c r="A23" s="758" t="s">
        <v>277</v>
      </c>
      <c r="B23" s="759">
        <v>35.7454269825</v>
      </c>
      <c r="C23" s="759">
        <v>34.451649957500003</v>
      </c>
      <c r="D23" s="760">
        <f t="shared" si="0"/>
        <v>3.7553412582445711E-2</v>
      </c>
      <c r="E23" s="159"/>
      <c r="F23" s="159"/>
      <c r="G23" s="159"/>
      <c r="H23" s="159"/>
      <c r="I23" s="159"/>
      <c r="J23" s="159"/>
      <c r="K23" s="630"/>
      <c r="L23" s="632" t="s">
        <v>118</v>
      </c>
      <c r="M23" s="629">
        <v>3.8285054199999999</v>
      </c>
      <c r="N23" s="629">
        <v>3.7161225949999999</v>
      </c>
    </row>
    <row r="24" spans="1:14" ht="10.5" customHeight="1">
      <c r="A24" s="754" t="s">
        <v>104</v>
      </c>
      <c r="B24" s="756">
        <v>30.809297149999999</v>
      </c>
      <c r="C24" s="756">
        <v>31.034813639999999</v>
      </c>
      <c r="D24" s="757">
        <f t="shared" si="0"/>
        <v>-7.2665649813774547E-3</v>
      </c>
      <c r="E24" s="159"/>
      <c r="F24" s="159"/>
      <c r="G24" s="159"/>
      <c r="H24" s="159"/>
      <c r="I24" s="159"/>
      <c r="J24" s="159"/>
      <c r="K24" s="630"/>
      <c r="L24" s="632" t="s">
        <v>284</v>
      </c>
      <c r="M24" s="629">
        <v>2.8657664250000003</v>
      </c>
      <c r="N24" s="629">
        <v>3.8766369750000003</v>
      </c>
    </row>
    <row r="25" spans="1:14" ht="10.5" customHeight="1">
      <c r="A25" s="758" t="s">
        <v>103</v>
      </c>
      <c r="B25" s="759">
        <v>26.759663507499997</v>
      </c>
      <c r="C25" s="759">
        <v>26.533139590000001</v>
      </c>
      <c r="D25" s="760">
        <f t="shared" si="0"/>
        <v>8.5373959131986865E-3</v>
      </c>
      <c r="E25" s="159"/>
      <c r="F25" s="159"/>
      <c r="G25" s="159"/>
      <c r="H25" s="159"/>
      <c r="I25" s="159"/>
      <c r="J25" s="159"/>
      <c r="K25" s="630"/>
      <c r="L25" s="632" t="s">
        <v>115</v>
      </c>
      <c r="M25" s="629">
        <v>4.0855275000000004</v>
      </c>
      <c r="N25" s="629">
        <v>4.0056564999999997</v>
      </c>
    </row>
    <row r="26" spans="1:14" ht="10.5" customHeight="1">
      <c r="A26" s="754" t="s">
        <v>278</v>
      </c>
      <c r="B26" s="756">
        <v>26.3550578125</v>
      </c>
      <c r="C26" s="756">
        <v>26.35620626</v>
      </c>
      <c r="D26" s="757">
        <f t="shared" si="0"/>
        <v>-4.3574082273845072E-5</v>
      </c>
      <c r="E26" s="159"/>
      <c r="F26" s="159"/>
      <c r="G26" s="159"/>
      <c r="H26" s="159"/>
      <c r="I26" s="159"/>
      <c r="J26" s="159"/>
      <c r="K26" s="630"/>
      <c r="L26" s="629" t="s">
        <v>117</v>
      </c>
      <c r="M26" s="629">
        <v>4.0577368074999995</v>
      </c>
      <c r="N26" s="629">
        <v>4.0577368074999995</v>
      </c>
    </row>
    <row r="27" spans="1:14" ht="10.5" customHeight="1">
      <c r="A27" s="758" t="s">
        <v>287</v>
      </c>
      <c r="B27" s="759">
        <v>22.23221693</v>
      </c>
      <c r="C27" s="759">
        <v>21.150342434999999</v>
      </c>
      <c r="D27" s="760">
        <f t="shared" si="0"/>
        <v>5.1151630207636467E-2</v>
      </c>
      <c r="E27" s="159"/>
      <c r="F27" s="159"/>
      <c r="G27" s="159"/>
      <c r="H27" s="159"/>
      <c r="I27" s="159"/>
      <c r="J27" s="159"/>
      <c r="K27" s="630"/>
      <c r="L27" s="632" t="s">
        <v>116</v>
      </c>
      <c r="M27" s="629">
        <v>4.0688837500000004</v>
      </c>
      <c r="N27" s="629">
        <v>4.4244818375000001</v>
      </c>
    </row>
    <row r="28" spans="1:14" ht="10.5" customHeight="1">
      <c r="A28" s="762" t="s">
        <v>109</v>
      </c>
      <c r="B28" s="756">
        <v>19.614166347499999</v>
      </c>
      <c r="C28" s="756">
        <v>19.464570392500001</v>
      </c>
      <c r="D28" s="757">
        <f t="shared" si="0"/>
        <v>7.6855513367837247E-3</v>
      </c>
      <c r="E28" s="159"/>
      <c r="F28" s="159"/>
      <c r="G28" s="159"/>
      <c r="H28" s="159"/>
      <c r="I28" s="159"/>
      <c r="J28" s="159"/>
      <c r="K28" s="630"/>
      <c r="L28" s="632" t="s">
        <v>121</v>
      </c>
      <c r="M28" s="629">
        <v>0.42652962</v>
      </c>
      <c r="N28" s="629">
        <v>5.942144345</v>
      </c>
    </row>
    <row r="29" spans="1:14" ht="10.5" customHeight="1">
      <c r="A29" s="763" t="s">
        <v>108</v>
      </c>
      <c r="B29" s="759">
        <v>17.805957695</v>
      </c>
      <c r="C29" s="759">
        <v>16.830448659999998</v>
      </c>
      <c r="D29" s="760">
        <f t="shared" si="0"/>
        <v>5.7960964363263923E-2</v>
      </c>
      <c r="E29" s="159"/>
      <c r="F29" s="159"/>
      <c r="G29" s="159"/>
      <c r="H29" s="159"/>
      <c r="I29" s="159"/>
      <c r="J29" s="159"/>
      <c r="K29" s="630"/>
      <c r="L29" s="632" t="s">
        <v>114</v>
      </c>
      <c r="M29" s="629">
        <v>4.3071128999999999</v>
      </c>
      <c r="N29" s="629">
        <v>7.4688760849999998</v>
      </c>
    </row>
    <row r="30" spans="1:14" ht="10.5" customHeight="1">
      <c r="A30" s="764" t="s">
        <v>541</v>
      </c>
      <c r="B30" s="756">
        <v>14.084475920000001</v>
      </c>
      <c r="C30" s="756"/>
      <c r="D30" s="757" t="str">
        <f t="shared" si="0"/>
        <v/>
      </c>
      <c r="E30" s="159"/>
      <c r="F30" s="159"/>
      <c r="G30" s="159"/>
      <c r="H30" s="159"/>
      <c r="I30" s="159"/>
      <c r="J30" s="159"/>
      <c r="K30" s="630"/>
      <c r="L30" s="629" t="s">
        <v>280</v>
      </c>
      <c r="M30" s="629"/>
      <c r="N30" s="629">
        <v>7.6939949725000005</v>
      </c>
    </row>
    <row r="31" spans="1:14" ht="10.5" customHeight="1">
      <c r="A31" s="763" t="s">
        <v>595</v>
      </c>
      <c r="B31" s="759">
        <v>13.948280972499999</v>
      </c>
      <c r="C31" s="759"/>
      <c r="D31" s="760" t="str">
        <f t="shared" si="0"/>
        <v/>
      </c>
      <c r="E31" s="159"/>
      <c r="F31" s="159"/>
      <c r="G31" s="159"/>
      <c r="H31" s="159"/>
      <c r="I31" s="159"/>
      <c r="J31" s="159"/>
      <c r="K31" s="630"/>
      <c r="L31" s="629" t="s">
        <v>283</v>
      </c>
      <c r="M31" s="629">
        <v>16.073583652499998</v>
      </c>
      <c r="N31" s="629">
        <v>11.09447503</v>
      </c>
    </row>
    <row r="32" spans="1:14" ht="10.5" customHeight="1">
      <c r="A32" s="764" t="s">
        <v>110</v>
      </c>
      <c r="B32" s="756">
        <v>13.344035999999999</v>
      </c>
      <c r="C32" s="756">
        <v>10.449872000000001</v>
      </c>
      <c r="D32" s="757">
        <f t="shared" si="0"/>
        <v>0.27695688521352202</v>
      </c>
      <c r="E32" s="159"/>
      <c r="F32" s="159"/>
      <c r="G32" s="159"/>
      <c r="H32" s="159"/>
      <c r="I32" s="159"/>
      <c r="J32" s="159"/>
      <c r="K32" s="630"/>
      <c r="L32" s="629" t="s">
        <v>112</v>
      </c>
      <c r="M32" s="629">
        <v>13.555484230000001</v>
      </c>
      <c r="N32" s="629">
        <v>13.1516892225</v>
      </c>
    </row>
    <row r="33" spans="1:14" ht="10.5" customHeight="1">
      <c r="A33" s="763" t="s">
        <v>130</v>
      </c>
      <c r="B33" s="759">
        <v>13.2414003125</v>
      </c>
      <c r="C33" s="759">
        <v>3.0599999999999999E-2</v>
      </c>
      <c r="D33" s="760">
        <f t="shared" si="0"/>
        <v>431.72550040849671</v>
      </c>
      <c r="E33" s="159"/>
      <c r="F33" s="159"/>
      <c r="G33" s="159"/>
      <c r="H33" s="159"/>
      <c r="I33" s="159"/>
      <c r="J33" s="159"/>
      <c r="K33" s="630"/>
      <c r="L33" s="632" t="s">
        <v>130</v>
      </c>
      <c r="M33" s="629">
        <v>3.0599999999999999E-2</v>
      </c>
      <c r="N33" s="629">
        <v>13.2414003125</v>
      </c>
    </row>
    <row r="34" spans="1:14" ht="10.5" customHeight="1">
      <c r="A34" s="764" t="s">
        <v>112</v>
      </c>
      <c r="B34" s="756">
        <v>13.1516892225</v>
      </c>
      <c r="C34" s="756">
        <v>13.555484230000001</v>
      </c>
      <c r="D34" s="757">
        <f>IF(C34=0,"",B34/C34-1)</f>
        <v>-2.9788313028785152E-2</v>
      </c>
      <c r="E34" s="159"/>
      <c r="F34" s="159"/>
      <c r="G34" s="159"/>
      <c r="H34" s="159"/>
      <c r="I34" s="159"/>
      <c r="J34" s="159"/>
      <c r="K34" s="636"/>
      <c r="L34" s="632" t="s">
        <v>110</v>
      </c>
      <c r="M34" s="629">
        <v>10.449872000000001</v>
      </c>
      <c r="N34" s="629">
        <v>13.344035999999999</v>
      </c>
    </row>
    <row r="35" spans="1:14" ht="10.5" customHeight="1">
      <c r="A35" s="763" t="s">
        <v>283</v>
      </c>
      <c r="B35" s="759">
        <v>11.09447503</v>
      </c>
      <c r="C35" s="759">
        <v>16.073583652499998</v>
      </c>
      <c r="D35" s="760"/>
      <c r="E35" s="159"/>
      <c r="F35" s="159"/>
      <c r="G35" s="159"/>
      <c r="H35" s="159"/>
      <c r="I35" s="159"/>
      <c r="J35" s="159"/>
      <c r="K35" s="636"/>
      <c r="L35" s="632" t="s">
        <v>595</v>
      </c>
      <c r="M35" s="629"/>
      <c r="N35" s="629">
        <v>13.948280972499999</v>
      </c>
    </row>
    <row r="36" spans="1:14" ht="10.5" customHeight="1">
      <c r="A36" s="764" t="s">
        <v>280</v>
      </c>
      <c r="B36" s="756">
        <v>7.6939949725000005</v>
      </c>
      <c r="C36" s="756"/>
      <c r="D36" s="757" t="str">
        <f t="shared" si="0"/>
        <v/>
      </c>
      <c r="E36" s="159"/>
      <c r="F36" s="159"/>
      <c r="G36" s="159"/>
      <c r="H36" s="159"/>
      <c r="I36" s="159"/>
      <c r="J36" s="159"/>
      <c r="K36" s="634"/>
      <c r="L36" s="632" t="s">
        <v>541</v>
      </c>
      <c r="M36" s="629"/>
      <c r="N36" s="629">
        <v>14.084475920000001</v>
      </c>
    </row>
    <row r="37" spans="1:14" ht="10.5" customHeight="1">
      <c r="A37" s="763" t="s">
        <v>114</v>
      </c>
      <c r="B37" s="759">
        <v>7.4688760849999998</v>
      </c>
      <c r="C37" s="759">
        <v>4.3071128999999999</v>
      </c>
      <c r="D37" s="760">
        <f t="shared" si="0"/>
        <v>0.73407947699722476</v>
      </c>
      <c r="E37" s="159"/>
      <c r="F37" s="159"/>
      <c r="G37" s="159"/>
      <c r="H37" s="159"/>
      <c r="I37" s="159"/>
      <c r="J37" s="159"/>
      <c r="K37" s="634"/>
      <c r="L37" s="635" t="s">
        <v>108</v>
      </c>
      <c r="M37" s="629">
        <v>16.830448659999998</v>
      </c>
      <c r="N37" s="629">
        <v>17.805957695</v>
      </c>
    </row>
    <row r="38" spans="1:14" ht="10.5" customHeight="1">
      <c r="A38" s="764" t="s">
        <v>121</v>
      </c>
      <c r="B38" s="756">
        <v>5.942144345</v>
      </c>
      <c r="C38" s="756">
        <v>0.42652962</v>
      </c>
      <c r="D38" s="757">
        <f t="shared" si="0"/>
        <v>12.931375609975223</v>
      </c>
      <c r="E38" s="159"/>
      <c r="F38" s="159"/>
      <c r="G38" s="159"/>
      <c r="H38" s="159"/>
      <c r="I38" s="159"/>
      <c r="J38" s="159"/>
      <c r="K38" s="634"/>
      <c r="L38" s="632" t="s">
        <v>109</v>
      </c>
      <c r="M38" s="629">
        <v>19.464570392500001</v>
      </c>
      <c r="N38" s="629">
        <v>19.614166347499999</v>
      </c>
    </row>
    <row r="39" spans="1:14" ht="10.5" customHeight="1">
      <c r="A39" s="763" t="s">
        <v>116</v>
      </c>
      <c r="B39" s="759">
        <v>4.4244818375000001</v>
      </c>
      <c r="C39" s="759">
        <v>4.0688837500000004</v>
      </c>
      <c r="D39" s="760">
        <f t="shared" si="0"/>
        <v>8.7394506540030781E-2</v>
      </c>
      <c r="E39" s="159"/>
      <c r="F39" s="159"/>
      <c r="G39" s="159"/>
      <c r="H39" s="159"/>
      <c r="I39" s="159"/>
      <c r="J39" s="159"/>
      <c r="K39" s="636"/>
      <c r="L39" s="629" t="s">
        <v>287</v>
      </c>
      <c r="M39" s="629">
        <v>21.150342434999999</v>
      </c>
      <c r="N39" s="629">
        <v>22.23221693</v>
      </c>
    </row>
    <row r="40" spans="1:14" ht="10.5" customHeight="1">
      <c r="A40" s="764" t="s">
        <v>117</v>
      </c>
      <c r="B40" s="756">
        <v>4.0577368074999995</v>
      </c>
      <c r="C40" s="756">
        <v>4.0577368074999995</v>
      </c>
      <c r="D40" s="757">
        <f t="shared" si="0"/>
        <v>0</v>
      </c>
      <c r="E40" s="159"/>
      <c r="F40" s="159"/>
      <c r="G40" s="159"/>
      <c r="H40" s="159"/>
      <c r="I40" s="159"/>
      <c r="J40" s="159"/>
      <c r="K40" s="636"/>
      <c r="L40" s="632" t="s">
        <v>278</v>
      </c>
      <c r="M40" s="629">
        <v>26.35620626</v>
      </c>
      <c r="N40" s="629">
        <v>26.3550578125</v>
      </c>
    </row>
    <row r="41" spans="1:14" ht="10.5" customHeight="1">
      <c r="A41" s="763" t="s">
        <v>115</v>
      </c>
      <c r="B41" s="759">
        <v>4.0056564999999997</v>
      </c>
      <c r="C41" s="759">
        <v>4.0855275000000004</v>
      </c>
      <c r="D41" s="760">
        <f t="shared" si="0"/>
        <v>-1.9549739905067476E-2</v>
      </c>
      <c r="E41" s="159"/>
      <c r="F41" s="159"/>
      <c r="G41" s="159"/>
      <c r="H41" s="159"/>
      <c r="I41" s="159"/>
      <c r="J41" s="159"/>
      <c r="K41" s="636"/>
      <c r="L41" s="629" t="s">
        <v>103</v>
      </c>
      <c r="M41" s="629">
        <v>26.533139590000001</v>
      </c>
      <c r="N41" s="629">
        <v>26.759663507499997</v>
      </c>
    </row>
    <row r="42" spans="1:14" ht="10.5" customHeight="1">
      <c r="A42" s="764" t="s">
        <v>284</v>
      </c>
      <c r="B42" s="756">
        <v>3.8766369750000003</v>
      </c>
      <c r="C42" s="756">
        <v>2.8657664250000003</v>
      </c>
      <c r="D42" s="757">
        <f t="shared" si="0"/>
        <v>0.35274003532929243</v>
      </c>
      <c r="E42" s="159"/>
      <c r="F42" s="159"/>
      <c r="G42" s="159"/>
      <c r="H42" s="159"/>
      <c r="I42" s="159"/>
      <c r="J42" s="159"/>
      <c r="K42" s="160"/>
      <c r="L42" s="632" t="s">
        <v>104</v>
      </c>
      <c r="M42" s="629">
        <v>31.034813639999999</v>
      </c>
      <c r="N42" s="629">
        <v>30.809297149999999</v>
      </c>
    </row>
    <row r="43" spans="1:14" ht="10.5" customHeight="1">
      <c r="A43" s="763" t="s">
        <v>118</v>
      </c>
      <c r="B43" s="759">
        <v>3.7161225949999999</v>
      </c>
      <c r="C43" s="759">
        <v>3.8285054199999999</v>
      </c>
      <c r="D43" s="760">
        <f t="shared" si="0"/>
        <v>-2.9354229045338576E-2</v>
      </c>
      <c r="E43" s="159"/>
      <c r="F43" s="159"/>
      <c r="G43" s="159"/>
      <c r="H43" s="159"/>
      <c r="I43" s="159"/>
      <c r="J43" s="159"/>
      <c r="L43" s="632" t="s">
        <v>277</v>
      </c>
      <c r="M43" s="629">
        <v>34.451649957500003</v>
      </c>
      <c r="N43" s="629">
        <v>35.7454269825</v>
      </c>
    </row>
    <row r="44" spans="1:14" ht="10.5" customHeight="1">
      <c r="A44" s="764" t="s">
        <v>127</v>
      </c>
      <c r="B44" s="756">
        <v>3.5581746674999999</v>
      </c>
      <c r="C44" s="756">
        <v>9.5383417499999998E-2</v>
      </c>
      <c r="D44" s="757">
        <f t="shared" si="0"/>
        <v>36.303912574740785</v>
      </c>
      <c r="E44" s="159"/>
      <c r="F44" s="159"/>
      <c r="G44" s="159"/>
      <c r="H44" s="159"/>
      <c r="I44" s="159"/>
      <c r="J44" s="159"/>
      <c r="L44" s="633" t="s">
        <v>106</v>
      </c>
      <c r="M44" s="629">
        <v>45.858805932499997</v>
      </c>
      <c r="N44" s="629">
        <v>36.452785259999999</v>
      </c>
    </row>
    <row r="45" spans="1:14" ht="10.5" customHeight="1">
      <c r="A45" s="763" t="s">
        <v>122</v>
      </c>
      <c r="B45" s="759">
        <v>3.5220719999999996</v>
      </c>
      <c r="C45" s="759">
        <v>1.7563550000000001</v>
      </c>
      <c r="D45" s="760"/>
      <c r="E45" s="159"/>
      <c r="F45" s="159"/>
      <c r="G45" s="159"/>
      <c r="H45" s="159"/>
      <c r="I45" s="159"/>
      <c r="J45" s="159"/>
      <c r="L45" s="632" t="s">
        <v>596</v>
      </c>
      <c r="M45" s="629">
        <v>63.4044227475</v>
      </c>
      <c r="N45" s="629">
        <v>62.536225502500002</v>
      </c>
    </row>
    <row r="46" spans="1:14" ht="10.5" customHeight="1">
      <c r="A46" s="764" t="s">
        <v>119</v>
      </c>
      <c r="B46" s="756">
        <v>3.2322990749999998</v>
      </c>
      <c r="C46" s="756">
        <v>3.6393710649999997</v>
      </c>
      <c r="D46" s="757">
        <f t="shared" si="0"/>
        <v>-0.11185229060999857</v>
      </c>
      <c r="E46" s="159"/>
      <c r="F46" s="159"/>
      <c r="G46" s="159"/>
      <c r="H46" s="159"/>
      <c r="I46" s="159"/>
      <c r="J46" s="159"/>
      <c r="L46" s="632" t="s">
        <v>105</v>
      </c>
      <c r="M46" s="629"/>
      <c r="N46" s="629">
        <v>68.48977743750001</v>
      </c>
    </row>
    <row r="47" spans="1:14" ht="10.5" customHeight="1">
      <c r="A47" s="763" t="s">
        <v>120</v>
      </c>
      <c r="B47" s="759">
        <v>3.2076275074999998</v>
      </c>
      <c r="C47" s="759">
        <v>3.4773961800000004</v>
      </c>
      <c r="D47" s="760">
        <f t="shared" si="0"/>
        <v>-7.7577779043859318E-2</v>
      </c>
      <c r="E47" s="159"/>
      <c r="F47" s="159"/>
      <c r="G47" s="159"/>
      <c r="H47" s="159"/>
      <c r="I47" s="159"/>
      <c r="J47" s="159"/>
      <c r="L47" s="632" t="s">
        <v>102</v>
      </c>
      <c r="M47" s="629">
        <v>78.9004833475</v>
      </c>
      <c r="N47" s="629">
        <v>79.22212755000001</v>
      </c>
    </row>
    <row r="48" spans="1:14" ht="10.5" customHeight="1">
      <c r="A48" s="764" t="s">
        <v>113</v>
      </c>
      <c r="B48" s="756">
        <v>3.0498491149999998</v>
      </c>
      <c r="C48" s="756">
        <v>0</v>
      </c>
      <c r="D48" s="757" t="str">
        <f t="shared" si="0"/>
        <v/>
      </c>
      <c r="E48" s="159"/>
      <c r="F48" s="159"/>
      <c r="G48" s="159"/>
      <c r="H48" s="159"/>
      <c r="I48" s="159"/>
      <c r="J48" s="159"/>
      <c r="L48" s="629" t="s">
        <v>98</v>
      </c>
      <c r="M48" s="629">
        <v>114.27141940999998</v>
      </c>
      <c r="N48" s="629">
        <v>86.446789157500021</v>
      </c>
    </row>
    <row r="49" spans="1:14" ht="10.5" customHeight="1">
      <c r="A49" s="763" t="s">
        <v>125</v>
      </c>
      <c r="B49" s="759">
        <v>2.55572775</v>
      </c>
      <c r="C49" s="759">
        <v>1.8722867500000002</v>
      </c>
      <c r="D49" s="760">
        <f t="shared" si="0"/>
        <v>0.36503008954157234</v>
      </c>
      <c r="E49" s="159"/>
      <c r="F49" s="159"/>
      <c r="G49" s="159"/>
      <c r="H49" s="159"/>
      <c r="I49" s="159"/>
      <c r="J49" s="159"/>
      <c r="L49" s="628" t="s">
        <v>99</v>
      </c>
      <c r="M49" s="629">
        <v>119.18335080750001</v>
      </c>
      <c r="N49" s="629">
        <v>116.81996091250002</v>
      </c>
    </row>
    <row r="50" spans="1:14" ht="10.5" customHeight="1">
      <c r="A50" s="764" t="s">
        <v>123</v>
      </c>
      <c r="B50" s="756">
        <v>2.4280124124999998</v>
      </c>
      <c r="C50" s="756">
        <v>1.2563390649999999</v>
      </c>
      <c r="D50" s="757">
        <f t="shared" si="0"/>
        <v>0.93260918182146946</v>
      </c>
      <c r="E50" s="159"/>
      <c r="F50" s="159"/>
      <c r="G50" s="159"/>
      <c r="H50" s="159"/>
      <c r="I50" s="159"/>
      <c r="J50" s="159"/>
      <c r="L50" s="632" t="s">
        <v>107</v>
      </c>
      <c r="M50" s="629">
        <v>0</v>
      </c>
      <c r="N50" s="629">
        <v>124.9771194625</v>
      </c>
    </row>
    <row r="51" spans="1:14" ht="10.5" customHeight="1">
      <c r="A51" s="763" t="s">
        <v>124</v>
      </c>
      <c r="B51" s="759">
        <v>1.7214</v>
      </c>
      <c r="C51" s="759">
        <v>2.0441999874999999</v>
      </c>
      <c r="D51" s="760">
        <f t="shared" si="0"/>
        <v>-0.15791017976415078</v>
      </c>
      <c r="E51" s="159"/>
      <c r="F51" s="159"/>
      <c r="G51" s="159"/>
      <c r="H51" s="159"/>
      <c r="I51" s="159"/>
      <c r="J51" s="159"/>
      <c r="L51" s="632" t="s">
        <v>100</v>
      </c>
      <c r="M51" s="629">
        <v>129.11133297000001</v>
      </c>
      <c r="N51" s="629">
        <v>129.9646957825</v>
      </c>
    </row>
    <row r="52" spans="1:14" ht="10.5" customHeight="1">
      <c r="A52" s="764" t="s">
        <v>286</v>
      </c>
      <c r="B52" s="756">
        <v>0.33972637500000002</v>
      </c>
      <c r="C52" s="756">
        <v>4.574458355</v>
      </c>
      <c r="D52" s="757">
        <f t="shared" si="0"/>
        <v>-0.92573407633525173</v>
      </c>
      <c r="E52" s="159"/>
      <c r="F52" s="159"/>
      <c r="G52" s="159"/>
      <c r="H52" s="159"/>
      <c r="I52" s="159"/>
      <c r="J52" s="159"/>
      <c r="L52" s="632" t="s">
        <v>101</v>
      </c>
      <c r="M52" s="629">
        <v>143.15926459000002</v>
      </c>
      <c r="N52" s="629">
        <v>150.48492308499999</v>
      </c>
    </row>
    <row r="53" spans="1:14" ht="10.5" customHeight="1">
      <c r="A53" s="763" t="s">
        <v>128</v>
      </c>
      <c r="B53" s="759">
        <v>0.22759108749999998</v>
      </c>
      <c r="C53" s="759">
        <v>0</v>
      </c>
      <c r="D53" s="760" t="str">
        <f t="shared" si="0"/>
        <v/>
      </c>
      <c r="E53" s="159"/>
      <c r="F53" s="159"/>
      <c r="G53" s="159"/>
      <c r="H53" s="159"/>
      <c r="I53" s="159"/>
      <c r="J53" s="159"/>
      <c r="L53" s="632" t="s">
        <v>94</v>
      </c>
      <c r="M53" s="629">
        <v>526.53149707749992</v>
      </c>
      <c r="N53" s="629">
        <v>196.12275416249997</v>
      </c>
    </row>
    <row r="54" spans="1:14" ht="10.5" customHeight="1">
      <c r="A54" s="764" t="s">
        <v>131</v>
      </c>
      <c r="B54" s="756">
        <v>0</v>
      </c>
      <c r="C54" s="756">
        <v>0</v>
      </c>
      <c r="D54" s="757" t="str">
        <f t="shared" si="0"/>
        <v/>
      </c>
      <c r="E54" s="159"/>
      <c r="F54" s="159"/>
      <c r="G54" s="159"/>
      <c r="H54" s="159"/>
      <c r="I54" s="159"/>
      <c r="J54" s="159"/>
      <c r="L54" s="632" t="s">
        <v>282</v>
      </c>
      <c r="M54" s="629">
        <v>239.070747125</v>
      </c>
      <c r="N54" s="629">
        <v>245.52694818500001</v>
      </c>
    </row>
    <row r="55" spans="1:14" ht="10.5" customHeight="1">
      <c r="A55" s="763" t="s">
        <v>275</v>
      </c>
      <c r="B55" s="759">
        <v>0</v>
      </c>
      <c r="C55" s="759">
        <v>0.40776897750000002</v>
      </c>
      <c r="D55" s="760">
        <f t="shared" si="0"/>
        <v>-1</v>
      </c>
      <c r="E55" s="159"/>
      <c r="F55" s="159"/>
      <c r="G55" s="159"/>
      <c r="H55" s="159"/>
      <c r="I55" s="159"/>
      <c r="J55" s="159"/>
      <c r="L55" s="632" t="s">
        <v>97</v>
      </c>
      <c r="M55" s="629">
        <v>223.59760478250001</v>
      </c>
      <c r="N55" s="629">
        <v>256.069488105</v>
      </c>
    </row>
    <row r="56" spans="1:14" ht="10.5" customHeight="1">
      <c r="A56" s="764" t="s">
        <v>285</v>
      </c>
      <c r="B56" s="756">
        <v>0</v>
      </c>
      <c r="C56" s="756">
        <v>0</v>
      </c>
      <c r="D56" s="757" t="str">
        <f>IF(C56=0,"",B56/C56-1)</f>
        <v/>
      </c>
      <c r="E56" s="159"/>
      <c r="F56" s="159"/>
      <c r="G56" s="159"/>
      <c r="H56" s="159"/>
      <c r="I56" s="159"/>
      <c r="J56" s="159"/>
      <c r="L56" s="629" t="s">
        <v>276</v>
      </c>
      <c r="M56" s="629">
        <v>291.71132715500005</v>
      </c>
      <c r="N56" s="629">
        <v>306.9613277725</v>
      </c>
    </row>
    <row r="57" spans="1:14" ht="10.5" customHeight="1">
      <c r="A57" s="763" t="s">
        <v>129</v>
      </c>
      <c r="B57" s="759">
        <v>0</v>
      </c>
      <c r="C57" s="759">
        <v>0.24470726500000001</v>
      </c>
      <c r="D57" s="760">
        <f t="shared" si="0"/>
        <v>-1</v>
      </c>
      <c r="E57" s="159"/>
      <c r="F57" s="159"/>
      <c r="G57" s="159"/>
      <c r="H57" s="159"/>
      <c r="I57" s="159"/>
      <c r="J57" s="159"/>
      <c r="L57" s="632" t="s">
        <v>279</v>
      </c>
      <c r="M57" s="629">
        <v>335.86581682500002</v>
      </c>
      <c r="N57" s="629">
        <v>338.99315323249999</v>
      </c>
    </row>
    <row r="58" spans="1:14" ht="10.5" customHeight="1">
      <c r="A58" s="764" t="s">
        <v>133</v>
      </c>
      <c r="B58" s="756"/>
      <c r="C58" s="756">
        <v>7.6088593950000005</v>
      </c>
      <c r="D58" s="757">
        <f t="shared" si="0"/>
        <v>-1</v>
      </c>
      <c r="E58" s="159"/>
      <c r="F58" s="159"/>
      <c r="G58" s="159"/>
      <c r="H58" s="159"/>
      <c r="I58" s="159"/>
      <c r="J58" s="159"/>
      <c r="L58" s="632" t="s">
        <v>95</v>
      </c>
      <c r="M58" s="629">
        <v>407.37107582750002</v>
      </c>
      <c r="N58" s="629">
        <v>433.15324207750007</v>
      </c>
    </row>
    <row r="59" spans="1:14" ht="10.5" customHeight="1">
      <c r="A59" s="763" t="s">
        <v>134</v>
      </c>
      <c r="B59" s="759"/>
      <c r="C59" s="759">
        <v>81.912645420000004</v>
      </c>
      <c r="D59" s="760">
        <f t="shared" si="0"/>
        <v>-1</v>
      </c>
      <c r="E59" s="159"/>
      <c r="F59" s="159"/>
      <c r="G59" s="159"/>
      <c r="H59" s="159"/>
      <c r="I59" s="159"/>
      <c r="J59" s="159"/>
      <c r="L59" s="629" t="s">
        <v>96</v>
      </c>
      <c r="M59" s="629">
        <v>582.73092744000007</v>
      </c>
      <c r="N59" s="629">
        <v>596.20544987749997</v>
      </c>
    </row>
    <row r="60" spans="1:14" ht="10.5" customHeight="1">
      <c r="A60" s="764" t="s">
        <v>126</v>
      </c>
      <c r="B60" s="765"/>
      <c r="C60" s="765">
        <v>0</v>
      </c>
      <c r="D60" s="766" t="str">
        <f>IF(C60=0,"",B60/C60-1)</f>
        <v/>
      </c>
      <c r="E60" s="159"/>
      <c r="F60" s="159"/>
      <c r="G60" s="159"/>
      <c r="H60" s="159"/>
      <c r="I60" s="159"/>
      <c r="J60" s="159"/>
      <c r="L60" s="632" t="s">
        <v>281</v>
      </c>
      <c r="M60" s="629">
        <v>314.50654908750005</v>
      </c>
      <c r="N60" s="629">
        <v>656.25707589499996</v>
      </c>
    </row>
    <row r="61" spans="1:14" ht="10.5" customHeight="1">
      <c r="A61" s="767" t="s">
        <v>132</v>
      </c>
      <c r="B61" s="759"/>
      <c r="C61" s="759">
        <v>0</v>
      </c>
      <c r="D61" s="760" t="str">
        <f>IF(C61=0,"",B61/C61-1)</f>
        <v/>
      </c>
      <c r="E61" s="159"/>
      <c r="F61" s="159"/>
      <c r="G61" s="159"/>
      <c r="H61" s="159"/>
      <c r="I61" s="159"/>
      <c r="J61" s="159"/>
      <c r="L61" s="632"/>
      <c r="M61" s="629"/>
      <c r="N61" s="629"/>
    </row>
    <row r="62" spans="1:14" ht="12" customHeight="1">
      <c r="A62" s="725" t="s">
        <v>44</v>
      </c>
      <c r="B62" s="726">
        <f>SUM(B6:B61)</f>
        <v>4207.8981174475002</v>
      </c>
      <c r="C62" s="726">
        <f>SUM(C6:C61)</f>
        <v>3963.7351692425004</v>
      </c>
      <c r="D62" s="727">
        <f>+B62/C62-1</f>
        <v>6.1599208266898797E-2</v>
      </c>
      <c r="E62" s="159"/>
      <c r="F62" s="159"/>
      <c r="G62" s="159"/>
      <c r="H62" s="159"/>
      <c r="I62" s="159"/>
      <c r="J62" s="159"/>
    </row>
    <row r="63" spans="1:14" ht="36" customHeight="1">
      <c r="A63" s="907" t="str">
        <f>"Cuadro N° 6: Participación de las empresas generadoras del COES en la producción de energía eléctrica (GWh) en "&amp;'1. Resumen'!Q4</f>
        <v>Cuadro N° 6: Participación de las empresas generadoras del COES en la producción de energía eléctrica (GWh) en abril</v>
      </c>
      <c r="B63" s="907"/>
      <c r="C63" s="907"/>
      <c r="D63" s="180"/>
      <c r="E63" s="906" t="str">
        <f>"Gráfico N° 10: Comparación de producción energética (GWh) de las empresas generadoras del COES en "&amp;'1. Resumen'!Q4</f>
        <v>Gráfico N° 10: Comparación de producción energética (GWh) de las empresas generadoras del COES en abril</v>
      </c>
      <c r="F63" s="906"/>
      <c r="G63" s="906"/>
      <c r="H63" s="906"/>
      <c r="I63" s="906"/>
      <c r="J63" s="906"/>
    </row>
    <row r="64" spans="1:14" ht="12.75" customHeight="1">
      <c r="A64" s="724"/>
      <c r="B64" s="724"/>
      <c r="C64" s="724"/>
      <c r="D64" s="180"/>
      <c r="E64" s="723"/>
      <c r="F64" s="723"/>
      <c r="G64" s="723"/>
      <c r="H64" s="723"/>
      <c r="I64" s="723"/>
      <c r="J64" s="723"/>
    </row>
    <row r="65" spans="1:10" ht="12.75" customHeight="1">
      <c r="A65" s="908" t="s">
        <v>721</v>
      </c>
      <c r="B65" s="908"/>
      <c r="C65" s="908"/>
      <c r="D65" s="908"/>
      <c r="E65" s="908"/>
      <c r="F65" s="908"/>
      <c r="G65" s="908"/>
      <c r="H65" s="908"/>
      <c r="I65" s="908"/>
      <c r="J65" s="908"/>
    </row>
    <row r="66" spans="1:10">
      <c r="A66" s="908" t="s">
        <v>594</v>
      </c>
      <c r="B66" s="908"/>
      <c r="C66" s="908"/>
      <c r="D66" s="908"/>
      <c r="E66" s="908"/>
      <c r="F66" s="908"/>
      <c r="G66" s="908"/>
      <c r="H66" s="908"/>
      <c r="I66" s="908"/>
      <c r="J66" s="908"/>
    </row>
    <row r="67" spans="1:10">
      <c r="A67" s="900"/>
      <c r="B67" s="900"/>
      <c r="C67" s="900"/>
      <c r="D67" s="900"/>
      <c r="E67" s="900"/>
      <c r="F67" s="900"/>
      <c r="G67" s="900"/>
      <c r="H67" s="900"/>
      <c r="I67" s="900"/>
      <c r="J67" s="900"/>
    </row>
    <row r="68" spans="1:10">
      <c r="A68" s="901"/>
      <c r="B68" s="901"/>
      <c r="C68" s="901"/>
      <c r="D68" s="901"/>
      <c r="E68" s="901"/>
      <c r="F68" s="901"/>
      <c r="G68" s="901"/>
      <c r="H68" s="901"/>
      <c r="I68" s="901"/>
      <c r="J68" s="901"/>
    </row>
    <row r="69" spans="1:10">
      <c r="A69" s="900"/>
      <c r="B69" s="900"/>
      <c r="C69" s="900"/>
      <c r="D69" s="900"/>
      <c r="E69" s="900"/>
      <c r="F69" s="900"/>
      <c r="G69" s="900"/>
      <c r="H69" s="900"/>
      <c r="I69" s="900"/>
      <c r="J69" s="900"/>
    </row>
    <row r="70" spans="1:10">
      <c r="A70" s="901"/>
      <c r="B70" s="901"/>
      <c r="C70" s="901"/>
      <c r="D70" s="901"/>
      <c r="E70" s="901"/>
      <c r="F70" s="901"/>
      <c r="G70" s="901"/>
      <c r="H70" s="901"/>
      <c r="I70" s="901"/>
      <c r="J70" s="901"/>
    </row>
  </sheetData>
  <autoFilter ref="L4:N61" xr:uid="{3128C184-458A-46DA-932F-AF8150F6A815}">
    <sortState ref="L5:N61">
      <sortCondition ref="M4:M61"/>
    </sortState>
  </autoFilter>
  <mergeCells count="12">
    <mergeCell ref="A67:J67"/>
    <mergeCell ref="A68:J68"/>
    <mergeCell ref="A69:J69"/>
    <mergeCell ref="A70:J70"/>
    <mergeCell ref="A2:I2"/>
    <mergeCell ref="A4:A5"/>
    <mergeCell ref="B4:D4"/>
    <mergeCell ref="G4:I4"/>
    <mergeCell ref="E63:J63"/>
    <mergeCell ref="A63:C63"/>
    <mergeCell ref="A65:J65"/>
    <mergeCell ref="A66:J66"/>
  </mergeCells>
  <pageMargins left="0.7" right="0.59782608695652173" top="0.86956521739130432" bottom="0.61458333333333337" header="0.3" footer="0.3"/>
  <pageSetup orientation="portrait" r:id="rId1"/>
  <headerFooter>
    <oddHeader>&amp;R&amp;7Informe de la Operación Mensual - Abril 2018
INFSGI-MES-04-2018
10/05/2018
Versión: 01</oddHeader>
    <oddFooter>&amp;L&amp;7COES SINAC, 2018
&amp;C7&amp;R&amp;7Dirección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13</vt:i4>
      </vt:variant>
    </vt:vector>
  </HeadingPairs>
  <TitlesOfParts>
    <vt:vector size="48"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 -2</vt:lpstr>
      <vt:lpstr>27.ANEXO III - 3</vt:lpstr>
      <vt:lpstr>28.ANEXO III - 4</vt:lpstr>
      <vt:lpstr>29.ANEXO III - 5</vt:lpstr>
      <vt:lpstr>30.ANEXO III -6</vt:lpstr>
      <vt:lpstr>31.ANEXOIII - 7</vt:lpstr>
      <vt:lpstr>32.ANEXOIII - 8</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'5. RER'!Print_Area</vt:lpstr>
      <vt:lpstr>'6. FP RER'!Print_Area</vt:lpstr>
      <vt:lpstr>'7. Generacion empresa'!Print_Area</vt:lpstr>
      <vt:lpstr>'9. Pot. Empresa'!Print_Area</vt:lpstr>
      <vt:lpstr>Índice!Print_Area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2018-05-10T15:50:40Z</cp:lastPrinted>
  <dcterms:created xsi:type="dcterms:W3CDTF">2018-02-13T14:18:17Z</dcterms:created>
  <dcterms:modified xsi:type="dcterms:W3CDTF">2018-05-10T15:50:54Z</dcterms:modified>
</cp:coreProperties>
</file>