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ricardo.varas\Downloads\Nueva carpeta (5)\"/>
    </mc:Choice>
  </mc:AlternateContent>
  <xr:revisionPtr revIDLastSave="0" documentId="13_ncr:1_{2F25D883-1D49-4A0A-B7D1-624B9B9BBB35}" xr6:coauthVersionLast="47" xr6:coauthVersionMax="47" xr10:uidLastSave="{00000000-0000-0000-0000-000000000000}"/>
  <bookViews>
    <workbookView xWindow="-108" yWindow="-108" windowWidth="23256" windowHeight="12576" tabRatio="712" xr2:uid="{F2B6F377-0267-405F-92D4-AB138E6E385C}"/>
  </bookViews>
  <sheets>
    <sheet name="Portada" sheetId="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29.ANEXO III - 5" sheetId="51" state="hidden" r:id="rId31"/>
    <sheet name="30.ANEXO III -6" sheetId="52" state="hidden" r:id="rId32"/>
    <sheet name="31.ANEXOIII - 7" sheetId="53" state="hidden" r:id="rId33"/>
    <sheet name="32.ANEXOIII - 8" sheetId="60" state="hidden" r:id="rId34"/>
    <sheet name="Contraportada" sheetId="59" r:id="rId35"/>
  </sheets>
  <definedNames>
    <definedName name="_xlnm._FilterDatabase" localSheetId="7" hidden="1">'6. FP RER'!$T$51:$V$54</definedName>
    <definedName name="_xlnm._FilterDatabase" localSheetId="8" hidden="1">'7. Generacion empresa'!$L$4:$N$61</definedName>
    <definedName name="_xlnm._FilterDatabase" localSheetId="10" hidden="1">'9. Pot. Empresa'!$L$6:$N$62</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'12.Caudales'!$A$1:$I$62</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generación'!$A$1:$J$55</definedName>
    <definedName name="_xlnm.Print_Area" localSheetId="6">'5. RER'!$A$1:$K$61</definedName>
    <definedName name="_xlnm.Print_Area" localSheetId="7">'6. FP RER'!$A$1:$K$64</definedName>
    <definedName name="_xlnm.Print_Area" localSheetId="8">'7. Generacion empresa'!$A$1:$J$68</definedName>
    <definedName name="_xlnm.Print_Area" localSheetId="9">'8. Max Potencia'!$A$1:$K$59</definedName>
    <definedName name="_xlnm.Print_Area" localSheetId="10">'9. Pot. Empresa'!$A$1:$J$69</definedName>
    <definedName name="_xlnm.Print_Area" localSheetId="1">Índice!$A$1:$L$45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7" l="1"/>
  <c r="G10" i="21" l="1"/>
  <c r="H8" i="21"/>
  <c r="F5" i="45" l="1"/>
  <c r="F6" i="45"/>
  <c r="F7" i="45"/>
  <c r="F8" i="45"/>
  <c r="F9" i="45"/>
  <c r="F10" i="45"/>
  <c r="F11" i="45"/>
  <c r="F12" i="45"/>
  <c r="F13" i="45"/>
  <c r="F14" i="45"/>
  <c r="F15" i="45"/>
  <c r="F16" i="45"/>
  <c r="F17" i="45"/>
  <c r="F18" i="45"/>
  <c r="F19" i="45"/>
  <c r="F20" i="45"/>
  <c r="F21" i="45"/>
  <c r="F22" i="45"/>
  <c r="F23" i="45"/>
  <c r="F24" i="45"/>
  <c r="F25" i="45"/>
  <c r="F26" i="45"/>
  <c r="F27" i="45"/>
  <c r="F28" i="45"/>
  <c r="F29" i="45"/>
  <c r="F30" i="45"/>
  <c r="F31" i="45"/>
  <c r="F32" i="45"/>
  <c r="F33" i="45"/>
  <c r="F34" i="45"/>
  <c r="F35" i="45"/>
  <c r="F36" i="45"/>
  <c r="F37" i="45"/>
  <c r="F38" i="45"/>
  <c r="F39" i="45"/>
  <c r="F40" i="45"/>
  <c r="F41" i="45"/>
  <c r="F42" i="45"/>
  <c r="F43" i="45"/>
  <c r="F44" i="45"/>
  <c r="F45" i="45"/>
  <c r="F47" i="45"/>
  <c r="F48" i="45"/>
  <c r="F49" i="45"/>
  <c r="F50" i="45"/>
  <c r="F51" i="45"/>
  <c r="F52" i="45"/>
  <c r="F53" i="45"/>
  <c r="F54" i="45"/>
  <c r="F55" i="45"/>
  <c r="F56" i="45"/>
  <c r="F57" i="45"/>
  <c r="F58" i="45"/>
  <c r="F59" i="45"/>
  <c r="F60" i="45"/>
  <c r="F61" i="45"/>
  <c r="F62" i="45"/>
  <c r="F63" i="45"/>
  <c r="F64" i="45"/>
  <c r="F65" i="45"/>
  <c r="F66" i="45"/>
  <c r="F67" i="45"/>
  <c r="G49" i="38"/>
  <c r="F49" i="38"/>
  <c r="H9" i="21" l="1"/>
  <c r="D58" i="11" l="1"/>
  <c r="D57" i="11"/>
  <c r="D56" i="11"/>
  <c r="D55" i="11"/>
  <c r="D54" i="11"/>
  <c r="D53" i="11"/>
  <c r="D52" i="11"/>
  <c r="D51" i="11"/>
  <c r="D50" i="11"/>
  <c r="D49" i="11"/>
  <c r="D48" i="11"/>
  <c r="D47" i="11"/>
  <c r="D46" i="11"/>
  <c r="D45" i="11"/>
  <c r="B14" i="12"/>
  <c r="B11" i="9"/>
  <c r="C11" i="9"/>
  <c r="D11" i="9"/>
  <c r="E11" i="9"/>
  <c r="J11" i="22" l="1"/>
  <c r="I12" i="6"/>
  <c r="F9" i="8" l="1"/>
  <c r="H12" i="6" l="1"/>
  <c r="C29" i="14" l="1"/>
  <c r="E16" i="21" l="1"/>
  <c r="F16" i="21"/>
  <c r="D16" i="21"/>
  <c r="G16" i="21" l="1"/>
  <c r="C63" i="13"/>
  <c r="B63" i="13"/>
  <c r="N29" i="18" l="1"/>
  <c r="N28" i="18"/>
  <c r="N27" i="18"/>
  <c r="N26" i="18"/>
  <c r="N25" i="18"/>
  <c r="N24" i="18"/>
  <c r="N23" i="18"/>
  <c r="N20" i="18"/>
  <c r="N19" i="18"/>
  <c r="N18" i="18"/>
  <c r="N17" i="18"/>
  <c r="N16" i="18"/>
  <c r="N15" i="18"/>
  <c r="N14" i="18"/>
  <c r="N12" i="18"/>
  <c r="N11" i="18"/>
  <c r="N10" i="18"/>
  <c r="N9" i="18"/>
  <c r="N8" i="18"/>
  <c r="C54" i="46" l="1"/>
  <c r="D54" i="46"/>
  <c r="D53" i="46"/>
  <c r="C53"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B11" i="22" l="1"/>
  <c r="H47" i="4" l="1"/>
  <c r="B47" i="4"/>
  <c r="D59" i="11" l="1"/>
  <c r="D60" i="11"/>
  <c r="B30" i="6" l="1"/>
  <c r="M16" i="6"/>
  <c r="M17" i="6"/>
  <c r="A52" i="22" l="1"/>
  <c r="A55" i="21"/>
  <c r="B58" i="18"/>
  <c r="B40" i="18"/>
  <c r="B21" i="18"/>
  <c r="A58" i="12"/>
  <c r="F64" i="13"/>
  <c r="M15" i="6" l="1"/>
  <c r="B18" i="12" l="1"/>
  <c r="C18" i="12"/>
  <c r="D18" i="12"/>
  <c r="E18" i="12"/>
  <c r="G18" i="12"/>
  <c r="H18" i="12"/>
  <c r="J18" i="12"/>
  <c r="H7" i="21" l="1"/>
  <c r="G7" i="21"/>
  <c r="F37" i="6" l="1"/>
  <c r="F39" i="6"/>
  <c r="F11" i="14" l="1"/>
  <c r="F52" i="46" l="1"/>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F6" i="36"/>
  <c r="F38" i="6" l="1"/>
  <c r="F36" i="6"/>
  <c r="C62" i="11" l="1"/>
  <c r="B62" i="11"/>
  <c r="A63" i="8"/>
  <c r="J12" i="7"/>
  <c r="A58" i="7"/>
  <c r="E35" i="6"/>
  <c r="D62" i="11" l="1"/>
  <c r="E63" i="11"/>
  <c r="A63" i="11"/>
  <c r="C45" i="10"/>
  <c r="A34" i="9"/>
  <c r="D3" i="36" l="1"/>
  <c r="D2" i="45" s="1"/>
  <c r="D2" i="46" s="1"/>
  <c r="C3" i="36"/>
  <c r="C2" i="45" s="1"/>
  <c r="C2" i="46" s="1"/>
  <c r="F2" i="38"/>
  <c r="F2" i="37"/>
  <c r="F3" i="23"/>
  <c r="C2" i="23"/>
  <c r="C1" i="37" s="1"/>
  <c r="C1" i="38" s="1"/>
  <c r="A37" i="22"/>
  <c r="E16" i="22"/>
  <c r="A16" i="22"/>
  <c r="A12" i="22"/>
  <c r="A17" i="21"/>
  <c r="F6" i="21"/>
  <c r="E6" i="21"/>
  <c r="D6" i="21"/>
  <c r="B47" i="18"/>
  <c r="B28" i="18"/>
  <c r="B10" i="18"/>
  <c r="C31" i="16"/>
  <c r="E6" i="16"/>
  <c r="D6" i="16"/>
  <c r="A64" i="13"/>
  <c r="B3" i="13"/>
  <c r="B5" i="11"/>
  <c r="C5" i="11" s="1"/>
  <c r="B4" i="11"/>
  <c r="A64" i="10"/>
  <c r="A43" i="10"/>
  <c r="A61" i="9"/>
  <c r="G6" i="7"/>
  <c r="G4" i="8" s="1"/>
  <c r="G4" i="9" s="1"/>
  <c r="D7" i="7"/>
  <c r="E7" i="7" s="1"/>
  <c r="A54" i="6"/>
  <c r="B41" i="6"/>
  <c r="A13" i="6"/>
  <c r="D5" i="8" l="1"/>
  <c r="C7" i="7"/>
  <c r="B7" i="7" s="1"/>
  <c r="B5" i="8" s="1"/>
  <c r="E4" i="46"/>
  <c r="D4" i="46"/>
  <c r="C4" i="46"/>
  <c r="E3" i="46"/>
  <c r="D3" i="46"/>
  <c r="C3" i="46"/>
  <c r="E4" i="45"/>
  <c r="D4" i="45"/>
  <c r="C4" i="45"/>
  <c r="E3" i="45"/>
  <c r="D3" i="45"/>
  <c r="C3" i="45"/>
  <c r="E5" i="36"/>
  <c r="E4" i="36"/>
  <c r="D4" i="36"/>
  <c r="D5" i="36"/>
  <c r="C5" i="36"/>
  <c r="C4" i="36"/>
  <c r="D8" i="13" l="1"/>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3" i="13"/>
  <c r="C6" i="13"/>
  <c r="B6" i="13"/>
  <c r="C5" i="13"/>
  <c r="B5" i="13"/>
  <c r="C5" i="8" l="1"/>
  <c r="C5" i="9" s="1"/>
  <c r="C7" i="12" s="1"/>
  <c r="D5" i="9"/>
  <c r="D7" i="12" s="1"/>
  <c r="B5" i="9"/>
  <c r="B7" i="12" s="1"/>
  <c r="E19" i="8"/>
  <c r="D19" i="8"/>
  <c r="C19" i="8"/>
  <c r="B19" i="8"/>
  <c r="J23" i="8"/>
  <c r="E23" i="8"/>
  <c r="D23" i="8"/>
  <c r="C23" i="8"/>
  <c r="B23" i="8"/>
  <c r="K22" i="8"/>
  <c r="F22" i="8"/>
  <c r="K21" i="8"/>
  <c r="I21" i="8"/>
  <c r="F21" i="8"/>
  <c r="F8" i="8"/>
  <c r="A2" i="8"/>
  <c r="A4" i="7"/>
  <c r="J16" i="7"/>
  <c r="H16" i="7"/>
  <c r="G16" i="7"/>
  <c r="C16" i="7"/>
  <c r="D16" i="7"/>
  <c r="E16" i="7"/>
  <c r="B16" i="7"/>
  <c r="B49" i="4"/>
  <c r="D35" i="6"/>
  <c r="E40" i="6"/>
  <c r="D40" i="6"/>
  <c r="F39" i="9" l="1"/>
  <c r="F40" i="6"/>
  <c r="B12" i="9"/>
  <c r="G23" i="8"/>
  <c r="H23" i="8"/>
  <c r="I22" i="8"/>
  <c r="A9" i="4" l="1"/>
  <c r="I20" i="4" l="1"/>
  <c r="C20" i="4"/>
  <c r="C3" i="4"/>
  <c r="H11" i="22"/>
  <c r="G11" i="22"/>
  <c r="F11" i="22"/>
  <c r="E11" i="22"/>
  <c r="D11" i="22"/>
  <c r="C11" i="22"/>
  <c r="H16" i="21"/>
  <c r="F30" i="16"/>
  <c r="F29" i="16"/>
  <c r="F28" i="16"/>
  <c r="F27" i="16"/>
  <c r="F26" i="16"/>
  <c r="F25" i="16"/>
  <c r="F24" i="16"/>
  <c r="F23" i="16"/>
  <c r="F22" i="16"/>
  <c r="F21" i="16"/>
  <c r="F20" i="16"/>
  <c r="F19" i="16"/>
  <c r="F18" i="16"/>
  <c r="F17" i="16"/>
  <c r="F16" i="16"/>
  <c r="F15" i="16"/>
  <c r="F14" i="16"/>
  <c r="F13" i="16"/>
  <c r="F12" i="16"/>
  <c r="F11" i="16"/>
  <c r="F10" i="16"/>
  <c r="F9" i="16"/>
  <c r="F8" i="16"/>
  <c r="F7" i="16"/>
  <c r="F28" i="14"/>
  <c r="F27" i="14"/>
  <c r="F26" i="14"/>
  <c r="F25" i="14"/>
  <c r="F24" i="14"/>
  <c r="F23" i="14"/>
  <c r="F22" i="14"/>
  <c r="F20" i="14"/>
  <c r="F19" i="14"/>
  <c r="F18" i="14"/>
  <c r="F17" i="14"/>
  <c r="F16" i="14"/>
  <c r="F15" i="14"/>
  <c r="F14" i="14"/>
  <c r="F13" i="14"/>
  <c r="F12" i="14"/>
  <c r="F10" i="14"/>
  <c r="F9" i="14"/>
  <c r="F8" i="14"/>
  <c r="F7" i="14"/>
  <c r="D7" i="13"/>
  <c r="K16" i="12"/>
  <c r="I16" i="12"/>
  <c r="K13" i="12"/>
  <c r="I13" i="12"/>
  <c r="F13" i="12"/>
  <c r="K12" i="12"/>
  <c r="I12" i="12"/>
  <c r="F12" i="12"/>
  <c r="K11" i="12"/>
  <c r="I11" i="12"/>
  <c r="F11" i="12"/>
  <c r="K10" i="12"/>
  <c r="I10" i="12"/>
  <c r="D14" i="12"/>
  <c r="D20" i="12" s="1"/>
  <c r="C14" i="12"/>
  <c r="C20" i="12" s="1"/>
  <c r="B20" i="12"/>
  <c r="D44" i="11"/>
  <c r="D43" i="11"/>
  <c r="D42" i="11"/>
  <c r="D41" i="11"/>
  <c r="D40" i="11"/>
  <c r="D39" i="11"/>
  <c r="D38" i="11"/>
  <c r="D37" i="11"/>
  <c r="D36"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K10" i="9"/>
  <c r="I10" i="9"/>
  <c r="F10" i="9"/>
  <c r="K9" i="9"/>
  <c r="I9" i="9"/>
  <c r="F9" i="9"/>
  <c r="K8" i="9"/>
  <c r="I8" i="9"/>
  <c r="F8" i="9"/>
  <c r="I7" i="9"/>
  <c r="F7" i="9"/>
  <c r="K6" i="9"/>
  <c r="F6" i="9"/>
  <c r="K18" i="8"/>
  <c r="I18" i="8"/>
  <c r="F18" i="8"/>
  <c r="K17" i="8"/>
  <c r="I17" i="8"/>
  <c r="F17" i="8"/>
  <c r="K16" i="8"/>
  <c r="I16" i="8"/>
  <c r="F16" i="8"/>
  <c r="K15" i="8"/>
  <c r="I15" i="8"/>
  <c r="F15" i="8"/>
  <c r="K14" i="8"/>
  <c r="I14" i="8"/>
  <c r="F14" i="8"/>
  <c r="K13" i="8"/>
  <c r="I13" i="8"/>
  <c r="F13" i="8"/>
  <c r="K12" i="8"/>
  <c r="I12" i="8"/>
  <c r="F12" i="8"/>
  <c r="K11" i="8"/>
  <c r="I11" i="8"/>
  <c r="F11" i="8"/>
  <c r="K10" i="8"/>
  <c r="I10" i="8"/>
  <c r="F10" i="8"/>
  <c r="K9" i="8"/>
  <c r="I9" i="8"/>
  <c r="K8" i="8"/>
  <c r="I8" i="8"/>
  <c r="K7" i="8"/>
  <c r="I7" i="8"/>
  <c r="K6" i="8"/>
  <c r="I6" i="8"/>
  <c r="F6" i="8"/>
  <c r="K15" i="7"/>
  <c r="I15" i="7"/>
  <c r="F15" i="7"/>
  <c r="K13" i="7"/>
  <c r="K11" i="7"/>
  <c r="I11" i="7"/>
  <c r="F11" i="7"/>
  <c r="K10" i="7"/>
  <c r="I10" i="7"/>
  <c r="F10" i="7"/>
  <c r="K9" i="7"/>
  <c r="I9" i="7"/>
  <c r="F9" i="7"/>
  <c r="K8" i="7"/>
  <c r="I8" i="7"/>
  <c r="F8" i="7"/>
  <c r="I11" i="22" l="1"/>
  <c r="F17" i="12"/>
  <c r="I17" i="12"/>
  <c r="K18" i="12"/>
  <c r="E14" i="12"/>
  <c r="G14" i="12"/>
  <c r="G20" i="12" s="1"/>
  <c r="H14" i="12"/>
  <c r="H20" i="12" s="1"/>
  <c r="F16" i="12"/>
  <c r="J14" i="12"/>
  <c r="J20" i="12" s="1"/>
  <c r="F10" i="12"/>
  <c r="K17" i="12"/>
  <c r="H11" i="9"/>
  <c r="E12" i="9"/>
  <c r="G11" i="9"/>
  <c r="C12" i="9"/>
  <c r="J11" i="9"/>
  <c r="K7" i="9"/>
  <c r="I6" i="9"/>
  <c r="F19" i="8"/>
  <c r="G19" i="8"/>
  <c r="F7" i="8"/>
  <c r="H19" i="8"/>
  <c r="J19" i="8"/>
  <c r="G12" i="7"/>
  <c r="I12" i="7" s="1"/>
  <c r="C12" i="7"/>
  <c r="B12" i="7"/>
  <c r="D12" i="7"/>
  <c r="I14" i="7"/>
  <c r="E5" i="8"/>
  <c r="E5" i="9" s="1"/>
  <c r="E7" i="12" s="1"/>
  <c r="F14" i="7"/>
  <c r="E12" i="7"/>
  <c r="K14" i="7"/>
  <c r="F40" i="9" l="1"/>
  <c r="M39" i="9" s="1"/>
  <c r="D12" i="9"/>
  <c r="F14" i="12"/>
  <c r="E20" i="12"/>
  <c r="F20" i="12" s="1"/>
  <c r="F12" i="7"/>
  <c r="K19" i="8"/>
  <c r="J12" i="9"/>
  <c r="G12" i="9"/>
  <c r="K12" i="7"/>
  <c r="I11" i="9"/>
  <c r="H12" i="9"/>
  <c r="I18" i="12"/>
  <c r="I19" i="8"/>
  <c r="K14" i="12"/>
  <c r="I14" i="12"/>
  <c r="F11" i="9"/>
  <c r="K11" i="9"/>
  <c r="I20" i="12" l="1"/>
  <c r="K20" i="12"/>
</calcChain>
</file>

<file path=xl/sharedStrings.xml><?xml version="1.0" encoding="utf-8"?>
<sst xmlns="http://schemas.openxmlformats.org/spreadsheetml/2006/main" count="1573" uniqueCount="741">
  <si>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</si>
  <si>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</si>
  <si>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</si>
  <si>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</si>
  <si>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</si>
  <si>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</si>
  <si>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</si>
  <si>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</si>
  <si>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</si>
  <si>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</si>
  <si>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</si>
  <si>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</si>
  <si>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</si>
  <si>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</si>
  <si>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</si>
  <si>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</si>
  <si>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</si>
  <si>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</si>
  <si>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</si>
  <si>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</si>
  <si>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</si>
  <si>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</si>
  <si>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</si>
  <si>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</si>
  <si>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</si>
  <si>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</si>
  <si>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</si>
  <si>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</si>
  <si>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</si>
  <si>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</si>
  <si>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</si>
  <si>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</si>
  <si>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</si>
  <si>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</si>
  <si>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</si>
  <si>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</si>
  <si>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Var (%)
2017/2016</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</si>
  <si>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</si>
  <si>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</si>
  <si>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</si>
  <si>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</si>
  <si>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</si>
  <si>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</si>
  <si>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</si>
  <si>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</si>
  <si>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</si>
  <si>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</si>
  <si>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</si>
  <si>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</si>
  <si>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</si>
  <si>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</si>
  <si>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</si>
  <si>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</si>
  <si>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</si>
  <si>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</si>
  <si>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</si>
  <si>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 Se denomina RER a los Recursos Energéticos Renovables (biomasa, eólica, solar, geotérmica, mareomotriz), e hidroléctricas cuya capacidad instalada no sobrepase los 20 MW, según D.L. N° 1002</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</si>
  <si>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</si>
  <si>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</si>
  <si>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</si>
  <si>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</si>
  <si>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</si>
  <si>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</si>
  <si>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</si>
  <si>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</si>
  <si>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</si>
  <si>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</si>
  <si>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</si>
  <si>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</si>
  <si>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</si>
  <si>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</si>
  <si>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</si>
  <si>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</si>
  <si>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</si>
  <si>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</si>
  <si>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</si>
  <si>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</si>
  <si>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</si>
  <si>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</si>
  <si>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</si>
  <si>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EOLICA</t>
  </si>
  <si>
    <t>C.E. CUPISNIQUE</t>
  </si>
  <si>
    <t>C.E. MARCONA</t>
  </si>
  <si>
    <t>C.E. TALARA</t>
  </si>
  <si>
    <t>SOLAR</t>
  </si>
  <si>
    <t>C.S. MOQUEGUA FV</t>
  </si>
  <si>
    <t>C.S. RUBI</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</si>
  <si>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</si>
  <si>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</si>
  <si>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</si>
  <si>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</si>
  <si>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</si>
  <si>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</si>
  <si>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</si>
  <si>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</si>
  <si>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</si>
  <si>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</si>
  <si>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</si>
  <si>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</si>
  <si>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</si>
  <si>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</si>
  <si>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</si>
  <si>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</si>
  <si>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</si>
  <si>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</si>
  <si>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</si>
  <si>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</si>
  <si>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</si>
  <si>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</si>
  <si>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</si>
  <si>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</si>
  <si>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</si>
  <si>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</si>
  <si>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</si>
  <si>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</si>
  <si>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</si>
  <si>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</si>
  <si>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</si>
  <si>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</si>
  <si>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</si>
  <si>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</si>
  <si>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</si>
  <si>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</si>
  <si>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</si>
  <si>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ELECTRICA SANTA ROSA</t>
  </si>
  <si>
    <t>SHOUGESA</t>
  </si>
  <si>
    <t>AGUA AZUL</t>
  </si>
  <si>
    <t>AGROAURORA</t>
  </si>
  <si>
    <t>RIO BAÑOS</t>
  </si>
  <si>
    <t>CERRO DEL AGUILA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</si>
  <si>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</si>
  <si>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</si>
  <si>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</si>
  <si>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</si>
  <si>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</si>
  <si>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</si>
  <si>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</si>
  <si>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</si>
  <si>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</si>
  <si>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</si>
  <si>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</si>
  <si>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</si>
  <si>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</si>
  <si>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</si>
  <si>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</si>
  <si>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</si>
  <si>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</si>
  <si>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</si>
  <si>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Paron (ORAZUL)</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</si>
  <si>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</si>
  <si>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</si>
  <si>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</si>
  <si>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</si>
  <si>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</si>
  <si>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</si>
  <si>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</si>
  <si>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</si>
  <si>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</si>
  <si>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</si>
  <si>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</si>
  <si>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</si>
  <si>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</si>
  <si>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</si>
  <si>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</si>
  <si>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</si>
  <si>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</si>
  <si>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</si>
  <si>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</si>
  <si>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</si>
  <si>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</si>
  <si>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</si>
  <si>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</si>
  <si>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</si>
  <si>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</si>
  <si>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</si>
  <si>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</si>
  <si>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</si>
  <si>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</si>
  <si>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</si>
  <si>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</si>
  <si>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</si>
  <si>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</si>
  <si>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</si>
  <si>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CHAVARRIA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</si>
  <si>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</si>
  <si>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</si>
  <si>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</si>
  <si>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</si>
  <si>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</si>
  <si>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</si>
  <si>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</si>
  <si>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</si>
  <si>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</si>
  <si>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</si>
  <si>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</si>
  <si>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</si>
  <si>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</si>
  <si>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</si>
  <si>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</si>
  <si>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Var. (2017/2016)</t>
  </si>
  <si>
    <t>SUR</t>
  </si>
  <si>
    <t>CENTRO</t>
  </si>
  <si>
    <t>L-2018</t>
  </si>
  <si>
    <t>TOTAL HORAS DE CONGESTIÓN EN EL SEIN</t>
  </si>
  <si>
    <t>7. EVENTOS Y FALLAS QUE OCASIONARON INTERRUPCIÓN Y DISMINUCIÓN DE SUMINISTRO ELÉCTRICO</t>
  </si>
  <si>
    <t>7.1. FALLAS POR TIPO DE EQUIPO Y CAUSA SEGÚN CLASIFICACION CIER</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</si>
  <si>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</si>
  <si>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</si>
  <si>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</si>
  <si>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</si>
  <si>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</si>
  <si>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</si>
  <si>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</si>
  <si>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</si>
  <si>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</si>
  <si>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</si>
  <si>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</si>
  <si>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</si>
  <si>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</si>
  <si>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</si>
  <si>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</si>
  <si>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</si>
  <si>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</si>
  <si>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</si>
  <si>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</si>
  <si>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</si>
  <si>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</si>
  <si>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</si>
  <si>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</si>
  <si>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</si>
  <si>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</si>
  <si>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</si>
  <si>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</si>
  <si>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</si>
  <si>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</si>
  <si>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2.1.  INGRESO EN OPERACIÓN COMERCIAL AL SEIN</t>
  </si>
  <si>
    <t>ENEL GREEN PERU</t>
  </si>
  <si>
    <t>solar</t>
  </si>
  <si>
    <t>C.S. Rubí</t>
  </si>
  <si>
    <t>30.01.2018</t>
  </si>
  <si>
    <t>HIDROELÉCTRICA</t>
  </si>
  <si>
    <t>TERMOELÉCTRICA</t>
  </si>
  <si>
    <t>EÓLICA</t>
  </si>
  <si>
    <t>fotovoltaica</t>
  </si>
  <si>
    <t>Tensión  
(kV)</t>
  </si>
  <si>
    <t>Operación Comercial</t>
  </si>
  <si>
    <t>Central Solar</t>
  </si>
  <si>
    <t>POTENCIA INSTALADA (MW)</t>
  </si>
  <si>
    <t>Potencia Instalada (MW)</t>
  </si>
  <si>
    <t>560 880 
Módulos</t>
  </si>
  <si>
    <t>VARIACIÓN
 (%)</t>
  </si>
  <si>
    <t>2.1. Ingreso en Operación Comercial al SEIN</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</si>
  <si>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</si>
  <si>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</si>
  <si>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</si>
  <si>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</si>
  <si>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</si>
  <si>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</si>
  <si>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</si>
  <si>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</si>
  <si>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</si>
  <si>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</si>
  <si>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</si>
  <si>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</si>
  <si>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</si>
  <si>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</si>
  <si>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BIOMASA</t>
  </si>
  <si>
    <t>3.4. FACTOR DE PLANTA DE LAS CENTRALES RER DEL SEIN</t>
  </si>
  <si>
    <t>3.5. PARTICIPACIÓN DE LA PRODUCCIÓN (GWh) POR EMPRESAS INTEGRANTES</t>
  </si>
  <si>
    <t>CERRO VERDE</t>
  </si>
  <si>
    <t>EMGE HUALLAGA</t>
  </si>
  <si>
    <t>EMGE HUANZA</t>
  </si>
  <si>
    <t>EMGE JUNÍN</t>
  </si>
  <si>
    <t>FENIX POWER</t>
  </si>
  <si>
    <t>HUAURA POWER</t>
  </si>
  <si>
    <t>ORAZUL ENERGY PERÚ</t>
  </si>
  <si>
    <t>P.E. MARCONA</t>
  </si>
  <si>
    <t>PLANTA  ETEN</t>
  </si>
  <si>
    <t>SAMAY I</t>
  </si>
  <si>
    <t>SANTA CRUZ</t>
  </si>
  <si>
    <t>Empresa Integrante  (GWh)</t>
  </si>
  <si>
    <t>Variación 2018/2017 (GWh)</t>
  </si>
  <si>
    <t>4. MÁXIMA POTENCIA COINCIDENTE A NIVEL DE GENERACIÓN EN EL SEIN (MW)</t>
  </si>
  <si>
    <t>Total Máxima Potencia</t>
  </si>
  <si>
    <t>Máxima Potencia Anual</t>
  </si>
  <si>
    <t>Últimos 3 meses</t>
  </si>
  <si>
    <t>EMPRESA</t>
  </si>
  <si>
    <t>Variación 2018/2017 (MW)</t>
  </si>
  <si>
    <t>4.2. PARTICIPACIÓN DE LAS EMPRESAS INTEGRANTES EN LA MÁXIMA POTENCIA COINCIDENTE (MW)</t>
  </si>
  <si>
    <t>5. HIDROLOGÍA PARA LA OPERACIÓN DEL SEIN</t>
  </si>
  <si>
    <t>5.1. VOLÚMEN UTIL DE LOS EMBALSES Y LAGUNAS (Millones de m3)</t>
  </si>
  <si>
    <t>Lagunas Rahucolta (ORAZUL)</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</si>
  <si>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</si>
  <si>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</si>
  <si>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</si>
  <si>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</si>
  <si>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</si>
  <si>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</si>
  <si>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</si>
  <si>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</si>
  <si>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</si>
  <si>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</si>
  <si>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</si>
  <si>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</si>
  <si>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</si>
  <si>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</si>
  <si>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</si>
  <si>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</si>
  <si>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</si>
  <si>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</si>
  <si>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</si>
  <si>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</si>
  <si>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</si>
  <si>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</si>
  <si>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t>
  </si>
  <si>
    <t>(*) Valor no reportado por Orazul</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</si>
  <si>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</si>
  <si>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</si>
  <si>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</si>
  <si>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</si>
  <si>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</si>
  <si>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</si>
  <si>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</si>
  <si>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</si>
  <si>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</si>
  <si>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</si>
  <si>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</si>
  <si>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</si>
  <si>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</si>
  <si>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</si>
  <si>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</si>
  <si>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</si>
  <si>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</si>
  <si>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</si>
  <si>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</si>
  <si>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</si>
  <si>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</si>
  <si>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</si>
  <si>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</si>
  <si>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</si>
  <si>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</si>
  <si>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</si>
  <si>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</si>
  <si>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</si>
  <si>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</si>
  <si>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</si>
  <si>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</si>
  <si>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</si>
  <si>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</si>
  <si>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</si>
  <si>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</si>
  <si>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</si>
  <si>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</si>
  <si>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</si>
  <si>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</si>
  <si>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</si>
  <si>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</si>
  <si>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</si>
  <si>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</si>
  <si>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</si>
  <si>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</si>
  <si>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</si>
  <si>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</si>
  <si>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</si>
  <si>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</si>
  <si>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</si>
  <si>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</si>
  <si>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</si>
  <si>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</si>
  <si>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</si>
  <si>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</si>
  <si>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</si>
  <si>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</si>
  <si>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</si>
  <si>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</si>
  <si>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</si>
  <si>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</si>
  <si>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</si>
  <si>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</si>
  <si>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</si>
  <si>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</si>
  <si>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</si>
  <si>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</si>
  <si>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</si>
  <si>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</si>
  <si>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</si>
  <si>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</si>
  <si>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</si>
  <si>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</si>
  <si>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</si>
  <si>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</si>
  <si>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</si>
  <si>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</si>
  <si>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</si>
  <si>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</si>
  <si>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</si>
  <si>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C.H. CERRO DEL AGUILA</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</si>
  <si>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</si>
  <si>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</si>
  <si>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</si>
  <si>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</si>
  <si>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</si>
  <si>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</si>
  <si>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</si>
  <si>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</si>
  <si>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</si>
  <si>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</si>
  <si>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</si>
  <si>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</si>
  <si>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</si>
  <si>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</si>
  <si>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</si>
  <si>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</si>
  <si>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</si>
  <si>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</si>
  <si>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</si>
  <si>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</si>
  <si>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</si>
  <si>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</si>
  <si>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</si>
  <si>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</si>
  <si>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</si>
  <si>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</si>
  <si>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</si>
  <si>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</si>
  <si>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</si>
  <si>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</si>
  <si>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</si>
  <si>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</si>
  <si>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</si>
  <si>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</si>
  <si>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</si>
  <si>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</si>
  <si>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</si>
  <si>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</si>
  <si>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</si>
  <si>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</si>
  <si>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</si>
  <si>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</si>
  <si>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</si>
  <si>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 xml:space="preserve">TOTAL GENERACIÓN </t>
  </si>
  <si>
    <t>IMPORTACIÓN</t>
  </si>
  <si>
    <t>EXPORTACIÓN</t>
  </si>
  <si>
    <t>(*) Se denomina RER a los Recursos Energéticos Renovables tales como biomasa, eólica, solar, geotérmica, mareomotriz e hidráulicas cuya capacidad instalada no sobrepasa de los 20 MW, según D.L. N° 1002</t>
  </si>
  <si>
    <t>Variación</t>
  </si>
  <si>
    <t>%</t>
  </si>
  <si>
    <t>CERRO DEL AGUILA Total</t>
  </si>
  <si>
    <t>ECELIM Total</t>
  </si>
  <si>
    <t>C.T. ILO 1</t>
  </si>
  <si>
    <t>C.H. RUCUY</t>
  </si>
  <si>
    <t>RIO BAÑOS Total</t>
  </si>
  <si>
    <t>C.T. TAPARACHI</t>
  </si>
  <si>
    <t>C.H. CHANCAY</t>
  </si>
  <si>
    <t>2018 / 2017</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</si>
  <si>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</si>
  <si>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</si>
  <si>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</si>
  <si>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</si>
  <si>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</si>
  <si>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</si>
  <si>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</si>
  <si>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</si>
  <si>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</si>
  <si>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</si>
  <si>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</si>
  <si>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</si>
  <si>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</si>
  <si>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</si>
  <si>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</si>
  <si>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</si>
  <si>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</si>
  <si>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ETENORTE</t>
  </si>
  <si>
    <t>ELECTRO PUNO</t>
  </si>
  <si>
    <t>L. AZÁNGARO - PUTINA - LINEA L-6024</t>
  </si>
  <si>
    <t>TRANSMANTARO</t>
  </si>
  <si>
    <t>HIDRANDINA</t>
  </si>
  <si>
    <t>RED DE ENERGIA DEL PERU</t>
  </si>
  <si>
    <t>2. MODIFICACION DE LA OFERTA DE GENERACIÓN ELÉCTRICA DEL SEIN EN EL 2018</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</si>
  <si>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</si>
  <si>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</si>
  <si>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</si>
  <si>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</si>
  <si>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</si>
  <si>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</si>
  <si>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</si>
  <si>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</si>
  <si>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</si>
  <si>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</si>
  <si>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</si>
  <si>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</si>
  <si>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</si>
  <si>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</si>
  <si>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5.2. EVOLUCIÓN DE VOLUMENES DE LOS EMBALSES Y LAGUNAS</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</si>
  <si>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</si>
  <si>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</si>
  <si>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</si>
  <si>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</si>
  <si>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</si>
  <si>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</si>
  <si>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</si>
  <si>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</si>
  <si>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</si>
  <si>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7.1. HORAS DE CONGESTION POR ÁREA OPERATIVA</t>
  </si>
  <si>
    <t>4. MÁXIMA POTENCIA COINCIDENTE A NIVEL DE GENERACIÓN EN EL SEIN</t>
  </si>
  <si>
    <t>3. PRODUCCIÓN DE ENERGÍA ELÉCTRICA EN EL SEIN</t>
  </si>
  <si>
    <t>4.1 Máxima Potencia Coincidente Por tipo de generación</t>
  </si>
  <si>
    <t>4.2. Participación por Empresas Integrantes en la máxima potencia conincidente</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</si>
  <si>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</si>
  <si>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</si>
  <si>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</si>
  <si>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</si>
  <si>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</si>
  <si>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</si>
  <si>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 Máxima Potencia calculado durante los periodos de hora punta acorde al PR-30 y PR-43, la misma que incluye la importación desde Ecuador.</t>
  </si>
  <si>
    <t>1. RESUMEN</t>
  </si>
  <si>
    <t>Var. (2018/2017)</t>
  </si>
  <si>
    <t>SANTA ANA</t>
  </si>
  <si>
    <t>BIOCOMBUSTIBLE</t>
  </si>
  <si>
    <t>SANTA ANA Total</t>
  </si>
  <si>
    <t>TOTAL MÁXIMA POTENCIA COINCIDENTE</t>
  </si>
  <si>
    <t>Cuadro N°7 : Máxima potencia coincidente (MW) por tipo de generación en el SEIN.</t>
  </si>
  <si>
    <t>LUZ DEL SUR / INLAND Total</t>
  </si>
  <si>
    <t>25.03.2018</t>
  </si>
  <si>
    <t>C.T. Sto Domingo de los Olleros</t>
  </si>
  <si>
    <t>19:30</t>
  </si>
  <si>
    <t>11:15</t>
  </si>
  <si>
    <t>23:00</t>
  </si>
  <si>
    <t>19:45</t>
  </si>
  <si>
    <t>11:45</t>
  </si>
  <si>
    <t>19:00</t>
  </si>
  <si>
    <t>11:30</t>
  </si>
  <si>
    <t xml:space="preserve">SANTA ANA </t>
  </si>
  <si>
    <t>agua</t>
  </si>
  <si>
    <t>C.H. RENOVANDES H1</t>
  </si>
  <si>
    <t>C.S. INTIPAMPA</t>
  </si>
  <si>
    <t>C.H. Renovandes H1</t>
  </si>
  <si>
    <t>C.S. Intipampa</t>
  </si>
  <si>
    <t>138 120 
Módulos</t>
  </si>
  <si>
    <t>31.03.2018</t>
  </si>
  <si>
    <t>20.03.2018</t>
  </si>
  <si>
    <t>G1</t>
  </si>
  <si>
    <t>Turbina Pelton</t>
  </si>
  <si>
    <t>Central Hidroeléctrica</t>
  </si>
  <si>
    <t>CELEPSA RENOVABLES Total</t>
  </si>
  <si>
    <t>(2) Valor referido a la potencia instalada de la Turbina de vapor de la C.T. Sto. Domingo de los Olleros.</t>
  </si>
  <si>
    <t xml:space="preserve">(3) Valor de 103,95 MW corresponde al aumento de potencia efectiva de la central Sto. Domigo de los Olleros debido al ingreso de la Turbina de Vapor, el valor de la potencia efectiva del modo ciclo combinado (TG+TV) es de 305,32 MW. </t>
  </si>
  <si>
    <t>Gráfico N°13: Evolución semanal del volumen de las lagunas de ENEL durante los años 2016 - 2018</t>
  </si>
  <si>
    <t>Gráfico N°14: Evolución semanal del volumen del lago JUNÍN durante los años 2016 - 2018</t>
  </si>
  <si>
    <t>Gráfico N°15: Evolución semanal del volumen de los embalses de EGASA durante los años 2016 - 2018.</t>
  </si>
  <si>
    <t>Gráfico N°24: Porcentaje de participación por tipo de causa en el número de fallas.</t>
  </si>
  <si>
    <t>Gráfico N°25: Comparación en el número de fallas por tipo de equipo.</t>
  </si>
  <si>
    <t>TV</t>
  </si>
  <si>
    <t xml:space="preserve">(*) Valor de 103,95 MW corresponde al aumento de potencia efectiva de la central Sto. Domigo de los Olleros debido al ingreso de la Turbina de Vapor, el valor de la potencia efectiva del modo ciclo combinado (TG+TV) es de 305,32 MW. </t>
  </si>
  <si>
    <t>Turbina de Vapor</t>
  </si>
  <si>
    <t>ETESELVA</t>
  </si>
  <si>
    <t>TRANSFORMADOR</t>
  </si>
  <si>
    <t>4 eventos corresponde a rechazo manual de carga en la S.S.E.E. Pucallpa por deficit de generación (74,15 MWh)</t>
  </si>
  <si>
    <t>20:00</t>
  </si>
  <si>
    <t>18:45</t>
  </si>
  <si>
    <t>00:15</t>
  </si>
  <si>
    <t xml:space="preserve">Potencia Efectiva  (MW) </t>
  </si>
  <si>
    <t>C.E. WAYRA I</t>
  </si>
  <si>
    <t xml:space="preserve">ELECTRO DUNAS </t>
  </si>
  <si>
    <t>L. INDEPENDENCIA - PISCO - LINEA L-6605</t>
  </si>
  <si>
    <t>(1)  A partir del 29.09.2017 la C.H. Cerro del Águila pasa a ser propiedad de la empresa Kallpa Generación S.A.</t>
  </si>
  <si>
    <t>17:45</t>
  </si>
  <si>
    <t>19:15</t>
  </si>
  <si>
    <t>(*) A partir del 29.09.2017 la C.H. Cerro del Águila pasa a ser propiedad de la empresa Kallpa Generación S.A.</t>
  </si>
  <si>
    <t>KALLPA (*)</t>
  </si>
  <si>
    <t>CERRO DEL AGUILA (*)</t>
  </si>
  <si>
    <t>SAN JUAN - LOS INDUSTRIALES</t>
  </si>
  <si>
    <t>SAN JUAN - SANTA ROSA N.</t>
  </si>
  <si>
    <t>ENLACE CENTRO - SUR</t>
  </si>
  <si>
    <t>L-2051 L-2052  L-5034  L-5036</t>
  </si>
  <si>
    <t>L-2011</t>
  </si>
  <si>
    <t>eólica</t>
  </si>
  <si>
    <t>viento</t>
  </si>
  <si>
    <t>aerogenerador</t>
  </si>
  <si>
    <r>
      <t>144,48</t>
    </r>
    <r>
      <rPr>
        <vertAlign val="superscript"/>
        <sz val="6.5"/>
        <rFont val="Arial"/>
        <family val="2"/>
      </rPr>
      <t>(1)</t>
    </r>
  </si>
  <si>
    <r>
      <t>123,61</t>
    </r>
    <r>
      <rPr>
        <vertAlign val="superscript"/>
        <sz val="6.5"/>
        <rFont val="Arial"/>
        <family val="2"/>
      </rPr>
      <t>(2)</t>
    </r>
  </si>
  <si>
    <r>
      <t>103,95</t>
    </r>
    <r>
      <rPr>
        <vertAlign val="superscript"/>
        <sz val="6.5"/>
        <rFont val="Arial"/>
        <family val="2"/>
      </rPr>
      <t>(3)</t>
    </r>
  </si>
  <si>
    <r>
      <t>44,54</t>
    </r>
    <r>
      <rPr>
        <vertAlign val="superscript"/>
        <sz val="6.5"/>
        <color theme="1"/>
        <rFont val="Arial"/>
        <family val="2"/>
      </rPr>
      <t>(1)</t>
    </r>
  </si>
  <si>
    <t>C.E. Wayra I</t>
  </si>
  <si>
    <t>42 aerogeneradores</t>
  </si>
  <si>
    <t>19.05.2018</t>
  </si>
  <si>
    <t>(1) El valor de potencias efectivas de la C.S. Rubí, C.S. Intipampa y C.E. Wayra I corresponden a la potencia instalada nominal declarada en la fecha de ingreso de operación comercial.</t>
  </si>
  <si>
    <r>
      <t>132,30</t>
    </r>
    <r>
      <rPr>
        <vertAlign val="superscript"/>
        <sz val="6.5"/>
        <rFont val="Arial"/>
        <family val="2"/>
      </rPr>
      <t>(1)</t>
    </r>
  </si>
  <si>
    <t>Central Eólica</t>
  </si>
  <si>
    <t>Gráfico N°19: Evolución del promedio semanal de caudales de las cuencas CHILI, ARICOTA, VILCANOTA Y SAN GABÁN en los años 2016 - 2018.</t>
  </si>
  <si>
    <t>Gráfico N°18: Evolución del promedio semanal de caudales de los ríos MANTARO, TULUMAYO y TARMA  en los años 2016 - 2018.</t>
  </si>
  <si>
    <t>Gráfico N°17: Evolución del promedio semanal de caudales de los ríos RÍMAC y SANTA EULALIA en los años 2016 - 2018.</t>
  </si>
  <si>
    <t>Gráfico N°16: Evolución del promedio semanal de caudales de los ríos SANTA, CHANCAY y PATIVILCA en los años 2016 - 2018.</t>
  </si>
  <si>
    <t>(***) La empresa LUZ DEL SUR S.A.A. Transfiere la titularidad de sus instalaciones de generación a la empresa INLAND ENERGYS.A.C.</t>
  </si>
  <si>
    <t>(****) La empresa HIDROELÉCTRICA MARAÑON S.R.L. cambia su denominación social a CELEPSA RENOVABLES S.R.L.</t>
  </si>
  <si>
    <t>CELEPSA RENOVABLES (****)</t>
  </si>
  <si>
    <t>LUZ DEL SUR / INLAND (***)</t>
  </si>
  <si>
    <t>ECELIM (**)</t>
  </si>
  <si>
    <t>PETRAMAS (**)</t>
  </si>
  <si>
    <t>ECELIM  (**)</t>
  </si>
  <si>
    <t>(**) A partir del 14.12.2017 la C.T. La Gringa (ECELIM) pasa a ser propiedad de la empresa PETRAMAS S.A.</t>
  </si>
  <si>
    <t>(2) A partir del 14.12.2017 la C.T. La Gringa (ECELIM) pasa a ser propiedad de la empresa PETRAMAS S.A.</t>
  </si>
  <si>
    <t>(3)  Ingreso a operación comercial de la C.S. RUBI propiedad de ENEL GREEN POWER PERU S.A. a partir del 30.01.2018</t>
  </si>
  <si>
    <t>(4) La empresa LUZ DEL SUR S.A.A. Transfiere la titularidad de sus instalaciones de generación a la empresa INLAND ENERGY S.A.C.</t>
  </si>
  <si>
    <t>(5) Ingreso a operación comercial de la C.H. Renovandes H1, propiedad de EMPRESA DE GENERACIÓN ELÉCTRICA SANTA ANA S.A. a partir del 20.03.2018</t>
  </si>
  <si>
    <t>(6) Ingreso a operación comercial de la TV de la C.T. Sto. Domingo de los Olleros propiedad de TERMOCHILCA a partir del 25.03.2018</t>
  </si>
  <si>
    <t>(7)  Ingreso a operación comercial de la de la C.S. Intipampa, propiedad de ENGIE ENERGÍA PERU S.A. a partir del 31.03.2018</t>
  </si>
  <si>
    <t>(8) La empresa HIDROELÉCTRICA MARAÑON S.R.L. cambia su denominación social a CELEPSA RENOVABLES S.R.L.</t>
  </si>
  <si>
    <t>(9) Ingreso a operación comercial de la C.E. Wayra I, propiedad de ENEL GREEN POWER PERU S.A.  A apartir del 19.05.2018</t>
  </si>
  <si>
    <t>CELEPSA RENOVABLES (8)</t>
  </si>
  <si>
    <t>Máxima Demanda:</t>
  </si>
  <si>
    <t>(10) Operación por pruebas de la C.H. Her 1, propiedad de ENEL GENERACIÓN PERU S.A.</t>
  </si>
  <si>
    <r>
      <t>C.S. RUBI</t>
    </r>
    <r>
      <rPr>
        <b/>
        <sz val="7"/>
        <color theme="1"/>
        <rFont val="Arial"/>
        <family val="2"/>
      </rPr>
      <t xml:space="preserve"> (3)</t>
    </r>
  </si>
  <si>
    <r>
      <t xml:space="preserve">C.H. RENOVANDES H1  </t>
    </r>
    <r>
      <rPr>
        <b/>
        <sz val="7"/>
        <color theme="1"/>
        <rFont val="Arial"/>
        <family val="2"/>
      </rPr>
      <t>(5)</t>
    </r>
  </si>
  <si>
    <t>11:00</t>
  </si>
  <si>
    <t>ABY TRANSMISIÓN SUR</t>
  </si>
  <si>
    <t>L. MOROCOCHA - CARLOS FRANCISCO - LINEA L-6532</t>
  </si>
  <si>
    <t>CONENHUA</t>
  </si>
  <si>
    <t>GENERADOR TERMOELÉCTRICO</t>
  </si>
  <si>
    <r>
      <t xml:space="preserve">C.E. WAYRA I  </t>
    </r>
    <r>
      <rPr>
        <b/>
        <sz val="7"/>
        <color theme="1"/>
        <rFont val="Arial"/>
        <family val="2"/>
      </rPr>
      <t>(9)</t>
    </r>
  </si>
  <si>
    <t>1.1. Producción de energía eléctrica en julio 2018 en comparación al mismo mes del año anterior</t>
  </si>
  <si>
    <t>julio</t>
  </si>
  <si>
    <t>L. ARICOTA 2 - TOMASIRI - LINEA L-6620</t>
  </si>
  <si>
    <t>Desconectó las líneas L-6620 (Aricota II - Tomasiri) y L-6637 (Tomasiri - Los Héroes) de 66 kV, por falla monofásica a tierra en la fase “T”. De acuerdo con lo informado por EGESUR, titular de la línea, la falla se produjo por alta concentración de neblina en la zona. El sistema de protección señalizo la activación de la función de distancia (21) en el lado de la S.E. Aricota 2 y sobrecorriente direccional a tierra (67N) en el lado de la S.E. Los Héroes. El sistema de protección detecto la falla a una distancia de 57,40 km de la S.E. Aricota 2. Como consecuencia se interrumpió el suministro de la S.E. Tomasiri con un total de 1,20 MW. A las 19:12 h, se conectó la línea L-6620 y se inició la normalización del suministro interrumpido. La línea L-6637 quedó indisponible para su inspección. A las 11:47 h del 03.07.2018, se conectó la línea L-6637.</t>
  </si>
  <si>
    <t>ELECTRO ORIENTE</t>
  </si>
  <si>
    <t>L. BELLAVISTA - TARAPOTO - LINEA L-1017</t>
  </si>
  <si>
    <t>Desconectaron las líneas L-1018 (Belaunde Terry – Tarapoto) de 138 kV y L-1019 (Juanjuí – Bellavista) de 138 kV, por falla monofásica a tierra en la fase “S” de la línea L-1017 (Tarapoto – Bellavista) de 138 Kv, que no fue despejada por su sistema de protección. De acuerdo con lo informado por ELECTRO ORIENTE, titular de la línea L-1017, el motivo de la falla no ha sido determinado. El sistema de protección de las líneas L-1018 y L-1019 señalizaron la activación de la función de distancia (21). Asimismo, desconectó el reactor de barra RB-3201 de la S.E. Cáclic por la activación de su protección de mínima tensión. Como consecuencia se interrumpió el suministro de las subestaciones Tarapoto, Pongo de Caynarachi, Yurimaguas, Bellavista, Juanjuí y Gera con un total de 40,42 MW. A las 15:10 h, se conectó la línea L-1019 y se inició la normalización del suministro interrumpido en forma radial. A las 15:11 h, se conectó la línea L-1017. A las 15:48 h, se conectó la línea L-1018.</t>
  </si>
  <si>
    <t>S.E. RIOJA - SSEE S.E. RIOJA</t>
  </si>
  <si>
    <t>Se activó el Esquema de Rechazo Automático de Carga por Mínima Tensión (ERACMT) de la S.E. Moyobamba, debido a una falla monofásica a tierra en la fase “S” de la línea L-1017 (Bellavista - Tarapoto) de 138 kV que no fue despejada por su sistema de protección, por lo que desconectaron las líneas L-1018 y L-1019 aproximadamente luego de 2 segundos de iniciada la falla. Como consecuencia de la activación de dicho esquema, desconectó la línea L-6091 (Moyobamba – Rioja) de 60 kV, con lo cual se interrumpió el suministro de las subestaciones Rioja, Nueva Cajamarca y Cementos Selva con un total de 11,46 MW. A las 15:24 h, se conectó la línea L-6091 y se inició la normalización del suministro interrumpido.</t>
  </si>
  <si>
    <t>L. COTARUSE - SOCABAYA - LINEA L-2053</t>
  </si>
  <si>
    <t>Desconectó la línea L-2053 (Cotaruse - Socabaya) de 220 kV, por falla bifásica entre las fases “R” y “T”. De acuerdo con lo informado por TRANSMANTARO, titular de la línea, la falla se produjo por rotura del conductor en el vano comprendido entre las estructuras T991-20 a T991-21. El sistema de protección señalizó la activación de la función diferencial de línea (87) y ubicó la falla a una distancia de 132,30 km de la S.E.Cotaruse. No se produjo interrupción de suministros en el SEIN. Como consecuencia, el usuario libre Minera las Bambas redujo su carga en 100,19 MW. A las 07:11 h, el CCO-COES coordinó con el CC-BAM recuperar su carga reducida. A las 07:27 h, se canceló el mantenimiento de la línea L-2054 por indisponibilidad de la linea L-2053. A las 16:48 h del 06.07.2018, se conectó la línea L-2053.</t>
  </si>
  <si>
    <t>Desconectó la línea L-1017 (Bellavista - Tarapoto) de 138 kV, por falla monofásica a tierra en la fase “S”, cuya causa no fue informada por ELECTRO ORIENTE, titular de la línea. Asimismo, desconectó la celda de la línea L-1019 (Juanjuí – Bellavista) de 138 kV en la S.E. Juanjuí. Como consecuencia se interrumpió el suministro de la S.E. Bellavista con un total de 9,12 MW. A las 12:45 h, se conectó la línea L-1019 y se inició la normalización del suministro interrumpido. A las 13:02 h, se conectó la línea L-1017.</t>
  </si>
  <si>
    <t>L. CHIMBOTE SUR - NEPEÑA - LINEA L-1112</t>
  </si>
  <si>
    <t>Desconectó la línea L-1112 (Chimbote Sur - Nepeña) de 138 kV, por falla bifásica entre las fases “R” y “S”. De acuerdo con lo informado por HIDRANDINA, titular de la línea, la falla se produjo por quema de desperdicios entre las estructuras N° 37 y 38. El sistema de protección señalizó la activación de la función de distancia (21) y ubicó la falla a una distancia de 9,10 km de la S.E. Chimbote Sur. Como consecuencia se interrumpió el suministro de las subestaciones Nepeña, Casma y San Jacinto con un total de 9,30 MW. A las 14:59 h, se conectó la línea y se inició la normalización del suministro interrumpido.</t>
  </si>
  <si>
    <t>Desconectó la línea L-6024 (Azángaro - Putina) de 60 kV, por falla. De acuerdo con lo informado por ELECTRO PUNO, titular de la línea, la falla se produjo por nevadas en la zona. El sistema de protección señalizó la activación de la función de sobre corriente (50). Como consecuencia se interrumpió el suministro de las subestaciones Ananea y Huancané con un total de 8,59 MW. A las 18:45 h, se conecta la línea y se inició la normalización del suministro interrumpido.</t>
  </si>
  <si>
    <t>Desconectó la línea L-6532 (Morococha - Carlos Francisco) de 50 kV, por falla monofásica a tierra en la fase “R”, cuya causa no fue informada por STATKRAFT, titular de la línea. El sistema de protección señalizó la activación de la función de distancia (21). El sistema de protección detecto la falla a una distancia de 9,10 km de la S.E. Carlos Francisco. Como consecuencia se interrumpió el suministro de la S.E. Casapalca con un total de 0,30 MW. A las 13:48 h, se conectó la línea y se inició la normalización del suministro interrumpido.</t>
  </si>
  <si>
    <t>L. MARCONA - MINA - LINEA L-6629</t>
  </si>
  <si>
    <t>Desconectó la línea L-6629 (Marcona - Mina) de 60 kV, por actuación de la protección del esquema de sobrecarga del transformador T6-261, de acuerdo a lo informado por REP. Cabe resaltar que la mencionada desconexión se produjo durante las maniobras de desconexión del transformador T62-261 de la S.E. Marcona, por mantenimiento programado. Como consecuencia se interrumpió el suministro del usuario libre SHOUGAN en la S.E. Mina con un total de 10,90 MW. A las 09:49 h, se conectó la línea y inició la normalización del suministro interrumpido.</t>
  </si>
  <si>
    <t>S.E. SAN CRISTOBAL - TRAFO TR 50/4.16</t>
  </si>
  <si>
    <t>Desconectó el transformador BTP24-1151 de 50/4,16 kV de la S.E. San Cristóbal, por falla monofásica a tierra en la fase “R”, presentada en las instalaciones de MINERA VOLCÁN, de acuerdo a lo informado por STATKRAFT, titular del equipo. El sistema de protección señalizo la activación de la función de sobre corriente (50). Como consecuencia se interrumpió el suministro de la S.E. San Cristóbal con 2,30 MW. A las 14:45 h, se conecto el transformador y se inicio la normalización del suministro interrumpido.</t>
  </si>
  <si>
    <t>Desconectó la línea L-6629 (Marcona - Mina) de 60 kV, por actuación de la protección del esquema de sobrecarga del transformador T6-261, de acuerdo a lo informado por REP. No se produjo interrupción de suministros en el SEIN, debido a que la carga del usuario libre Shougang se encontraba desconectada por RMC coordinado a las 17:59 h. A las 17:07 h, se conectó la línea.</t>
  </si>
  <si>
    <t>S.E. MARCONA - TRAFO3D T6-261</t>
  </si>
  <si>
    <t>A las 17:59 h, el CCO-COES coordinó con el CC-SHO el Rechazo Manual de Carga de 4,00 MW en la S.E. Marcona por sobrecarga en el transformador T6-161, debido a que el mantenimiento del transformador paralelo T62-161 de la S.E. Marcona, tuvo una mayor duración de lo programado. A las 18:04 h, el CCO-COES coordinó con el CC-SHO rechazar un total de 2,00 MW adicionales. A las 18:32 h, el CCO-COES coordinó con el CC-SHO rechazar un total de 2,00 MW adicionales. A las 22:25 h, el CCO-COES coordinó con el CC-SHO normalizar el total de sus suministros interrumpidos.</t>
  </si>
  <si>
    <t>Desconectó la línea L-6024 (Azángaro - Putina) de 60 kV, por falla. De acuerdo con lo informado por ELECTRO PUNO, titular de la línea, la falla se produjo por fuertes vientos en la zona. El sistema de protección señalizó la activación de la función diferencial (87). Como consecuencia se interrumpió el suministro de la S.E. Ananea y Huancané con un total de 6,40 MW. A las 11:12 h, se conectó la línea y se inició la normalización del suministro interrumpido.</t>
  </si>
  <si>
    <t>Desconectó la línea L-6024 (Azángaro - Putina) de 60 kV, por falla. De acuerdo con lo informado por ELECTRO PUNO, titular de la línea, la falla se produjo por fuertes vientos en la zona. El sistema de protección señalizó la activación de la función diferencial (87). Como consecuencia se interrumpió el suministro de la S.E. Ananea y Huancané con un total de 8,40 MW. A las 17:12 h, se conectó la línea y se inició la normalización del suministro interrumpido.</t>
  </si>
  <si>
    <t>L. SAN JOSE - MONTALVO - LINEA L-5037</t>
  </si>
  <si>
    <t>Se produjo el recierre no exitoso de la línea L-5037 (San Jose - Montalvo) de 500 kV, por falla monofásica a tierra en la fase “T”, cuya causa no fue informada por ABY TRANSMISIÓN SUR, titular de la línea. El sistema de protección señalizo la activación de la función diferencial (87). El sistema de protección detecto la falla a una distancia de 5,50 km de la S.E. Montalvo. No se produjo interrupción de suministros en el SEIN. Los usuarios libres Minera Cerro Verde y Southern Perú redujeron su carga en 130,88 MW y 3,60 MW respectivamente. A las 17:15 h y 17:16 h, el CCO-COES coordinó con el CC-MCV y CC-SOU, recuperar el total de su carga reducida, respectivamente. A las 17:37 h, se conectó la linea L-5037.</t>
  </si>
  <si>
    <t>Se produjo el recierre monofásico exitoso en la línea L-5037 (San José – Montalvo) de 500 kV en la fase “S”, por falla. De acuerdo con lo informado por ABY TRANSMISIÓN SUR, titular de la línea, la falla se produjo por perdida de aislamiento en cadena de aisladores. El sistema de protección señalizo la activación de la función diferencial (87). El sistema de protección detecto la falla a una distancia de 75,50 km de la S.E. Montalvo. No se produjo interrupción de suministros en el SEIN. El usuario libre Minera Cerro Verde redujo su carga en 134,14 MW. A las 01:8 h, el CCO-COES coordinó con el CC-MCV recuperar el total de su carga reducida.</t>
  </si>
  <si>
    <t>L. POROMA - YARABAMBA - LINEA L-5033</t>
  </si>
  <si>
    <t>Desconectó la línea L-5033 (Poroma - Yarabamba) de 500 kV, por falla bifásica en las fases “R” y “S”, cuya causa no fue informada por TRANSMANTARO, titular de la línea. El sistema de protección señalizó la activación de la función diferencial de línea (87). El sistema de protección detecto la falla a una distancia de 251,10 km de la S.E. Poroma. No se produjo interrupción de suministros en el SEIN. Los usuarios libres Minera Cerro Verde y Southern Perú redujeron su carga en 81,19 MW y 5,80 MW, respectivamente. A las 01:50 h y 01:51 h, el CCO-COES coordinó con el CC-MCV y CC-SOU, respectivamente, recuperar el total de su carga reducida. A las 04:36 h, se conectó la línea L-5033.</t>
  </si>
  <si>
    <t>SOUTHERN PERU CC</t>
  </si>
  <si>
    <t>L. ILO3 - QDA. HONDA - LINEA L-1385/2</t>
  </si>
  <si>
    <t>Desconectaron las líneas L-1385/1 (Ilo3 - Quebrada Honda) de 138 kV y L-1385/2 (Quebrada Honda - Plaza Toquepala) de 138 kV, por falla monofásica a tierra en la fase “S”. De acuerdo a lo informado por SOUTHERN PERÚ, titular de la línea, la falla se produjo por fuertes vientos en la zona. El sistema de protección señalizó la activación de la función diferencial de línea (87). El sistema de protección detecto la falla a una distancia de 44,00 km de la S.E. Plaza Toquepala. Como consecuencia se interrumpió el suministro de la S.E. Quebrada Honda con un total de 3,60 MW. A las 06:03 h, se conectaron las líneas y se inició la normalización del suministro interrumpido.</t>
  </si>
  <si>
    <t>S.E. ILO 1 - TRAFO IT5</t>
  </si>
  <si>
    <t>Desconectó el transformador IT5 de 138/13,8 kV de la S.E. Ilo 1, por falla trifásica. De acuerdo a lo informado por ENGIE titular del equipo, la falla se produjo por perdida de aislamiento de bornes del Interruptor VCB 551 de 13,8 kV. El sistema de protección señalizó la activación de la función diferencial del transformador (87). El usuario libre Southern Peru redujo su carga en 0,17 MW. El transformador quedó fuera de servicio para su inspección.</t>
  </si>
  <si>
    <t>Se produjo el recierre monofásico exitoso en la línea L-5037 (San José – Montalvo) de 500 kV en la fase “S”, por falla. De acuerdo con lo informado por ABY TRANSMISIÓN SUR, titular de la línea, la falla se produjo por perdida de aislamiento en cadena de aisladores. El sistema de protección señalizo la activación de la función diferencial (87). El sistema de protección detecto la falla a una distancia de 76,13 km de la S.E. Montalvo. No se produjo interrupción de suministros en el SEIN. El usuario libre Minera Cerro Verde redujo su carga en 112,00 MW. A las 04:02 h, el CCO-COES coordinó con el CC-MCV recuperar el total de su carga reducida.</t>
  </si>
  <si>
    <t>Se produjo el recierre monofásico exitoso en la línea L-5037 (San José – Montalvo) de 500 kV en la fase “S”, por falla. De acuerdo con lo informado por ABY TRANSMISIÓN SUR, titular de la línea, la falla se produjo por perdida de aislamiento en cadena de aisladores. El sistema de protección señalizo la activación de la función diferencial (87). El sistema de protección detecto la falla a una distancia de 75,60 km de la S.E. Montalvo. No se produjo interrupción de suministros en el SEIN. El usuario libre Minera Cerro Verde redujo su carga en 190,00 MW. A las 04:56 h, el CCO-COES coordinó con el CC-MCV recuperar el total de su carga reducida.</t>
  </si>
  <si>
    <t>Se produjo el recierre monofásico exitoso en la línea L-5037 (San José – Montalvo) de 500 kV en la fase “S”, por falla. De acuerdo con lo informado por ABY TRANSMISIÓN SUR, titular de la línea, la falla se produjo por perdida de aislamiento en cadena de aisladores. El sistema de protección señalizo la activación de la función diferencial (87). El sistema de protección detecto la falla a una distancia de 75,60 km de la S.E. Montalvo. No se produjo interrupción de suministros en el SEIN. El usuario libre Minera Cerro Verde redujo su carga en 97,00 MW. A las 05:26 h, el CCO-COES coordinó con el CC-MCV recuperar el total de su carga reducida.</t>
  </si>
  <si>
    <t>L. ZORRITOS - MÁNCORA - LINEA L-6664</t>
  </si>
  <si>
    <t>Desconectó la línea L-6664 (Zorritos - Mancora) de 60 kV, cuya causa no fue informada por ELECTROPERU, titular de la línea. El sistema de protección señalizó la activación de la función de distancia (21). Como consecuencia se interrumpió el suministro de la S.E. Máncora con un total de 3,00 MW. A las 03:57 h, se conectó la línea y se inició la normalización del suministro interrumpido.</t>
  </si>
  <si>
    <t>L. CARAZ - SANTA CRUZ - LINEA L-6690</t>
  </si>
  <si>
    <t>Desconectó la línea L-6690 (Santa Cruz - Caraz) de 60 kV, cuya causa no fue informada por HIDRANDINA, titular de la línea. El sistema de protección señalizó la activación de la función de sobre corriente direccional a tierra (67N). Como consecuencia se interrumpió el suministro de las subestaciones Caraz y Carhuaz con un total de 4,82 MW. Asimismo, desconectó el grupo G2 de la C.H. Santa Cruz II con una generación de 1,63 MW. A las 23:23 h, se conectó la línea y se inició la normalización del suministro interrumpido. A las 23:35 h, sincronizó el grupo con el SEIN.</t>
  </si>
  <si>
    <t>AGRO INDUSTRIAL PARAMONGA</t>
  </si>
  <si>
    <t>C.T. PARAMONGA - GT TV-01</t>
  </si>
  <si>
    <t>Desconectó la unidad TV-01 de la C.T. Paramonga cuando generaba 14,13 MW, por falla a tierra en el lado de 13,8 kV de la S.E. Paramonga Existente, asimismo, se produjo la desconexión de la carga de AIPSA con 5,00 MW. A las 02:53 h, se inicia la recuperación del suministro interrumpido. A las 08:16 h, se conectó la unidad TV-01 en sistema aislado con carga de fabrica de azucar.</t>
  </si>
  <si>
    <t>S.E. PARAMONGA EXISTENTE - SSEE SSEE</t>
  </si>
  <si>
    <t>Desconectó la S.E. Paramonga Existente, por falla en el lado de 13,8 kV. De acuerdo con lo informado por STATKRAFT, titular de la subestación, la falla se produjo en las celdas de salida de 13,8 kV de la empresa QUIMPAC. Asimismo, desconectó la linea L-1101 (Paramonga Nueva – Paramonga Existente) y L-1033 (Cahua – Paramonga Existente) de 138 kV y el grupo G1 de la C.H. Cahua con 15,62 MW. Como consecuencia, se interrumpió el suministro de la S.E. Paramonga Existente con 37,00 MW. A las 03:46 h, se conectó la S.E. Paramonga Existente y se inicio la normalización del suministro interrumpido. A las 03:57 h, se intento conectar la carga de la empresa QUIMPAC sin éxito por falla.</t>
  </si>
  <si>
    <t>Desconectó la línea L-6605 (Independencia - Pisco) de 60 kV por falla bifásica entre las fases “R” y “S”. De acuerdo a lo informado por ELECTRO DUNAS, titular de la línea, la falla se produjo por acercamiento de aves entre las estructuras N° 155 a 157. El sistema de protección señalizo la activación de la función de distancia (21). El sistema de protección detecto la falla a una distancia de 40,93 km de la S.E. Independencia. Como consecuencia se interrumpió el suministro de las subestaciones Piso y Alto la Luna con un total de 9,28 MW. A las 13:25 h, se conectó la línea y se inició la normalización del suministro interrumpido.</t>
  </si>
  <si>
    <t>Desconectó la línea L-6605 (Independencia - Pisco) de 60 kV por falla bifásica entre las fases “R” y “S”. De acuerdo a lo informado por ELECTRO DUNAS, titular de la línea, la falla se produjo por acercamiento de aves entre las estructuras N° 155 a 157. El sistema de protección señalizo la activación de la función de distancia (21). El sistema de protección detecto la falla a una distancia de 41,01 km de la S.E. Independencia. Como consecuencia se interrumpió el suministro de las subestaciones Piso y Alto la Luna con un total de 8,01 MW. A las 15:06 h, se conectó la línea y se inició la normalización del suministro interrumpido.</t>
  </si>
  <si>
    <t>Desconectó la línea L-6024 (Azángaro - Putina) de 60 kV, por falla. De acuerdo con lo informado por ELECTRO PUNO, titular de la línea, la falla se produjo por fuertes vientos en la zona. El sistema de protección señalizó la activación de la función diferencial (87). Como consecuencia se interrumpió el suministro de la S.E. Ananea y Huancané con un total de 5,38 MW. A las 13:58 h, se conectó la línea y se inició la normalización del suministro interrumpido.</t>
  </si>
  <si>
    <t>Desconectó la línea L-6024 (Azángaro - Putina) de 60 kV, por falla. De acuerdo con lo informado por ELECTRO PUNO, titular de la línea, la falla se produjo por fuertes vientos en la zona. El sistema de protección señalizó la activación de la función diferencial (87). Como consecuencia se interrumpió el suministro de la S.E. Ananea y Huancané con un total de 2,40 MW. A las 15:51 h, se conectó la línea y se inició la normalización del suministro interrumpido.</t>
  </si>
  <si>
    <t>L. TALTA - TAMBOMAYO - LINEA L-1048</t>
  </si>
  <si>
    <t>Desconectó la línea L-1048 (Talta - Tambomayo) de 138 kV por falla monofásica a tierra en la fase “R”, De acuerdo, a lo informado por CONENHUA, titular de la línea, la falla se produjo en el transformador de tensión intermedio del bobinado de protección en S.E. Talta. Como consecuencia se interrumpió el suministro de la S.E. Tambomayo con un total de 4,90 MW. A las 01:30 h, se conectó la línea y se inició la normalización del suministro interrumpido.</t>
  </si>
  <si>
    <t xml:space="preserve">El total de la producción de energía eléctrica de la empresas generadoras integrantes del COES en el mes de julio 2018 fue de 4 200,01  GWh, lo que representa un incremento de 157,46 GWh (3,90%) en comparación con el año 2017.																</t>
  </si>
  <si>
    <t>La producción de electricidad con centrales hidroeléctricas durante el mes de julio 2018 fue de 1 997,89 GWh (5,32% mayor al registrado durante julio del año 2017).</t>
  </si>
  <si>
    <t>La producción de electricidad con centrales termoeléctricas durante el mes de julio 2018 fue de 2 022,43 GWh, 1,19% menor al registrado durante julio del año 2017. La participación del gas natural de Camisea fue de 44,09%, mientras que las del gas que proviene de los yacimientos de Aguaytía y Malacas fue del 3,16%, la producción con diesel, residual, carbón, biogás y bagazo tuvieron una intervención del 0,31%, 0,08%, 0,26%, 0,07%, 0,19% respectivamente.</t>
  </si>
  <si>
    <t>La producción de energía eléctrica con centrales eólicas fue de 81,91 GWh y con centrales solares fue de 16,95 GWh, los cuales tuvieron una participación de 3,1% y 1,18% respectivamente.</t>
  </si>
  <si>
    <t>SUBESTACION</t>
  </si>
  <si>
    <t>Potencia efectiva al 31/07/2018 (MW)</t>
  </si>
  <si>
    <t>KALLPA</t>
  </si>
  <si>
    <t>PETRAMAS</t>
  </si>
  <si>
    <t>(11) Operación por pruebas de la C.T. Doña. Catalina, propiedad de PETRAMAS S.A.</t>
  </si>
  <si>
    <r>
      <t xml:space="preserve">C.H. CERRO DEL AGUILA </t>
    </r>
    <r>
      <rPr>
        <b/>
        <sz val="7"/>
        <color theme="1"/>
        <rFont val="Arial"/>
        <family val="2"/>
      </rPr>
      <t xml:space="preserve"> (1)</t>
    </r>
  </si>
  <si>
    <r>
      <t xml:space="preserve">C.T. LA GRINGA  </t>
    </r>
    <r>
      <rPr>
        <b/>
        <sz val="7"/>
        <color theme="1"/>
        <rFont val="Arial"/>
        <family val="2"/>
      </rPr>
      <t>(2)</t>
    </r>
  </si>
  <si>
    <r>
      <t xml:space="preserve">C.S. RUBI  </t>
    </r>
    <r>
      <rPr>
        <b/>
        <sz val="7"/>
        <color theme="1"/>
        <rFont val="Arial"/>
        <family val="2"/>
      </rPr>
      <t>(3)</t>
    </r>
  </si>
  <si>
    <t>LUZ DEL SUR / INLAND</t>
  </si>
  <si>
    <r>
      <t xml:space="preserve">C.H. SANTA TERESA </t>
    </r>
    <r>
      <rPr>
        <b/>
        <sz val="7"/>
        <color theme="1"/>
        <rFont val="Arial"/>
        <family val="2"/>
      </rPr>
      <t>(4)</t>
    </r>
  </si>
  <si>
    <r>
      <t xml:space="preserve">C.H. RENOVANDES H1 </t>
    </r>
    <r>
      <rPr>
        <b/>
        <sz val="7"/>
        <color theme="1"/>
        <rFont val="Arial"/>
        <family val="2"/>
      </rPr>
      <t>(5)</t>
    </r>
  </si>
  <si>
    <r>
      <t xml:space="preserve">C.T. OLLEROS  </t>
    </r>
    <r>
      <rPr>
        <b/>
        <sz val="7"/>
        <color theme="1"/>
        <rFont val="Arial"/>
        <family val="2"/>
      </rPr>
      <t>(6)</t>
    </r>
  </si>
  <si>
    <r>
      <t xml:space="preserve">C.S. INTIPAMPA </t>
    </r>
    <r>
      <rPr>
        <b/>
        <sz val="7"/>
        <color theme="1"/>
        <rFont val="Arial"/>
        <family val="2"/>
      </rPr>
      <t>(7)</t>
    </r>
  </si>
  <si>
    <r>
      <t xml:space="preserve">C.E. WAYRA I </t>
    </r>
    <r>
      <rPr>
        <b/>
        <sz val="7"/>
        <color theme="1"/>
        <rFont val="Arial"/>
        <family val="2"/>
      </rPr>
      <t>(9)</t>
    </r>
  </si>
  <si>
    <r>
      <t xml:space="preserve">C.H. HER 1 </t>
    </r>
    <r>
      <rPr>
        <b/>
        <sz val="7"/>
        <color theme="1"/>
        <rFont val="Arial"/>
        <family val="2"/>
      </rPr>
      <t>(10)</t>
    </r>
  </si>
  <si>
    <r>
      <t xml:space="preserve">C.T. DOÑA CATALINA </t>
    </r>
    <r>
      <rPr>
        <b/>
        <sz val="7"/>
        <color theme="1"/>
        <rFont val="Arial"/>
        <family val="2"/>
      </rPr>
      <t>(11)</t>
    </r>
  </si>
  <si>
    <t>01/07/2018</t>
  </si>
  <si>
    <t>02/07/2018</t>
  </si>
  <si>
    <t>03/07/2018</t>
  </si>
  <si>
    <t>04/07/2018</t>
  </si>
  <si>
    <t>05/07/2018</t>
  </si>
  <si>
    <t>06/07/2018</t>
  </si>
  <si>
    <t>07/07/2018</t>
  </si>
  <si>
    <t>08/07/2018</t>
  </si>
  <si>
    <t>09/07/2018</t>
  </si>
  <si>
    <t>10/07/2018</t>
  </si>
  <si>
    <t>11/07/2018</t>
  </si>
  <si>
    <t>12/07/2018</t>
  </si>
  <si>
    <t>21:30</t>
  </si>
  <si>
    <t>13/07/2018</t>
  </si>
  <si>
    <t>14/07/2018</t>
  </si>
  <si>
    <t>15/07/2018</t>
  </si>
  <si>
    <t>20:30</t>
  </si>
  <si>
    <t>16/07/2018</t>
  </si>
  <si>
    <t>17/07/2018</t>
  </si>
  <si>
    <t>18/07/2018</t>
  </si>
  <si>
    <t>19/07/2018</t>
  </si>
  <si>
    <t>16:45</t>
  </si>
  <si>
    <t>20/07/2018</t>
  </si>
  <si>
    <t>21/07/2018</t>
  </si>
  <si>
    <t>12:00</t>
  </si>
  <si>
    <t>22/07/2018</t>
  </si>
  <si>
    <t>23/07/2018</t>
  </si>
  <si>
    <t>24/07/2018</t>
  </si>
  <si>
    <t>25/07/2018</t>
  </si>
  <si>
    <t>26/07/2018</t>
  </si>
  <si>
    <t>27/07/2018</t>
  </si>
  <si>
    <t>28/07/2018</t>
  </si>
  <si>
    <t>29/07/2018</t>
  </si>
  <si>
    <t>30/07/2018</t>
  </si>
  <si>
    <t>31/07/2018</t>
  </si>
  <si>
    <t>ECELIM</t>
  </si>
  <si>
    <r>
      <t xml:space="preserve">C.H. CERRO DEL AGUILA  </t>
    </r>
    <r>
      <rPr>
        <b/>
        <sz val="7"/>
        <color theme="1"/>
        <rFont val="Arial"/>
        <family val="2"/>
      </rPr>
      <t>(1)</t>
    </r>
  </si>
  <si>
    <t>LUZ DEL SUR/ INLAND</t>
  </si>
  <si>
    <r>
      <t xml:space="preserve">C.S. INTIPAMPA </t>
    </r>
    <r>
      <rPr>
        <b/>
        <sz val="7"/>
        <color theme="1"/>
        <rFont val="Arial"/>
        <family val="2"/>
      </rPr>
      <t xml:space="preserve"> (7)</t>
    </r>
  </si>
  <si>
    <t>CELEPSA RENOVABLES  (8)</t>
  </si>
  <si>
    <t>CAMPO ARMIÑO - POMACOCHA</t>
  </si>
  <si>
    <t>MARCONA</t>
  </si>
  <si>
    <t>POROMA - YARABAMBA</t>
  </si>
  <si>
    <t>L-2201  L-2202</t>
  </si>
  <si>
    <t>L-1124 L-1125 L-1126 L-1127</t>
  </si>
  <si>
    <t>L-1133 L-1134</t>
  </si>
  <si>
    <t>VOLUMEN  UTIL
31-07-2018</t>
  </si>
  <si>
    <t>VOLUMEN UTIL
31-07-2017</t>
  </si>
  <si>
    <t>6 462,86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</si>
</sst>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s>
  <fonts count="81">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8"/>
      <color indexed="1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sz val="7"/>
      <color theme="0"/>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theme="0"/>
      <name val="Arial"/>
      <family val="2"/>
    </font>
    <font>
      <sz val="6.5"/>
      <name val="Arial"/>
      <family val="2"/>
    </font>
    <font>
      <vertAlign val="superscript"/>
      <sz val="6.5"/>
      <name val="Arial"/>
      <family val="2"/>
    </font>
    <font>
      <sz val="6.5"/>
      <color theme="1"/>
      <name val="Arial"/>
      <family val="2"/>
    </font>
    <font>
      <vertAlign val="superscript"/>
      <sz val="6.5"/>
      <color theme="1"/>
      <name val="Arial"/>
      <family val="2"/>
    </font>
    <font>
      <sz val="5"/>
      <color rgb="FFA3A3A3"/>
      <name val="Arial"/>
      <family val="2"/>
    </font>
    <font>
      <sz val="8"/>
      <color rgb="FFA3A3A3"/>
      <name val="Arial"/>
      <family val="2"/>
    </font>
    <font>
      <b/>
      <sz val="5"/>
      <color rgb="FFA3A3A3"/>
      <name val="Arial"/>
      <family val="2"/>
    </font>
    <font>
      <sz val="5"/>
      <color theme="1"/>
      <name val="Arial"/>
      <family val="2"/>
    </font>
    <font>
      <b/>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bgColor theme="4" tint="-0.249977111117893"/>
      </patternFill>
    </fill>
    <fill>
      <patternFill patternType="solid">
        <fgColor theme="4" tint="0.59999389629810485"/>
        <bgColor indexed="64"/>
      </patternFill>
    </fill>
    <fill>
      <patternFill patternType="solid">
        <fgColor indexed="13"/>
        <bgColor indexed="64"/>
      </patternFill>
    </fill>
    <fill>
      <patternFill patternType="solid">
        <fgColor theme="4" tint="-0.249977111117893"/>
        <bgColor indexed="64"/>
      </patternFill>
    </fill>
    <fill>
      <patternFill patternType="solid">
        <fgColor theme="4" tint="-0.249977111117893"/>
        <bgColor theme="4"/>
      </patternFill>
    </fill>
    <fill>
      <patternFill patternType="solid">
        <fgColor rgb="FFFFFF00"/>
        <bgColor indexed="64"/>
      </patternFill>
    </fill>
  </fills>
  <borders count="144">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top/>
      <bottom style="hair">
        <color theme="3" tint="0.39991454817346722"/>
      </bottom>
      <diagonal/>
    </border>
    <border>
      <left style="hair">
        <color theme="3" tint="0.39988402966399123"/>
      </left>
      <right style="hair">
        <color theme="3" tint="0.39988402966399123"/>
      </right>
      <top/>
      <bottom style="hair">
        <color theme="3" tint="0.39988402966399123"/>
      </bottom>
      <diagonal/>
    </border>
    <border>
      <left/>
      <right style="thin">
        <color theme="3" tint="0.39991454817346722"/>
      </right>
      <top/>
      <bottom style="hair">
        <color theme="3" tint="0.39991454817346722"/>
      </bottom>
      <diagonal/>
    </border>
    <border>
      <left style="thin">
        <color theme="3" tint="0.39994506668294322"/>
      </left>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88402966399123"/>
      </top>
      <bottom style="hair">
        <color theme="3" tint="0.39988402966399123"/>
      </bottom>
      <diagonal/>
    </border>
    <border>
      <left/>
      <right style="thin">
        <color theme="3" tint="0.39991454817346722"/>
      </right>
      <top style="hair">
        <color theme="3" tint="0.39991454817346722"/>
      </top>
      <bottom style="hair">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3" tint="0.39994506668294322"/>
      </left>
      <right/>
      <top style="hair">
        <color theme="3" tint="0.39991454817346722"/>
      </top>
      <bottom style="thin">
        <color theme="3" tint="0.39991454817346722"/>
      </bottom>
      <diagonal/>
    </border>
    <border>
      <left style="hair">
        <color theme="3" tint="0.39988402966399123"/>
      </left>
      <right style="hair">
        <color theme="3" tint="0.39988402966399123"/>
      </right>
      <top style="hair">
        <color theme="3" tint="0.39988402966399123"/>
      </top>
      <bottom style="thin">
        <color theme="3" tint="0.39991454817346722"/>
      </bottom>
      <diagonal/>
    </border>
    <border>
      <left/>
      <right style="thin">
        <color theme="3" tint="0.39991454817346722"/>
      </right>
      <top style="hair">
        <color theme="3" tint="0.399914548173467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style="hair">
        <color theme="3" tint="0.3999145481734672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style="hair">
        <color theme="3" tint="0.39991454817346722"/>
      </left>
      <right style="hair">
        <color theme="3" tint="0.39991454817346722"/>
      </right>
      <top/>
      <bottom style="hair">
        <color theme="3" tint="0.39991454817346722"/>
      </bottom>
      <diagonal/>
    </border>
    <border>
      <left/>
      <right/>
      <top/>
      <bottom style="hair">
        <color theme="3" tint="0.39991454817346722"/>
      </bottom>
      <diagonal/>
    </border>
    <border>
      <left/>
      <right/>
      <top style="hair">
        <color theme="3" tint="0.39991454817346722"/>
      </top>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right/>
      <top style="thin">
        <color theme="4"/>
      </top>
      <bottom/>
      <diagonal/>
    </border>
    <border>
      <left/>
      <right style="thin">
        <color theme="4"/>
      </right>
      <top style="thin">
        <color theme="4"/>
      </top>
      <bottom/>
      <diagonal/>
    </border>
    <border>
      <left style="thin">
        <color theme="4"/>
      </left>
      <right/>
      <top/>
      <bottom style="thin">
        <color theme="4" tint="0.39997558519241921"/>
      </bottom>
      <diagonal/>
    </border>
    <border>
      <left/>
      <right style="thin">
        <color theme="4"/>
      </right>
      <top/>
      <bottom/>
      <diagonal/>
    </border>
    <border>
      <left style="thin">
        <color theme="4"/>
      </left>
      <right/>
      <top/>
      <bottom/>
      <diagonal/>
    </border>
    <border>
      <left style="thin">
        <color theme="4"/>
      </left>
      <right/>
      <top style="thin">
        <color theme="4"/>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style="thin">
        <color theme="0"/>
      </right>
      <top style="thin">
        <color theme="4"/>
      </top>
      <bottom style="thin">
        <color theme="0"/>
      </bottom>
      <diagonal/>
    </border>
    <border>
      <left style="thin">
        <color theme="0"/>
      </left>
      <right style="thin">
        <color theme="0"/>
      </right>
      <top style="thin">
        <color theme="4"/>
      </top>
      <bottom style="thin">
        <color theme="0"/>
      </bottom>
      <diagonal/>
    </border>
    <border>
      <left style="thin">
        <color theme="0"/>
      </left>
      <right style="thin">
        <color theme="4"/>
      </right>
      <top style="thin">
        <color theme="4"/>
      </top>
      <bottom style="thin">
        <color theme="0"/>
      </bottom>
      <diagonal/>
    </border>
    <border>
      <left style="thin">
        <color theme="4"/>
      </left>
      <right style="thin">
        <color theme="0"/>
      </right>
      <top style="thin">
        <color theme="0"/>
      </top>
      <bottom style="thin">
        <color theme="0"/>
      </bottom>
      <diagonal/>
    </border>
    <border>
      <left style="thin">
        <color theme="0"/>
      </left>
      <right style="thin">
        <color theme="4"/>
      </right>
      <top style="thin">
        <color theme="0"/>
      </top>
      <bottom style="thin">
        <color theme="0"/>
      </bottom>
      <diagonal/>
    </border>
    <border>
      <left style="thin">
        <color theme="4"/>
      </left>
      <right style="thin">
        <color theme="0"/>
      </right>
      <top style="thin">
        <color theme="0"/>
      </top>
      <bottom style="thin">
        <color theme="4"/>
      </bottom>
      <diagonal/>
    </border>
    <border>
      <left style="thin">
        <color theme="0"/>
      </left>
      <right style="thin">
        <color theme="0"/>
      </right>
      <top style="thin">
        <color theme="0"/>
      </top>
      <bottom style="thin">
        <color theme="4"/>
      </bottom>
      <diagonal/>
    </border>
    <border>
      <left style="thin">
        <color theme="0"/>
      </left>
      <right style="thin">
        <color theme="4"/>
      </right>
      <top style="thin">
        <color theme="0"/>
      </top>
      <bottom style="thin">
        <color theme="4"/>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4"/>
      </right>
      <top style="thin">
        <color theme="0" tint="-0.14996795556505021"/>
      </top>
      <bottom style="thin">
        <color theme="0" tint="-0.14996795556505021"/>
      </bottom>
      <diagonal/>
    </border>
    <border>
      <left style="thin">
        <color theme="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4"/>
      </right>
      <top style="thin">
        <color theme="0" tint="-0.14996795556505021"/>
      </top>
      <bottom/>
      <diagonal/>
    </border>
    <border>
      <left style="thin">
        <color theme="4"/>
      </left>
      <right style="thin">
        <color theme="0" tint="-0.14996795556505021"/>
      </right>
      <top style="thin">
        <color theme="4"/>
      </top>
      <bottom style="thin">
        <color theme="0" tint="-0.14996795556505021"/>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theme="0" tint="-0.14996795556505021"/>
      </left>
      <right style="thin">
        <color theme="4"/>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170" fontId="5" fillId="0" borderId="0"/>
    <xf numFmtId="172" fontId="36" fillId="0" borderId="0"/>
    <xf numFmtId="0" fontId="40" fillId="0" borderId="0"/>
    <xf numFmtId="0" fontId="40" fillId="0" borderId="0"/>
  </cellStyleXfs>
  <cellXfs count="880">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4" fontId="7" fillId="0" borderId="0" xfId="0" applyNumberFormat="1" applyFont="1" applyAlignment="1">
      <alignment horizontal="right"/>
    </xf>
    <xf numFmtId="166" fontId="7" fillId="0" borderId="0" xfId="2" applyNumberFormat="1" applyFont="1" applyFill="1" applyBorder="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5"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6" fontId="13" fillId="0" borderId="0" xfId="2" applyNumberFormat="1" applyFont="1" applyFill="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65"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Fill="1" applyBorder="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Fill="1" applyBorder="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Fill="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2" applyNumberFormat="1" applyFont="1" applyFill="1" applyBorder="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2" applyFont="1" applyFill="1" applyBorder="1" applyAlignment="1">
      <alignment horizontal="right" vertical="center"/>
    </xf>
    <xf numFmtId="166" fontId="5" fillId="0" borderId="0" xfId="2" applyNumberFormat="1" applyFont="1" applyFill="1" applyBorder="1" applyAlignment="1">
      <alignment horizontal="right" vertical="center"/>
    </xf>
    <xf numFmtId="169" fontId="4" fillId="0" borderId="0" xfId="2" applyNumberFormat="1" applyFont="1" applyFill="1" applyBorder="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2" quotePrefix="1" applyNumberFormat="1" applyFont="1" applyFill="1" applyBorder="1" applyAlignment="1">
      <alignment horizontal="left" vertical="center"/>
    </xf>
    <xf numFmtId="166" fontId="13" fillId="0" borderId="0" xfId="2" applyNumberFormat="1" applyFont="1" applyFill="1" applyBorder="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6" fontId="13" fillId="4" borderId="11" xfId="2" applyNumberFormat="1" applyFont="1" applyFill="1" applyBorder="1" applyAlignment="1">
      <alignment horizontal="right" vertical="center"/>
    </xf>
    <xf numFmtId="166" fontId="13" fillId="0" borderId="13" xfId="2" applyNumberFormat="1" applyFont="1" applyFill="1" applyBorder="1" applyAlignment="1">
      <alignment horizontal="right" vertical="center"/>
    </xf>
    <xf numFmtId="166" fontId="21" fillId="4" borderId="16" xfId="2" applyNumberFormat="1" applyFont="1" applyFill="1" applyBorder="1" applyAlignment="1">
      <alignment horizontal="right" vertical="center"/>
    </xf>
    <xf numFmtId="166" fontId="13" fillId="4" borderId="10" xfId="2" applyNumberFormat="1" applyFont="1" applyFill="1" applyBorder="1" applyAlignment="1">
      <alignment horizontal="right" vertical="center"/>
    </xf>
    <xf numFmtId="166"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2" applyNumberFormat="1" applyFont="1" applyFill="1" applyBorder="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7" fontId="2" fillId="3" borderId="21" xfId="0" applyNumberFormat="1" applyFont="1" applyFill="1" applyBorder="1" applyAlignment="1">
      <alignment horizontal="center" vertical="center"/>
    </xf>
    <xf numFmtId="17" fontId="2" fillId="3" borderId="21" xfId="0" applyNumberFormat="1" applyFont="1" applyFill="1" applyBorder="1" applyAlignment="1">
      <alignment horizontal="center" vertical="center" wrapText="1"/>
    </xf>
    <xf numFmtId="0" fontId="2" fillId="3" borderId="21" xfId="0" applyFont="1" applyFill="1" applyBorder="1" applyAlignment="1">
      <alignment horizontal="center" vertical="center" wrapText="1"/>
    </xf>
    <xf numFmtId="17" fontId="2" fillId="3" borderId="22" xfId="0" applyNumberFormat="1" applyFont="1" applyFill="1" applyBorder="1" applyAlignment="1">
      <alignment horizontal="center" vertical="center" wrapText="1"/>
    </xf>
    <xf numFmtId="167" fontId="13" fillId="0" borderId="24" xfId="0" applyNumberFormat="1" applyFont="1" applyBorder="1" applyAlignment="1">
      <alignment horizontal="left"/>
    </xf>
    <xf numFmtId="167" fontId="13" fillId="4" borderId="25" xfId="0" applyNumberFormat="1" applyFont="1" applyFill="1" applyBorder="1" applyAlignment="1">
      <alignment horizontal="left" vertical="center"/>
    </xf>
    <xf numFmtId="167" fontId="13" fillId="0" borderId="25" xfId="0" applyNumberFormat="1" applyFont="1" applyBorder="1" applyAlignment="1">
      <alignment horizontal="left" vertical="center"/>
    </xf>
    <xf numFmtId="166" fontId="21" fillId="0" borderId="31" xfId="2" applyNumberFormat="1" applyFont="1" applyFill="1" applyBorder="1" applyAlignment="1">
      <alignment horizontal="righ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7"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0" fontId="2" fillId="3" borderId="46" xfId="1" applyNumberFormat="1" applyFont="1" applyFill="1" applyBorder="1" applyAlignment="1">
      <alignment horizontal="center" vertical="center"/>
    </xf>
    <xf numFmtId="0" fontId="2" fillId="3" borderId="46" xfId="0" applyFont="1" applyFill="1" applyBorder="1" applyAlignment="1">
      <alignment horizontal="center" vertical="center"/>
    </xf>
    <xf numFmtId="0" fontId="13" fillId="2" borderId="0" xfId="0" applyFont="1" applyFill="1" applyAlignment="1">
      <alignment vertical="center" wrapText="1"/>
    </xf>
    <xf numFmtId="4" fontId="5" fillId="2" borderId="0" xfId="0" applyNumberFormat="1" applyFont="1" applyFill="1"/>
    <xf numFmtId="166" fontId="4" fillId="2" borderId="0" xfId="2" applyNumberFormat="1" applyFont="1" applyFill="1" applyBorder="1"/>
    <xf numFmtId="166" fontId="21" fillId="4" borderId="4" xfId="2" applyNumberFormat="1" applyFont="1" applyFill="1" applyBorder="1" applyAlignment="1">
      <alignment horizontal="right" vertical="center"/>
    </xf>
    <xf numFmtId="166" fontId="21" fillId="0" borderId="4" xfId="2" applyNumberFormat="1" applyFont="1" applyFill="1" applyBorder="1" applyAlignment="1">
      <alignment horizontal="right" vertical="center"/>
    </xf>
    <xf numFmtId="166" fontId="21" fillId="4" borderId="43" xfId="2" applyNumberFormat="1" applyFont="1" applyFill="1" applyBorder="1" applyAlignment="1">
      <alignment horizontal="right" vertical="center"/>
    </xf>
    <xf numFmtId="166" fontId="21" fillId="0" borderId="57" xfId="2" applyNumberFormat="1" applyFont="1" applyFill="1" applyBorder="1" applyAlignment="1">
      <alignment horizontal="right" vertical="center"/>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2" applyNumberFormat="1" applyFont="1" applyFill="1" applyBorder="1"/>
    <xf numFmtId="169" fontId="13" fillId="4" borderId="3" xfId="0" applyNumberFormat="1" applyFont="1" applyFill="1" applyBorder="1" applyAlignment="1">
      <alignment horizontal="left" vertical="center"/>
    </xf>
    <xf numFmtId="169" fontId="13" fillId="0" borderId="3" xfId="0" applyNumberFormat="1" applyFont="1" applyBorder="1" applyAlignment="1">
      <alignment horizontal="left" vertical="center"/>
    </xf>
    <xf numFmtId="169" fontId="13" fillId="4" borderId="41" xfId="0" applyNumberFormat="1" applyFont="1" applyFill="1" applyBorder="1" applyAlignment="1">
      <alignment horizontal="left" vertical="center"/>
    </xf>
    <xf numFmtId="169" fontId="21" fillId="0" borderId="55" xfId="0" applyNumberFormat="1" applyFont="1" applyBorder="1" applyAlignment="1">
      <alignment horizontal="left" vertical="center"/>
    </xf>
    <xf numFmtId="0" fontId="2" fillId="3" borderId="58" xfId="1" applyNumberFormat="1" applyFont="1" applyFill="1" applyBorder="1" applyAlignment="1">
      <alignment horizontal="center" vertical="center"/>
    </xf>
    <xf numFmtId="0" fontId="2" fillId="3" borderId="58" xfId="0" applyFont="1" applyFill="1" applyBorder="1" applyAlignment="1">
      <alignment horizontal="center" vertical="center"/>
    </xf>
    <xf numFmtId="14" fontId="2" fillId="3" borderId="58" xfId="0" applyNumberFormat="1" applyFont="1" applyFill="1" applyBorder="1" applyAlignment="1">
      <alignment horizontal="center" vertical="center" wrapText="1"/>
    </xf>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applyBorder="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4" fontId="7" fillId="0" borderId="0" xfId="0" applyNumberFormat="1" applyFont="1" applyAlignment="1">
      <alignment horizontal="right" vertical="center"/>
    </xf>
    <xf numFmtId="0" fontId="2" fillId="3" borderId="66"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13" fillId="2" borderId="0" xfId="0" applyFont="1" applyFill="1" applyAlignment="1">
      <alignment horizontal="left" vertical="center"/>
    </xf>
    <xf numFmtId="0" fontId="23" fillId="2" borderId="0" xfId="0" applyFont="1" applyFill="1" applyAlignment="1">
      <alignment horizontal="right" vertical="center"/>
    </xf>
    <xf numFmtId="4" fontId="0" fillId="0" borderId="69" xfId="0" applyNumberFormat="1" applyBorder="1" applyAlignment="1">
      <alignment vertical="center"/>
    </xf>
    <xf numFmtId="4" fontId="0" fillId="0" borderId="70" xfId="0" applyNumberFormat="1" applyBorder="1" applyAlignment="1">
      <alignment vertical="center"/>
    </xf>
    <xf numFmtId="166" fontId="0" fillId="0" borderId="71" xfId="2" applyNumberFormat="1" applyFont="1" applyBorder="1" applyAlignment="1">
      <alignment vertical="center"/>
    </xf>
    <xf numFmtId="4" fontId="0" fillId="4" borderId="72" xfId="0" applyNumberFormat="1" applyFill="1" applyBorder="1" applyAlignment="1">
      <alignment vertical="center"/>
    </xf>
    <xf numFmtId="4" fontId="0" fillId="4" borderId="73" xfId="0" applyNumberFormat="1" applyFill="1" applyBorder="1" applyAlignment="1">
      <alignment vertical="center"/>
    </xf>
    <xf numFmtId="166" fontId="0" fillId="4" borderId="74" xfId="2" applyNumberFormat="1" applyFont="1" applyFill="1" applyBorder="1" applyAlignment="1">
      <alignmen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17" fontId="2" fillId="3" borderId="67" xfId="0" quotePrefix="1" applyNumberFormat="1" applyFont="1" applyFill="1" applyBorder="1" applyAlignment="1">
      <alignment horizontal="center" vertical="center" wrapText="1"/>
    </xf>
    <xf numFmtId="17" fontId="2" fillId="3" borderId="68" xfId="0" quotePrefix="1" applyNumberFormat="1" applyFont="1" applyFill="1" applyBorder="1" applyAlignment="1">
      <alignment horizontal="center" vertical="center" wrapText="1"/>
    </xf>
    <xf numFmtId="0" fontId="2" fillId="3" borderId="75" xfId="0" applyFont="1" applyFill="1" applyBorder="1" applyAlignment="1">
      <alignment horizontal="center" vertical="center" wrapText="1"/>
    </xf>
    <xf numFmtId="0" fontId="13" fillId="2" borderId="0" xfId="0" quotePrefix="1" applyFont="1" applyFill="1" applyAlignment="1">
      <alignment horizontal="right" vertical="top"/>
    </xf>
    <xf numFmtId="4" fontId="0" fillId="0" borderId="70" xfId="0" applyNumberFormat="1" applyBorder="1" applyAlignment="1">
      <alignment horizontal="right"/>
    </xf>
    <xf numFmtId="166" fontId="0" fillId="0" borderId="71" xfId="2" applyNumberFormat="1" applyFont="1" applyBorder="1"/>
    <xf numFmtId="4" fontId="0" fillId="4" borderId="73" xfId="0" applyNumberFormat="1" applyFill="1" applyBorder="1" applyAlignment="1">
      <alignment horizontal="right"/>
    </xf>
    <xf numFmtId="166" fontId="0" fillId="4" borderId="74" xfId="2" applyNumberFormat="1" applyFont="1" applyFill="1" applyBorder="1"/>
    <xf numFmtId="4" fontId="0" fillId="4" borderId="72" xfId="0" applyNumberFormat="1" applyFill="1" applyBorder="1"/>
    <xf numFmtId="4" fontId="0" fillId="0" borderId="69" xfId="0" applyNumberFormat="1" applyBorder="1"/>
    <xf numFmtId="0" fontId="13" fillId="2" borderId="0" xfId="0" quotePrefix="1" applyFont="1" applyFill="1" applyAlignment="1">
      <alignment horizontal="right"/>
    </xf>
    <xf numFmtId="0" fontId="21" fillId="2" borderId="0" xfId="0" applyFont="1" applyFill="1"/>
    <xf numFmtId="4" fontId="0" fillId="4" borderId="76" xfId="0" applyNumberFormat="1" applyFill="1" applyBorder="1"/>
    <xf numFmtId="4" fontId="0" fillId="4" borderId="77" xfId="0" applyNumberFormat="1" applyFill="1" applyBorder="1" applyAlignment="1">
      <alignment horizontal="right"/>
    </xf>
    <xf numFmtId="166" fontId="0" fillId="4" borderId="78" xfId="2" applyNumberFormat="1" applyFont="1" applyFill="1" applyBorder="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applyBorder="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13" fillId="2" borderId="0" xfId="0" applyNumberFormat="1" applyFont="1" applyFill="1" applyAlignment="1">
      <alignment horizontal="center"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0" fontId="0" fillId="0" borderId="0" xfId="0" applyAlignment="1">
      <alignment horizontal="center" vertical="center"/>
    </xf>
    <xf numFmtId="2" fontId="13" fillId="0" borderId="0" xfId="0" applyNumberFormat="1" applyFont="1" applyAlignment="1">
      <alignment vertical="center"/>
    </xf>
    <xf numFmtId="0" fontId="2" fillId="3" borderId="85" xfId="0" applyFont="1" applyFill="1" applyBorder="1" applyAlignment="1">
      <alignment horizontal="center" vertical="center" wrapText="1"/>
    </xf>
    <xf numFmtId="0" fontId="2" fillId="3" borderId="86" xfId="0" applyFont="1" applyFill="1" applyBorder="1" applyAlignment="1">
      <alignment horizontal="center" vertical="center" wrapText="1"/>
    </xf>
    <xf numFmtId="4" fontId="13" fillId="0" borderId="88" xfId="0" applyNumberFormat="1" applyFont="1" applyBorder="1" applyAlignment="1">
      <alignment horizontal="center" vertical="center"/>
    </xf>
    <xf numFmtId="0" fontId="21" fillId="7" borderId="89" xfId="0" applyFont="1" applyFill="1" applyBorder="1" applyAlignment="1">
      <alignment vertical="center"/>
    </xf>
    <xf numFmtId="0" fontId="21" fillId="7" borderId="90" xfId="0" applyFont="1" applyFill="1" applyBorder="1" applyAlignment="1">
      <alignment vertical="center"/>
    </xf>
    <xf numFmtId="0" fontId="21" fillId="7" borderId="91" xfId="0" applyFont="1" applyFill="1" applyBorder="1" applyAlignment="1">
      <alignment vertical="center"/>
    </xf>
    <xf numFmtId="4" fontId="21" fillId="7" borderId="88" xfId="0" applyNumberFormat="1" applyFont="1" applyFill="1" applyBorder="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applyBorder="1"/>
    <xf numFmtId="43" fontId="13" fillId="0" borderId="0" xfId="1" applyFont="1" applyBorder="1" applyAlignme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49" fontId="13" fillId="0" borderId="0" xfId="0" applyNumberFormat="1" applyFont="1" applyAlignment="1">
      <alignment horizontal="right" vertical="center"/>
    </xf>
    <xf numFmtId="0" fontId="13" fillId="2" borderId="0" xfId="0" quotePrefix="1" applyFont="1" applyFill="1" applyAlignment="1">
      <alignment horizontal="left" vertical="center"/>
    </xf>
    <xf numFmtId="0" fontId="29" fillId="2" borderId="0" xfId="0" quotePrefix="1" applyFont="1" applyFill="1" applyAlignment="1">
      <alignment horizontal="left" vertical="center"/>
    </xf>
    <xf numFmtId="0" fontId="21" fillId="2" borderId="0" xfId="0" quotePrefix="1" applyFont="1" applyFill="1" applyAlignment="1">
      <alignment horizontal="left" vertical="center"/>
    </xf>
    <xf numFmtId="169" fontId="13" fillId="2" borderId="0" xfId="0" applyNumberFormat="1" applyFont="1" applyFill="1"/>
    <xf numFmtId="1" fontId="13" fillId="0" borderId="0" xfId="0" applyNumberFormat="1" applyFont="1" applyAlignment="1">
      <alignment horizontal="right" vertical="center" wrapText="1"/>
    </xf>
    <xf numFmtId="0" fontId="12" fillId="2" borderId="0" xfId="0" applyFont="1" applyFill="1" applyAlignment="1">
      <alignment vertical="center" wrapText="1"/>
    </xf>
    <xf numFmtId="0" fontId="13" fillId="2" borderId="0" xfId="2" applyNumberFormat="1" applyFont="1" applyFill="1" applyBorder="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Border="1" applyAlignment="1">
      <alignment horizontal="right"/>
    </xf>
    <xf numFmtId="0" fontId="0" fillId="2" borderId="0" xfId="0" quotePrefix="1" applyFill="1" applyAlignment="1">
      <alignment horizontal="left" vertical="center" indent="3"/>
    </xf>
    <xf numFmtId="0" fontId="30"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Fill="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Fill="1" applyBorder="1" applyAlignment="1">
      <alignment horizontal="right" vertical="center"/>
    </xf>
    <xf numFmtId="10" fontId="21" fillId="0" borderId="37" xfId="2" applyNumberFormat="1" applyFont="1" applyFill="1" applyBorder="1" applyAlignment="1">
      <alignment horizontal="right" vertical="center"/>
    </xf>
    <xf numFmtId="10" fontId="21" fillId="0" borderId="10" xfId="2" applyNumberFormat="1" applyFont="1" applyFill="1" applyBorder="1" applyAlignment="1">
      <alignment horizontal="right" vertical="center"/>
    </xf>
    <xf numFmtId="10" fontId="21" fillId="4" borderId="0" xfId="2" applyNumberFormat="1" applyFont="1" applyFill="1" applyBorder="1" applyAlignment="1">
      <alignment horizontal="right" vertical="center"/>
    </xf>
    <xf numFmtId="10" fontId="21" fillId="0" borderId="0" xfId="2" applyNumberFormat="1" applyFont="1" applyFill="1" applyBorder="1" applyAlignment="1">
      <alignment horizontal="right" vertical="center"/>
    </xf>
    <xf numFmtId="10" fontId="21" fillId="0" borderId="36" xfId="2"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Border="1" applyAlignment="1">
      <alignment horizontal="right" vertical="center"/>
    </xf>
    <xf numFmtId="43" fontId="13" fillId="0" borderId="0" xfId="1" applyFont="1" applyFill="1" applyBorder="1" applyAlignment="1">
      <alignment horizontal="right" vertical="center"/>
    </xf>
    <xf numFmtId="2" fontId="13" fillId="0" borderId="30" xfId="0" applyNumberFormat="1" applyFont="1" applyBorder="1" applyAlignment="1">
      <alignment horizontal="right" vertical="center"/>
    </xf>
    <xf numFmtId="2" fontId="13" fillId="0" borderId="31" xfId="0" applyNumberFormat="1" applyFont="1" applyBorder="1" applyAlignment="1">
      <alignment horizontal="right" vertical="center"/>
    </xf>
    <xf numFmtId="17" fontId="2" fillId="3" borderId="23" xfId="0" applyNumberFormat="1" applyFont="1" applyFill="1" applyBorder="1" applyAlignment="1">
      <alignment horizontal="center" vertical="center"/>
    </xf>
    <xf numFmtId="17" fontId="2" fillId="3" borderId="23" xfId="0" applyNumberFormat="1" applyFont="1" applyFill="1" applyBorder="1" applyAlignment="1">
      <alignment horizontal="center" vertical="center" wrapText="1"/>
    </xf>
    <xf numFmtId="0" fontId="2" fillId="3" borderId="23" xfId="0" applyFont="1" applyFill="1" applyBorder="1" applyAlignment="1">
      <alignment horizontal="center" vertical="center" wrapText="1"/>
    </xf>
    <xf numFmtId="49" fontId="13" fillId="0" borderId="0" xfId="0" applyNumberFormat="1" applyFont="1" applyAlignment="1">
      <alignment horizontal="left"/>
    </xf>
    <xf numFmtId="0" fontId="13" fillId="0" borderId="0" xfId="0" applyFont="1" applyAlignment="1">
      <alignment horizontal="right"/>
    </xf>
    <xf numFmtId="10" fontId="21" fillId="0" borderId="0" xfId="2" applyNumberFormat="1" applyFont="1" applyFill="1" applyBorder="1" applyAlignment="1">
      <alignment horizontal="right"/>
    </xf>
    <xf numFmtId="167" fontId="13" fillId="0" borderId="25" xfId="0" applyNumberFormat="1" applyFont="1" applyBorder="1" applyAlignment="1">
      <alignment horizontal="left"/>
    </xf>
    <xf numFmtId="167" fontId="13" fillId="0" borderId="26" xfId="0" applyNumberFormat="1" applyFont="1" applyBorder="1" applyAlignment="1">
      <alignment horizontal="left"/>
    </xf>
    <xf numFmtId="10" fontId="21" fillId="0" borderId="29" xfId="2" applyNumberFormat="1" applyFont="1" applyFill="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Fill="1" applyBorder="1" applyAlignment="1">
      <alignment horizontal="right"/>
    </xf>
    <xf numFmtId="10" fontId="21" fillId="0" borderId="34" xfId="2" applyNumberFormat="1" applyFont="1" applyFill="1" applyBorder="1" applyAlignment="1">
      <alignment horizontal="right"/>
    </xf>
    <xf numFmtId="10" fontId="21" fillId="0" borderId="28" xfId="2" applyNumberFormat="1" applyFont="1" applyFill="1" applyBorder="1" applyAlignment="1">
      <alignment horizontal="right"/>
    </xf>
    <xf numFmtId="10" fontId="21" fillId="0" borderId="33" xfId="2" applyNumberFormat="1" applyFont="1" applyFill="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Fill="1" applyBorder="1" applyAlignment="1">
      <alignment horizontal="right" vertical="center"/>
    </xf>
    <xf numFmtId="10" fontId="21" fillId="0" borderId="39" xfId="2" applyNumberFormat="1" applyFont="1" applyFill="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Fill="1" applyBorder="1" applyAlignment="1">
      <alignment horizontal="right" vertical="center"/>
    </xf>
    <xf numFmtId="166" fontId="21" fillId="0" borderId="40" xfId="2" applyNumberFormat="1" applyFont="1" applyFill="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2" fontId="0" fillId="0" borderId="0" xfId="0" applyNumberFormat="1"/>
    <xf numFmtId="49" fontId="27" fillId="0" borderId="0" xfId="0" applyNumberFormat="1" applyFont="1" applyAlignment="1">
      <alignment horizontal="center"/>
    </xf>
    <xf numFmtId="17" fontId="2" fillId="3" borderId="23" xfId="0" applyNumberFormat="1" applyFont="1" applyFill="1" applyBorder="1" applyAlignment="1">
      <alignment horizontal="center"/>
    </xf>
    <xf numFmtId="0" fontId="2" fillId="3" borderId="23" xfId="0" applyFont="1" applyFill="1" applyBorder="1" applyAlignment="1">
      <alignment horizontal="center" wrapText="1"/>
    </xf>
    <xf numFmtId="16" fontId="2" fillId="3" borderId="24" xfId="0" applyNumberFormat="1" applyFont="1" applyFill="1" applyBorder="1" applyAlignment="1">
      <alignment horizontal="center" vertical="center"/>
    </xf>
    <xf numFmtId="16" fontId="2" fillId="3" borderId="24" xfId="0" applyNumberFormat="1" applyFont="1" applyFill="1" applyBorder="1" applyAlignment="1">
      <alignment horizontal="center" wrapText="1"/>
    </xf>
    <xf numFmtId="20" fontId="2" fillId="3" borderId="26" xfId="0" quotePrefix="1" applyNumberFormat="1" applyFont="1" applyFill="1" applyBorder="1" applyAlignment="1">
      <alignment horizontal="center" vertical="center"/>
    </xf>
    <xf numFmtId="20" fontId="2" fillId="3" borderId="26" xfId="0" applyNumberFormat="1" applyFont="1" applyFill="1" applyBorder="1" applyAlignment="1">
      <alignment horizontal="center"/>
    </xf>
    <xf numFmtId="20" fontId="2" fillId="3" borderId="23" xfId="0" applyNumberFormat="1" applyFont="1" applyFill="1" applyBorder="1" applyAlignment="1">
      <alignment horizontal="center"/>
    </xf>
    <xf numFmtId="169" fontId="13" fillId="0" borderId="3" xfId="0" applyNumberFormat="1" applyFont="1" applyBorder="1" applyAlignment="1">
      <alignment horizontal="left"/>
    </xf>
    <xf numFmtId="166" fontId="21" fillId="0" borderId="4" xfId="2" applyNumberFormat="1" applyFont="1" applyFill="1" applyBorder="1" applyAlignment="1">
      <alignment horizontal="right"/>
    </xf>
    <xf numFmtId="165" fontId="13" fillId="4" borderId="24" xfId="0" applyNumberFormat="1" applyFont="1" applyFill="1" applyBorder="1" applyAlignment="1">
      <alignment horizontal="left" vertical="center"/>
    </xf>
    <xf numFmtId="2" fontId="13" fillId="4" borderId="27" xfId="0" applyNumberFormat="1" applyFont="1" applyFill="1" applyBorder="1" applyAlignment="1">
      <alignment horizontal="right" vertical="center"/>
    </xf>
    <xf numFmtId="2" fontId="13" fillId="4" borderId="28" xfId="0" applyNumberFormat="1" applyFont="1" applyFill="1" applyBorder="1" applyAlignment="1">
      <alignment horizontal="right" vertical="center"/>
    </xf>
    <xf numFmtId="2" fontId="13" fillId="4" borderId="29" xfId="0" applyNumberFormat="1" applyFont="1" applyFill="1" applyBorder="1" applyAlignment="1">
      <alignment horizontal="right" vertical="center"/>
    </xf>
    <xf numFmtId="166" fontId="21" fillId="4" borderId="29" xfId="2" applyNumberFormat="1" applyFont="1" applyFill="1" applyBorder="1" applyAlignment="1">
      <alignment horizontal="right" vertical="center"/>
    </xf>
    <xf numFmtId="165" fontId="13" fillId="0" borderId="25" xfId="0" applyNumberFormat="1" applyFont="1" applyBorder="1" applyAlignment="1">
      <alignment horizontal="left" vertical="center"/>
    </xf>
    <xf numFmtId="165" fontId="21" fillId="4" borderId="26" xfId="0" applyNumberFormat="1" applyFont="1" applyFill="1" applyBorder="1" applyAlignment="1">
      <alignment horizontal="left" vertical="center" wrapText="1"/>
    </xf>
    <xf numFmtId="2" fontId="21" fillId="4" borderId="32" xfId="0" applyNumberFormat="1" applyFont="1" applyFill="1" applyBorder="1" applyAlignment="1">
      <alignment horizontal="right" vertical="center"/>
    </xf>
    <xf numFmtId="2" fontId="21" fillId="4" borderId="33" xfId="0" applyNumberFormat="1" applyFont="1" applyFill="1" applyBorder="1" applyAlignment="1">
      <alignment horizontal="right" vertical="center"/>
    </xf>
    <xf numFmtId="2" fontId="21" fillId="4" borderId="34" xfId="0" applyNumberFormat="1" applyFont="1" applyFill="1" applyBorder="1" applyAlignment="1">
      <alignment horizontal="right" vertical="center"/>
    </xf>
    <xf numFmtId="166" fontId="21" fillId="4" borderId="34" xfId="2" applyNumberFormat="1" applyFont="1" applyFill="1" applyBorder="1" applyAlignment="1">
      <alignment horizontal="right" vertical="center"/>
    </xf>
    <xf numFmtId="0" fontId="21" fillId="4" borderId="54" xfId="0" quotePrefix="1" applyFont="1" applyFill="1" applyBorder="1" applyAlignment="1">
      <alignment horizontal="left" vertical="center" wrapText="1"/>
    </xf>
    <xf numFmtId="166" fontId="21" fillId="4" borderId="57" xfId="2" applyNumberFormat="1" applyFont="1" applyFill="1" applyBorder="1" applyAlignment="1">
      <alignment horizontal="right" vertical="center"/>
    </xf>
    <xf numFmtId="0" fontId="0" fillId="0" borderId="0" xfId="0" applyAlignment="1">
      <alignment horizontal="right"/>
    </xf>
    <xf numFmtId="2" fontId="0" fillId="0" borderId="0" xfId="0" applyNumberFormat="1" applyAlignment="1">
      <alignment horizontal="right"/>
    </xf>
    <xf numFmtId="20" fontId="2" fillId="3" borderId="58" xfId="0" applyNumberFormat="1" applyFont="1" applyFill="1" applyBorder="1" applyAlignment="1">
      <alignment horizontal="center" vertical="center" wrapText="1"/>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82" xfId="0" applyNumberFormat="1" applyFont="1" applyFill="1" applyBorder="1" applyAlignment="1">
      <alignment horizontal="center" vertical="center" wrapText="1"/>
    </xf>
    <xf numFmtId="0" fontId="2" fillId="3" borderId="86" xfId="0" quotePrefix="1" applyFont="1" applyFill="1" applyBorder="1" applyAlignment="1">
      <alignment horizontal="center" vertical="center" wrapText="1"/>
    </xf>
    <xf numFmtId="0" fontId="2" fillId="3" borderId="87" xfId="0" applyFont="1" applyFill="1" applyBorder="1" applyAlignment="1">
      <alignment horizontal="center" vertical="center" wrapText="1"/>
    </xf>
    <xf numFmtId="166" fontId="13" fillId="0" borderId="88" xfId="2" applyNumberFormat="1" applyFont="1" applyBorder="1" applyAlignment="1">
      <alignment horizontal="center" vertical="center"/>
    </xf>
    <xf numFmtId="166" fontId="21" fillId="7" borderId="88" xfId="2" applyNumberFormat="1" applyFont="1" applyFill="1" applyBorder="1" applyAlignment="1">
      <alignment horizontal="center" vertical="center"/>
    </xf>
    <xf numFmtId="0" fontId="38" fillId="2" borderId="0" xfId="0" applyFont="1" applyFill="1"/>
    <xf numFmtId="4" fontId="0" fillId="0" borderId="70" xfId="0" applyNumberFormat="1" applyBorder="1" applyAlignment="1">
      <alignment horizontal="right" vertical="center"/>
    </xf>
    <xf numFmtId="0" fontId="34" fillId="2" borderId="0" xfId="0" applyFont="1" applyFill="1"/>
    <xf numFmtId="0" fontId="33" fillId="9" borderId="103" xfId="5" applyFont="1" applyFill="1" applyBorder="1" applyAlignment="1">
      <alignment horizontal="center" vertical="center"/>
    </xf>
    <xf numFmtId="0" fontId="31" fillId="0" borderId="106" xfId="0" applyFont="1" applyBorder="1"/>
    <xf numFmtId="43" fontId="31" fillId="0" borderId="106" xfId="1" applyFont="1" applyFill="1" applyBorder="1"/>
    <xf numFmtId="43" fontId="31" fillId="0" borderId="107" xfId="1" applyFont="1" applyFill="1" applyBorder="1"/>
    <xf numFmtId="0" fontId="41" fillId="0" borderId="108" xfId="0" applyFont="1" applyBorder="1"/>
    <xf numFmtId="0" fontId="31" fillId="0" borderId="0" xfId="0" applyFont="1"/>
    <xf numFmtId="43" fontId="31" fillId="0" borderId="0" xfId="1" applyFont="1" applyFill="1" applyBorder="1"/>
    <xf numFmtId="43" fontId="31" fillId="0" borderId="109" xfId="1" applyFont="1" applyFill="1" applyBorder="1"/>
    <xf numFmtId="0" fontId="41" fillId="0" borderId="110" xfId="0" applyFont="1" applyBorder="1"/>
    <xf numFmtId="0" fontId="41" fillId="0" borderId="111" xfId="0" applyFont="1" applyBorder="1"/>
    <xf numFmtId="0" fontId="41" fillId="7" borderId="112" xfId="0" applyFont="1" applyFill="1" applyBorder="1"/>
    <xf numFmtId="0" fontId="41" fillId="7" borderId="113" xfId="0" applyFont="1" applyFill="1" applyBorder="1"/>
    <xf numFmtId="43" fontId="41" fillId="7" borderId="113" xfId="1" applyFont="1" applyFill="1" applyBorder="1"/>
    <xf numFmtId="43" fontId="41" fillId="7" borderId="114" xfId="1" applyFont="1" applyFill="1" applyBorder="1"/>
    <xf numFmtId="0" fontId="21" fillId="2" borderId="0" xfId="0" quotePrefix="1" applyFont="1" applyFill="1" applyAlignment="1">
      <alignment vertical="center"/>
    </xf>
    <xf numFmtId="17" fontId="33" fillId="9" borderId="117" xfId="0" applyNumberFormat="1" applyFont="1" applyFill="1" applyBorder="1" applyAlignment="1">
      <alignment horizontal="center" vertical="center"/>
    </xf>
    <xf numFmtId="0" fontId="33" fillId="9" borderId="119" xfId="5" applyFont="1" applyFill="1" applyBorder="1" applyAlignment="1">
      <alignment horizontal="center" vertical="center"/>
    </xf>
    <xf numFmtId="0" fontId="33" fillId="9" borderId="121" xfId="5" applyFont="1" applyFill="1" applyBorder="1" applyAlignment="1">
      <alignment horizontal="center" vertical="center"/>
    </xf>
    <xf numFmtId="0" fontId="33" fillId="9" borderId="122" xfId="5" applyFont="1" applyFill="1" applyBorder="1" applyAlignment="1">
      <alignment horizontal="center" vertical="center"/>
    </xf>
    <xf numFmtId="0" fontId="33" fillId="9" borderId="123" xfId="0" applyFont="1" applyFill="1" applyBorder="1" applyAlignment="1">
      <alignment vertical="center"/>
    </xf>
    <xf numFmtId="0" fontId="42" fillId="9" borderId="124" xfId="0" applyFont="1" applyFill="1" applyBorder="1" applyAlignment="1">
      <alignment vertical="center"/>
    </xf>
    <xf numFmtId="4" fontId="33" fillId="9" borderId="58" xfId="0" applyNumberFormat="1" applyFont="1" applyFill="1" applyBorder="1" applyAlignment="1">
      <alignment vertical="center"/>
    </xf>
    <xf numFmtId="4" fontId="42" fillId="9" borderId="58" xfId="0" applyNumberFormat="1" applyFont="1" applyFill="1" applyBorder="1" applyAlignment="1">
      <alignment vertical="center"/>
    </xf>
    <xf numFmtId="0" fontId="42" fillId="9" borderId="123" xfId="0" applyFont="1" applyFill="1" applyBorder="1" applyAlignment="1">
      <alignment vertical="center"/>
    </xf>
    <xf numFmtId="0" fontId="33" fillId="9" borderId="125" xfId="0" applyFont="1" applyFill="1" applyBorder="1" applyAlignment="1">
      <alignment vertical="center"/>
    </xf>
    <xf numFmtId="4" fontId="33" fillId="9" borderId="125" xfId="0" applyNumberFormat="1" applyFont="1" applyFill="1" applyBorder="1" applyAlignment="1">
      <alignment vertical="center"/>
    </xf>
    <xf numFmtId="4" fontId="42" fillId="9" borderId="124" xfId="0" applyNumberFormat="1" applyFont="1" applyFill="1" applyBorder="1" applyAlignment="1">
      <alignment vertical="center"/>
    </xf>
    <xf numFmtId="0" fontId="42" fillId="9" borderId="126" xfId="0" applyFont="1" applyFill="1" applyBorder="1" applyAlignment="1">
      <alignment vertical="center"/>
    </xf>
    <xf numFmtId="0" fontId="42" fillId="9" borderId="127" xfId="0" applyFont="1" applyFill="1" applyBorder="1" applyAlignment="1">
      <alignment vertical="center"/>
    </xf>
    <xf numFmtId="4" fontId="42" fillId="9" borderId="127" xfId="0" applyNumberFormat="1" applyFont="1" applyFill="1" applyBorder="1" applyAlignment="1">
      <alignment vertical="center"/>
    </xf>
    <xf numFmtId="4" fontId="42" fillId="9" borderId="128" xfId="0" applyNumberFormat="1" applyFont="1" applyFill="1" applyBorder="1" applyAlignment="1">
      <alignment vertical="center"/>
    </xf>
    <xf numFmtId="0" fontId="34" fillId="0" borderId="0" xfId="0" applyFont="1" applyAlignment="1">
      <alignment vertical="center"/>
    </xf>
    <xf numFmtId="0" fontId="33" fillId="10" borderId="130" xfId="6" applyFont="1" applyFill="1" applyBorder="1" applyAlignment="1">
      <alignment horizontal="center" vertical="center" wrapText="1"/>
    </xf>
    <xf numFmtId="0" fontId="34" fillId="0" borderId="0" xfId="0" applyFont="1" applyAlignment="1">
      <alignment horizontal="center"/>
    </xf>
    <xf numFmtId="0" fontId="34" fillId="0" borderId="0" xfId="0" applyFont="1" applyAlignment="1">
      <alignment vertical="center" wrapText="1"/>
    </xf>
    <xf numFmtId="0" fontId="34" fillId="0" borderId="0" xfId="0" applyFont="1" applyAlignment="1">
      <alignment horizontal="left" vertical="center" wrapText="1"/>
    </xf>
    <xf numFmtId="49" fontId="27" fillId="0" borderId="0" xfId="0" applyNumberFormat="1" applyFont="1" applyAlignment="1">
      <alignment horizontal="right"/>
    </xf>
    <xf numFmtId="1" fontId="27" fillId="0" borderId="0" xfId="0" applyNumberFormat="1" applyFont="1" applyAlignment="1">
      <alignment horizontal="right"/>
    </xf>
    <xf numFmtId="1" fontId="27" fillId="0" borderId="0" xfId="0" applyNumberFormat="1" applyFont="1" applyAlignment="1">
      <alignment horizontal="center"/>
    </xf>
    <xf numFmtId="164" fontId="27" fillId="0" borderId="0" xfId="0" applyNumberFormat="1" applyFont="1" applyAlignment="1">
      <alignment horizontal="center"/>
    </xf>
    <xf numFmtId="2" fontId="34" fillId="0" borderId="0" xfId="0" applyNumberFormat="1" applyFont="1" applyAlignment="1">
      <alignment vertical="center" wrapText="1"/>
    </xf>
    <xf numFmtId="0" fontId="31" fillId="0" borderId="0" xfId="0" applyFont="1" applyAlignment="1">
      <alignment horizontal="center"/>
    </xf>
    <xf numFmtId="0" fontId="27" fillId="0" borderId="0" xfId="0" applyFont="1" applyAlignment="1">
      <alignment vertical="center"/>
    </xf>
    <xf numFmtId="0" fontId="27" fillId="0" borderId="0" xfId="0" quotePrefix="1" applyFont="1" applyAlignment="1">
      <alignment horizontal="left" vertical="top"/>
    </xf>
    <xf numFmtId="43" fontId="41" fillId="7" borderId="113" xfId="0" applyNumberFormat="1" applyFont="1" applyFill="1" applyBorder="1"/>
    <xf numFmtId="43" fontId="31" fillId="0" borderId="0" xfId="0" applyNumberFormat="1" applyFont="1"/>
    <xf numFmtId="10" fontId="31" fillId="0" borderId="109" xfId="2" applyNumberFormat="1" applyFont="1" applyBorder="1"/>
    <xf numFmtId="10" fontId="41" fillId="7" borderId="114" xfId="2" applyNumberFormat="1" applyFont="1" applyFill="1" applyBorder="1"/>
    <xf numFmtId="43" fontId="31" fillId="0" borderId="106" xfId="0" applyNumberFormat="1" applyFont="1" applyBorder="1"/>
    <xf numFmtId="17" fontId="33" fillId="10" borderId="46" xfId="6" quotePrefix="1" applyNumberFormat="1" applyFont="1" applyFill="1" applyBorder="1" applyAlignment="1">
      <alignment horizontal="center" vertical="center" wrapText="1"/>
    </xf>
    <xf numFmtId="0" fontId="33" fillId="10" borderId="46" xfId="6" quotePrefix="1" applyFont="1" applyFill="1" applyBorder="1" applyAlignment="1">
      <alignment horizontal="center" vertical="center" wrapText="1"/>
    </xf>
    <xf numFmtId="0" fontId="33" fillId="10" borderId="46" xfId="6" applyFont="1" applyFill="1" applyBorder="1" applyAlignment="1">
      <alignment horizontal="center" vertical="center" wrapText="1"/>
    </xf>
    <xf numFmtId="14" fontId="33" fillId="10" borderId="46" xfId="6" applyNumberFormat="1" applyFont="1" applyFill="1" applyBorder="1" applyAlignment="1">
      <alignment horizontal="center" vertical="center"/>
    </xf>
    <xf numFmtId="0" fontId="33" fillId="10" borderId="130" xfId="6" applyFont="1" applyFill="1" applyBorder="1" applyAlignment="1">
      <alignment horizontal="center" vertical="center"/>
    </xf>
    <xf numFmtId="20" fontId="33" fillId="10" borderId="132" xfId="6" applyNumberFormat="1" applyFont="1" applyFill="1" applyBorder="1" applyAlignment="1">
      <alignment horizontal="center" vertical="center"/>
    </xf>
    <xf numFmtId="0" fontId="33" fillId="10" borderId="133" xfId="6" applyFont="1" applyFill="1" applyBorder="1" applyAlignment="1">
      <alignment horizontal="center" vertical="center"/>
    </xf>
    <xf numFmtId="173" fontId="43" fillId="9" borderId="137" xfId="0" applyNumberFormat="1" applyFont="1" applyFill="1" applyBorder="1" applyAlignment="1">
      <alignment horizontal="center" vertical="center"/>
    </xf>
    <xf numFmtId="173" fontId="43" fillId="9" borderId="137" xfId="0" applyNumberFormat="1" applyFont="1" applyFill="1" applyBorder="1" applyAlignment="1">
      <alignment horizontal="center" vertical="center" wrapText="1"/>
    </xf>
    <xf numFmtId="4" fontId="27" fillId="0" borderId="137" xfId="0" applyNumberFormat="1" applyFont="1" applyBorder="1" applyAlignment="1">
      <alignment vertical="center"/>
    </xf>
    <xf numFmtId="4" fontId="27" fillId="0" borderId="137" xfId="0" applyNumberFormat="1" applyFont="1" applyBorder="1"/>
    <xf numFmtId="4" fontId="27" fillId="7" borderId="137" xfId="0" applyNumberFormat="1" applyFont="1" applyFill="1" applyBorder="1"/>
    <xf numFmtId="173" fontId="0" fillId="0" borderId="0" xfId="0" applyNumberFormat="1"/>
    <xf numFmtId="0" fontId="3" fillId="0" borderId="0" xfId="0" applyFont="1"/>
    <xf numFmtId="0" fontId="4" fillId="0" borderId="0" xfId="0" applyFont="1"/>
    <xf numFmtId="0" fontId="34" fillId="2" borderId="0" xfId="0" applyFont="1" applyFill="1" applyAlignment="1">
      <alignment horizontal="left" vertical="center"/>
    </xf>
    <xf numFmtId="0" fontId="34" fillId="2" borderId="0" xfId="0" applyFont="1" applyFill="1" applyAlignment="1">
      <alignment vertical="center"/>
    </xf>
    <xf numFmtId="0" fontId="31" fillId="0" borderId="0" xfId="0" applyFont="1" applyAlignment="1">
      <alignment vertical="center"/>
    </xf>
    <xf numFmtId="0" fontId="34" fillId="0" borderId="0" xfId="0" applyFont="1" applyAlignment="1">
      <alignment horizontal="center" vertical="center"/>
    </xf>
    <xf numFmtId="49" fontId="27" fillId="0" borderId="0" xfId="0" applyNumberFormat="1" applyFont="1" applyAlignment="1">
      <alignment horizontal="right" vertical="center"/>
    </xf>
    <xf numFmtId="1" fontId="27" fillId="0" borderId="0" xfId="0" applyNumberFormat="1" applyFont="1" applyAlignment="1">
      <alignment horizontal="right" vertical="center"/>
    </xf>
    <xf numFmtId="49" fontId="27" fillId="0" borderId="0" xfId="0" applyNumberFormat="1" applyFont="1" applyAlignment="1">
      <alignment horizontal="center" vertical="center"/>
    </xf>
    <xf numFmtId="1" fontId="27" fillId="0" borderId="0" xfId="0" applyNumberFormat="1" applyFont="1" applyAlignment="1">
      <alignment horizontal="center" vertical="center"/>
    </xf>
    <xf numFmtId="164" fontId="27" fillId="0" borderId="0" xfId="0" applyNumberFormat="1" applyFont="1" applyAlignment="1">
      <alignment horizontal="center" vertical="center"/>
    </xf>
    <xf numFmtId="0" fontId="31" fillId="0" borderId="0" xfId="0" applyFont="1" applyAlignment="1">
      <alignment horizontal="center" vertical="center"/>
    </xf>
    <xf numFmtId="0" fontId="37" fillId="9" borderId="82" xfId="0" applyFont="1" applyFill="1" applyBorder="1" applyAlignment="1">
      <alignment horizontal="center" vertical="center"/>
    </xf>
    <xf numFmtId="43" fontId="37" fillId="9" borderId="82" xfId="1" applyFont="1" applyFill="1" applyBorder="1" applyAlignment="1">
      <alignment horizontal="center" vertical="center"/>
    </xf>
    <xf numFmtId="4" fontId="37" fillId="9" borderId="82" xfId="0" applyNumberFormat="1" applyFont="1" applyFill="1" applyBorder="1" applyAlignment="1">
      <alignment horizontal="center" vertical="center"/>
    </xf>
    <xf numFmtId="0" fontId="37" fillId="9" borderId="82" xfId="0" applyFont="1" applyFill="1" applyBorder="1" applyAlignment="1">
      <alignment horizontal="center" vertical="center" wrapText="1"/>
    </xf>
    <xf numFmtId="0" fontId="32" fillId="0" borderId="82" xfId="0" applyFont="1" applyBorder="1" applyAlignment="1">
      <alignment vertical="center" wrapText="1"/>
    </xf>
    <xf numFmtId="22" fontId="32" fillId="0" borderId="82" xfId="0" applyNumberFormat="1" applyFont="1" applyBorder="1" applyAlignment="1">
      <alignment horizontal="center" vertical="center" wrapText="1"/>
    </xf>
    <xf numFmtId="0" fontId="32" fillId="0" borderId="82" xfId="0" applyFont="1" applyBorder="1" applyAlignment="1">
      <alignment horizontal="center" vertical="center" wrapText="1"/>
    </xf>
    <xf numFmtId="43" fontId="13" fillId="0" borderId="0" xfId="1" applyFont="1" applyFill="1" applyAlignment="1"/>
    <xf numFmtId="0" fontId="44" fillId="0" borderId="0" xfId="0" applyFont="1"/>
    <xf numFmtId="0" fontId="45" fillId="0" borderId="0" xfId="0" applyFont="1" applyAlignment="1">
      <alignment vertical="center"/>
    </xf>
    <xf numFmtId="0" fontId="46" fillId="0" borderId="0" xfId="0" applyFont="1" applyAlignment="1">
      <alignment vertical="center"/>
    </xf>
    <xf numFmtId="0" fontId="47" fillId="0" borderId="0" xfId="0" applyFont="1" applyAlignment="1">
      <alignment vertical="center"/>
    </xf>
    <xf numFmtId="0" fontId="45" fillId="0" borderId="0" xfId="0" applyFont="1" applyAlignment="1">
      <alignment horizontal="center" vertical="center"/>
    </xf>
    <xf numFmtId="0" fontId="47" fillId="0" borderId="0" xfId="0" applyFont="1" applyAlignment="1">
      <alignment horizontal="justify" vertical="center"/>
    </xf>
    <xf numFmtId="0" fontId="48" fillId="0" borderId="0" xfId="0" applyFont="1" applyAlignment="1">
      <alignment vertical="center"/>
    </xf>
    <xf numFmtId="0" fontId="46" fillId="0" borderId="0" xfId="0" applyFont="1"/>
    <xf numFmtId="43" fontId="13" fillId="0" borderId="27" xfId="1" applyFont="1" applyFill="1" applyBorder="1" applyAlignment="1">
      <alignment horizontal="right"/>
    </xf>
    <xf numFmtId="43" fontId="13" fillId="0" borderId="28" xfId="1" applyFont="1" applyFill="1" applyBorder="1" applyAlignment="1">
      <alignment horizontal="right"/>
    </xf>
    <xf numFmtId="43" fontId="13" fillId="0" borderId="29" xfId="1" applyFont="1" applyFill="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Fill="1" applyBorder="1" applyAlignment="1">
      <alignment horizontal="right" vertical="center"/>
    </xf>
    <xf numFmtId="43" fontId="13" fillId="0" borderId="31" xfId="1" applyFont="1" applyFill="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3" xfId="1" applyFont="1" applyFill="1" applyBorder="1" applyAlignment="1">
      <alignment horizontal="right"/>
    </xf>
    <xf numFmtId="43" fontId="13" fillId="0" borderId="0" xfId="1" applyFont="1" applyFill="1" applyBorder="1" applyAlignment="1">
      <alignment horizontal="right"/>
    </xf>
    <xf numFmtId="43" fontId="13" fillId="0" borderId="4" xfId="1" applyFont="1" applyFill="1" applyBorder="1" applyAlignment="1">
      <alignment horizontal="right"/>
    </xf>
    <xf numFmtId="43" fontId="13" fillId="4" borderId="3" xfId="1" applyFont="1" applyFill="1" applyBorder="1" applyAlignment="1">
      <alignment horizontal="right" vertical="center"/>
    </xf>
    <xf numFmtId="43" fontId="13" fillId="4" borderId="4" xfId="1" applyFont="1" applyFill="1" applyBorder="1" applyAlignment="1">
      <alignment horizontal="right" vertical="center"/>
    </xf>
    <xf numFmtId="43" fontId="13" fillId="0" borderId="3" xfId="1" applyFont="1" applyFill="1" applyBorder="1" applyAlignment="1">
      <alignment horizontal="right" vertical="center"/>
    </xf>
    <xf numFmtId="43" fontId="13" fillId="0" borderId="4" xfId="1" applyFont="1" applyFill="1" applyBorder="1" applyAlignment="1">
      <alignment horizontal="right" vertical="center"/>
    </xf>
    <xf numFmtId="43" fontId="13" fillId="4" borderId="41" xfId="1" applyFont="1" applyFill="1" applyBorder="1" applyAlignment="1">
      <alignment horizontal="right" vertical="center"/>
    </xf>
    <xf numFmtId="43" fontId="13" fillId="4" borderId="42" xfId="1" applyFont="1" applyFill="1" applyBorder="1" applyAlignment="1">
      <alignment horizontal="right" vertical="center"/>
    </xf>
    <xf numFmtId="43" fontId="13" fillId="4" borderId="43" xfId="1" applyFont="1" applyFill="1" applyBorder="1" applyAlignment="1">
      <alignment horizontal="right" vertical="center"/>
    </xf>
    <xf numFmtId="43" fontId="21" fillId="0" borderId="55" xfId="1" applyFont="1" applyFill="1" applyBorder="1" applyAlignment="1">
      <alignment horizontal="right" vertical="center"/>
    </xf>
    <xf numFmtId="43" fontId="21" fillId="0" borderId="56" xfId="1" applyFont="1" applyFill="1" applyBorder="1" applyAlignment="1">
      <alignment horizontal="right" vertical="center"/>
    </xf>
    <xf numFmtId="43" fontId="21" fillId="0" borderId="57" xfId="1" applyFont="1" applyFill="1" applyBorder="1" applyAlignment="1">
      <alignment horizontal="right" vertical="center"/>
    </xf>
    <xf numFmtId="43" fontId="21" fillId="4" borderId="55" xfId="1" applyFont="1" applyFill="1" applyBorder="1" applyAlignment="1">
      <alignment horizontal="right" vertical="center"/>
    </xf>
    <xf numFmtId="43" fontId="21" fillId="4" borderId="56" xfId="1" applyFont="1" applyFill="1" applyBorder="1" applyAlignment="1">
      <alignment horizontal="right" vertical="center"/>
    </xf>
    <xf numFmtId="43" fontId="21" fillId="4" borderId="57" xfId="1" applyFont="1" applyFill="1" applyBorder="1" applyAlignment="1">
      <alignment horizontal="right" vertical="center"/>
    </xf>
    <xf numFmtId="0" fontId="4" fillId="2" borderId="0" xfId="0" quotePrefix="1" applyFont="1" applyFill="1" applyAlignment="1">
      <alignment horizontal="left" vertical="top"/>
    </xf>
    <xf numFmtId="0" fontId="49"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51" fillId="0" borderId="0" xfId="0" applyFont="1" applyAlignment="1">
      <alignment vertical="center"/>
    </xf>
    <xf numFmtId="0" fontId="52" fillId="0" borderId="0" xfId="0" applyFont="1" applyAlignment="1">
      <alignment vertical="center"/>
    </xf>
    <xf numFmtId="0" fontId="53" fillId="0" borderId="0" xfId="0" applyFont="1" applyAlignment="1">
      <alignment vertical="center"/>
    </xf>
    <xf numFmtId="0" fontId="53" fillId="0" borderId="0" xfId="0" applyFont="1" applyAlignment="1">
      <alignment horizontal="right" vertical="center"/>
    </xf>
    <xf numFmtId="0" fontId="51" fillId="0" borderId="0" xfId="0" applyFont="1" applyAlignment="1">
      <alignment horizontal="center" vertical="center"/>
    </xf>
    <xf numFmtId="0" fontId="53" fillId="0" borderId="0" xfId="0" applyFont="1" applyAlignment="1">
      <alignment horizontal="justify" vertical="center"/>
    </xf>
    <xf numFmtId="17" fontId="54" fillId="0" borderId="0" xfId="0" applyNumberFormat="1" applyFont="1" applyAlignment="1">
      <alignment vertical="center"/>
    </xf>
    <xf numFmtId="2" fontId="54" fillId="0" borderId="0" xfId="0" applyNumberFormat="1" applyFont="1" applyAlignment="1">
      <alignment vertical="center"/>
    </xf>
    <xf numFmtId="0" fontId="54" fillId="0" borderId="0" xfId="0" quotePrefix="1" applyFont="1" applyAlignment="1">
      <alignment vertical="center" wrapText="1"/>
    </xf>
    <xf numFmtId="2" fontId="54" fillId="0" borderId="0" xfId="0" quotePrefix="1" applyNumberFormat="1" applyFont="1" applyAlignment="1">
      <alignment vertical="center" wrapText="1"/>
    </xf>
    <xf numFmtId="0" fontId="54" fillId="0" borderId="0" xfId="0" applyFont="1" applyAlignment="1">
      <alignment vertical="center"/>
    </xf>
    <xf numFmtId="14" fontId="51" fillId="0" borderId="0" xfId="0" applyNumberFormat="1" applyFont="1" applyAlignment="1">
      <alignment vertical="center"/>
    </xf>
    <xf numFmtId="0" fontId="50" fillId="0" borderId="0" xfId="0" applyFont="1" applyAlignment="1">
      <alignment vertical="center"/>
    </xf>
    <xf numFmtId="1" fontId="55" fillId="0" borderId="0" xfId="0" applyNumberFormat="1" applyFont="1" applyAlignment="1">
      <alignment horizontal="center" vertical="center"/>
    </xf>
    <xf numFmtId="170" fontId="56" fillId="8" borderId="0" xfId="3" applyFont="1" applyFill="1"/>
    <xf numFmtId="0" fontId="52" fillId="0" borderId="0" xfId="0" applyFont="1"/>
    <xf numFmtId="1" fontId="57" fillId="0" borderId="0" xfId="3" applyNumberFormat="1" applyFont="1" applyAlignment="1">
      <alignment horizontal="center"/>
    </xf>
    <xf numFmtId="171" fontId="57" fillId="0" borderId="0" xfId="3" applyNumberFormat="1" applyFont="1" applyAlignment="1">
      <alignment horizontal="center"/>
    </xf>
    <xf numFmtId="2" fontId="58" fillId="0" borderId="0" xfId="3" applyNumberFormat="1" applyFont="1"/>
    <xf numFmtId="164" fontId="55" fillId="0" borderId="0" xfId="0" applyNumberFormat="1" applyFont="1" applyAlignment="1">
      <alignment horizontal="right" vertical="center"/>
    </xf>
    <xf numFmtId="165" fontId="55" fillId="0" borderId="0" xfId="0" applyNumberFormat="1" applyFont="1" applyAlignment="1">
      <alignment horizontal="right" vertical="center"/>
    </xf>
    <xf numFmtId="166" fontId="55" fillId="0" borderId="0" xfId="2" applyNumberFormat="1" applyFont="1" applyFill="1" applyBorder="1" applyAlignment="1">
      <alignment horizontal="right" vertical="center"/>
    </xf>
    <xf numFmtId="2" fontId="58" fillId="2" borderId="0" xfId="3" applyNumberFormat="1" applyFont="1" applyFill="1"/>
    <xf numFmtId="0" fontId="55" fillId="0" borderId="0" xfId="0" applyFont="1" applyAlignment="1">
      <alignment vertical="center"/>
    </xf>
    <xf numFmtId="2" fontId="59" fillId="0" borderId="0" xfId="0" applyNumberFormat="1" applyFont="1"/>
    <xf numFmtId="2" fontId="58" fillId="0" borderId="0" xfId="3" applyNumberFormat="1" applyFont="1" applyAlignment="1">
      <alignment horizontal="center"/>
    </xf>
    <xf numFmtId="0" fontId="60" fillId="0" borderId="0" xfId="0" applyFont="1" applyAlignment="1">
      <alignment vertical="center"/>
    </xf>
    <xf numFmtId="49" fontId="32" fillId="0" borderId="0" xfId="0" applyNumberFormat="1" applyFont="1" applyAlignment="1">
      <alignment horizontal="center"/>
    </xf>
    <xf numFmtId="0" fontId="32" fillId="0" borderId="0" xfId="0" applyFont="1"/>
    <xf numFmtId="1" fontId="0" fillId="0" borderId="0" xfId="0" applyNumberFormat="1"/>
    <xf numFmtId="1" fontId="32" fillId="0" borderId="0" xfId="0" applyNumberFormat="1" applyFont="1" applyAlignment="1">
      <alignment horizontal="right"/>
    </xf>
    <xf numFmtId="0" fontId="32" fillId="0" borderId="0" xfId="0" applyFont="1" applyAlignment="1">
      <alignment horizontal="right"/>
    </xf>
    <xf numFmtId="164" fontId="0" fillId="0" borderId="0" xfId="0" applyNumberFormat="1" applyAlignment="1">
      <alignment horizontal="right"/>
    </xf>
    <xf numFmtId="49" fontId="32" fillId="0" borderId="0" xfId="0" applyNumberFormat="1" applyFont="1" applyAlignment="1">
      <alignment horizontal="right"/>
    </xf>
    <xf numFmtId="164" fontId="32" fillId="0" borderId="0" xfId="0" applyNumberFormat="1" applyFont="1" applyAlignment="1">
      <alignment horizontal="right"/>
    </xf>
    <xf numFmtId="166" fontId="0" fillId="0" borderId="0" xfId="2" applyNumberFormat="1" applyFont="1" applyFill="1" applyBorder="1" applyAlignment="1">
      <alignment horizontal="right"/>
    </xf>
    <xf numFmtId="165" fontId="0" fillId="0" borderId="0" xfId="0" applyNumberFormat="1" applyAlignment="1">
      <alignment horizontal="right"/>
    </xf>
    <xf numFmtId="14" fontId="27" fillId="0" borderId="137" xfId="0" applyNumberFormat="1" applyFont="1" applyBorder="1"/>
    <xf numFmtId="20" fontId="27" fillId="0" borderId="137" xfId="0" applyNumberFormat="1" applyFont="1" applyBorder="1" applyAlignment="1">
      <alignment horizontal="center" vertical="center"/>
    </xf>
    <xf numFmtId="20" fontId="27" fillId="0" borderId="137" xfId="0" applyNumberFormat="1" applyFont="1" applyBorder="1" applyAlignment="1">
      <alignment horizontal="center"/>
    </xf>
    <xf numFmtId="14" fontId="0" fillId="0" borderId="0" xfId="0" applyNumberFormat="1"/>
    <xf numFmtId="20" fontId="0" fillId="0" borderId="0" xfId="0" applyNumberFormat="1"/>
    <xf numFmtId="0" fontId="61" fillId="0" borderId="0" xfId="0" applyFont="1" applyAlignment="1">
      <alignment vertical="center"/>
    </xf>
    <xf numFmtId="0" fontId="61" fillId="0" borderId="0" xfId="0" quotePrefix="1" applyFont="1" applyAlignment="1">
      <alignment vertical="center" wrapText="1"/>
    </xf>
    <xf numFmtId="43" fontId="13" fillId="0" borderId="10" xfId="1" applyFont="1" applyFill="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Fill="1" applyBorder="1" applyAlignment="1">
      <alignment horizontal="right" vertical="center"/>
    </xf>
    <xf numFmtId="43" fontId="13" fillId="0" borderId="11" xfId="1" applyFont="1" applyFill="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Fill="1" applyBorder="1" applyAlignment="1">
      <alignment horizontal="right" vertical="center"/>
    </xf>
    <xf numFmtId="43" fontId="13" fillId="0" borderId="13" xfId="1" applyFont="1" applyFill="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Fill="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Fill="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10" fontId="0" fillId="0" borderId="0" xfId="2" applyNumberFormat="1" applyFont="1"/>
    <xf numFmtId="43" fontId="0" fillId="0" borderId="0" xfId="0" applyNumberFormat="1"/>
    <xf numFmtId="0" fontId="42" fillId="9" borderId="125" xfId="0" applyFont="1" applyFill="1" applyBorder="1" applyAlignment="1">
      <alignment vertical="center"/>
    </xf>
    <xf numFmtId="9" fontId="31" fillId="0" borderId="107" xfId="2" applyFont="1" applyBorder="1"/>
    <xf numFmtId="10" fontId="33" fillId="9" borderId="58" xfId="2" applyNumberFormat="1" applyFont="1" applyFill="1" applyBorder="1" applyAlignment="1">
      <alignment vertical="center"/>
    </xf>
    <xf numFmtId="10" fontId="42" fillId="9" borderId="58" xfId="2" applyNumberFormat="1" applyFont="1" applyFill="1" applyBorder="1" applyAlignment="1">
      <alignment vertical="center"/>
    </xf>
    <xf numFmtId="2" fontId="52" fillId="0" borderId="0" xfId="0" applyNumberFormat="1" applyFont="1" applyAlignment="1">
      <alignment vertical="center"/>
    </xf>
    <xf numFmtId="2" fontId="53" fillId="0" borderId="0" xfId="0" applyNumberFormat="1" applyFont="1" applyAlignment="1">
      <alignment vertical="center"/>
    </xf>
    <xf numFmtId="0" fontId="62" fillId="0" borderId="82" xfId="0" applyFont="1" applyBorder="1" applyAlignment="1">
      <alignment vertical="center" wrapText="1"/>
    </xf>
    <xf numFmtId="22" fontId="62" fillId="0" borderId="82" xfId="0" applyNumberFormat="1" applyFont="1" applyBorder="1" applyAlignment="1">
      <alignment horizontal="center" vertical="center"/>
    </xf>
    <xf numFmtId="0" fontId="62" fillId="0" borderId="82" xfId="0" applyFont="1" applyBorder="1" applyAlignment="1">
      <alignment horizontal="justify" vertical="center"/>
    </xf>
    <xf numFmtId="0" fontId="62" fillId="0" borderId="82" xfId="0" applyFont="1" applyBorder="1" applyAlignment="1">
      <alignment horizontal="center" vertical="center"/>
    </xf>
    <xf numFmtId="22" fontId="62" fillId="0" borderId="82" xfId="0" applyNumberFormat="1" applyFont="1" applyBorder="1" applyAlignment="1">
      <alignment horizontal="center" vertical="center" wrapText="1"/>
    </xf>
    <xf numFmtId="0" fontId="62" fillId="0" borderId="82" xfId="0" applyFont="1" applyBorder="1" applyAlignment="1">
      <alignment horizontal="justify" vertical="center" wrapText="1"/>
    </xf>
    <xf numFmtId="0" fontId="62" fillId="0" borderId="82" xfId="0" applyFont="1" applyBorder="1" applyAlignment="1">
      <alignment horizontal="center" vertical="center" wrapText="1"/>
    </xf>
    <xf numFmtId="43" fontId="37" fillId="3" borderId="79" xfId="1" applyFont="1" applyFill="1" applyBorder="1" applyAlignment="1">
      <alignment horizontal="center" vertical="center" wrapText="1"/>
    </xf>
    <xf numFmtId="0" fontId="37" fillId="3" borderId="80" xfId="0" applyFont="1" applyFill="1" applyBorder="1" applyAlignment="1">
      <alignment horizontal="center" vertical="center" wrapText="1"/>
    </xf>
    <xf numFmtId="0" fontId="37" fillId="3" borderId="81" xfId="0" applyFont="1" applyFill="1" applyBorder="1" applyAlignment="1">
      <alignment horizontal="center" vertical="center" wrapText="1"/>
    </xf>
    <xf numFmtId="0" fontId="37" fillId="3" borderId="82" xfId="0" applyFont="1" applyFill="1" applyBorder="1" applyAlignment="1">
      <alignment vertical="center" wrapText="1"/>
    </xf>
    <xf numFmtId="0" fontId="37" fillId="3" borderId="83" xfId="0" applyFont="1" applyFill="1" applyBorder="1" applyAlignment="1">
      <alignment horizontal="center" vertical="center" wrapText="1"/>
    </xf>
    <xf numFmtId="0" fontId="37" fillId="3" borderId="84" xfId="0" applyFont="1" applyFill="1" applyBorder="1" applyAlignment="1">
      <alignment vertical="center" wrapText="1"/>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33" fillId="3" borderId="46" xfId="0" applyFont="1" applyFill="1" applyBorder="1" applyAlignment="1">
      <alignment vertical="center"/>
    </xf>
    <xf numFmtId="10" fontId="33" fillId="3" borderId="46" xfId="2" applyNumberFormat="1" applyFont="1" applyFill="1" applyBorder="1" applyAlignment="1">
      <alignment vertical="center"/>
    </xf>
    <xf numFmtId="0" fontId="27" fillId="0" borderId="63" xfId="0" applyFont="1" applyBorder="1" applyAlignment="1">
      <alignment vertical="center"/>
    </xf>
    <xf numFmtId="165" fontId="27" fillId="0" borderId="63" xfId="0" applyNumberFormat="1" applyFont="1" applyBorder="1" applyAlignment="1">
      <alignment vertical="center"/>
    </xf>
    <xf numFmtId="0" fontId="33" fillId="3" borderId="0" xfId="0" applyFont="1" applyFill="1" applyAlignment="1">
      <alignment vertical="center"/>
    </xf>
    <xf numFmtId="4" fontId="33" fillId="3" borderId="0" xfId="0" applyNumberFormat="1" applyFont="1" applyFill="1" applyAlignment="1">
      <alignment vertical="center"/>
    </xf>
    <xf numFmtId="10" fontId="33" fillId="3" borderId="0" xfId="2" applyNumberFormat="1" applyFont="1" applyFill="1" applyBorder="1" applyAlignment="1">
      <alignment vertical="center"/>
    </xf>
    <xf numFmtId="0" fontId="27" fillId="2" borderId="62" xfId="0" applyFont="1" applyFill="1" applyBorder="1" applyAlignment="1">
      <alignment vertical="center"/>
    </xf>
    <xf numFmtId="169" fontId="27" fillId="2" borderId="62" xfId="0" applyNumberFormat="1" applyFont="1" applyFill="1" applyBorder="1" applyAlignment="1">
      <alignment vertical="center"/>
    </xf>
    <xf numFmtId="166" fontId="34" fillId="2" borderId="62" xfId="2" applyNumberFormat="1" applyFont="1" applyFill="1" applyBorder="1" applyAlignment="1">
      <alignment vertical="center"/>
    </xf>
    <xf numFmtId="0" fontId="27" fillId="4" borderId="63" xfId="0" applyFont="1" applyFill="1" applyBorder="1" applyAlignment="1">
      <alignment vertical="center"/>
    </xf>
    <xf numFmtId="169" fontId="27" fillId="4" borderId="63" xfId="0" applyNumberFormat="1" applyFont="1" applyFill="1" applyBorder="1" applyAlignment="1">
      <alignment vertical="center"/>
    </xf>
    <xf numFmtId="166" fontId="34" fillId="4" borderId="63" xfId="2" applyNumberFormat="1" applyFont="1" applyFill="1" applyBorder="1" applyAlignment="1">
      <alignment vertical="center"/>
    </xf>
    <xf numFmtId="0" fontId="27" fillId="2" borderId="63" xfId="0" applyFont="1" applyFill="1" applyBorder="1" applyAlignment="1">
      <alignment vertical="center"/>
    </xf>
    <xf numFmtId="169" fontId="27" fillId="2" borderId="63" xfId="0" applyNumberFormat="1" applyFont="1" applyFill="1" applyBorder="1" applyAlignment="1">
      <alignment vertical="center"/>
    </xf>
    <xf numFmtId="166" fontId="34" fillId="2" borderId="63" xfId="2" applyNumberFormat="1" applyFont="1" applyFill="1" applyBorder="1" applyAlignment="1">
      <alignment vertical="center"/>
    </xf>
    <xf numFmtId="0" fontId="27" fillId="2" borderId="64" xfId="0" applyFont="1" applyFill="1" applyBorder="1" applyAlignment="1">
      <alignment vertical="center"/>
    </xf>
    <xf numFmtId="169" fontId="27" fillId="2" borderId="64" xfId="0" applyNumberFormat="1" applyFont="1" applyFill="1" applyBorder="1" applyAlignment="1">
      <alignment vertical="center"/>
    </xf>
    <xf numFmtId="166" fontId="34" fillId="2" borderId="64" xfId="2" applyNumberFormat="1" applyFont="1" applyFill="1" applyBorder="1" applyAlignment="1">
      <alignment vertical="center"/>
    </xf>
    <xf numFmtId="0" fontId="27" fillId="4" borderId="65" xfId="0" applyFont="1" applyFill="1" applyBorder="1" applyAlignment="1">
      <alignment vertical="center"/>
    </xf>
    <xf numFmtId="169" fontId="27" fillId="4" borderId="65" xfId="0" applyNumberFormat="1" applyFont="1" applyFill="1" applyBorder="1" applyAlignment="1">
      <alignment vertical="center"/>
    </xf>
    <xf numFmtId="166" fontId="34" fillId="4" borderId="65" xfId="2" applyNumberFormat="1" applyFont="1" applyFill="1" applyBorder="1" applyAlignment="1">
      <alignment vertical="center"/>
    </xf>
    <xf numFmtId="0" fontId="27" fillId="2" borderId="65" xfId="0" applyFont="1" applyFill="1" applyBorder="1" applyAlignment="1">
      <alignment vertical="center"/>
    </xf>
    <xf numFmtId="169" fontId="27" fillId="2" borderId="65" xfId="0" applyNumberFormat="1" applyFont="1" applyFill="1" applyBorder="1" applyAlignment="1">
      <alignment vertical="center"/>
    </xf>
    <xf numFmtId="166" fontId="34" fillId="2" borderId="65" xfId="2" applyNumberFormat="1" applyFont="1" applyFill="1" applyBorder="1" applyAlignment="1">
      <alignment vertical="center"/>
    </xf>
    <xf numFmtId="0" fontId="27" fillId="4" borderId="142" xfId="0" applyFont="1" applyFill="1" applyBorder="1" applyAlignment="1">
      <alignment vertical="center"/>
    </xf>
    <xf numFmtId="169" fontId="27" fillId="4" borderId="142" xfId="0" applyNumberFormat="1" applyFont="1" applyFill="1" applyBorder="1" applyAlignment="1">
      <alignment vertical="center"/>
    </xf>
    <xf numFmtId="166" fontId="34" fillId="4" borderId="142" xfId="2" applyNumberFormat="1" applyFont="1" applyFill="1" applyBorder="1" applyAlignment="1">
      <alignment vertical="center"/>
    </xf>
    <xf numFmtId="0" fontId="27" fillId="2" borderId="0" xfId="0" applyFont="1" applyFill="1" applyAlignment="1">
      <alignment vertical="center"/>
    </xf>
    <xf numFmtId="166" fontId="34" fillId="2" borderId="48" xfId="2" applyNumberFormat="1" applyFont="1" applyFill="1" applyBorder="1" applyAlignment="1">
      <alignment vertical="center"/>
    </xf>
    <xf numFmtId="0" fontId="27" fillId="4" borderId="0" xfId="0" applyFont="1" applyFill="1" applyAlignment="1">
      <alignment vertical="center"/>
    </xf>
    <xf numFmtId="166" fontId="34" fillId="4" borderId="48" xfId="2" applyNumberFormat="1" applyFont="1" applyFill="1" applyBorder="1" applyAlignment="1">
      <alignment vertical="center"/>
    </xf>
    <xf numFmtId="166" fontId="41" fillId="4" borderId="48" xfId="2" applyNumberFormat="1" applyFont="1" applyFill="1" applyBorder="1" applyAlignment="1">
      <alignment vertical="center"/>
    </xf>
    <xf numFmtId="0" fontId="27" fillId="2" borderId="49" xfId="0" applyFont="1" applyFill="1" applyBorder="1" applyAlignment="1">
      <alignment vertical="center"/>
    </xf>
    <xf numFmtId="0" fontId="27" fillId="4" borderId="50" xfId="0" applyFont="1" applyFill="1" applyBorder="1" applyAlignment="1">
      <alignment vertical="center"/>
    </xf>
    <xf numFmtId="0" fontId="27" fillId="2" borderId="50" xfId="0" applyFont="1" applyFill="1" applyBorder="1" applyAlignment="1">
      <alignment vertical="center"/>
    </xf>
    <xf numFmtId="166" fontId="34" fillId="2" borderId="52" xfId="2" applyNumberFormat="1" applyFont="1" applyFill="1" applyBorder="1" applyAlignment="1">
      <alignment vertical="center"/>
    </xf>
    <xf numFmtId="0" fontId="27" fillId="4" borderId="53" xfId="0" applyFont="1" applyFill="1" applyBorder="1" applyAlignment="1">
      <alignment vertical="center"/>
    </xf>
    <xf numFmtId="0" fontId="37" fillId="3" borderId="92" xfId="0" applyFont="1" applyFill="1" applyBorder="1" applyAlignment="1">
      <alignment horizontal="center" vertical="center" wrapText="1"/>
    </xf>
    <xf numFmtId="0" fontId="64" fillId="2" borderId="92" xfId="0" applyFont="1" applyFill="1" applyBorder="1" applyAlignment="1">
      <alignment horizontal="center" vertical="center" wrapText="1"/>
    </xf>
    <xf numFmtId="0" fontId="64" fillId="2" borderId="92" xfId="0" applyFont="1" applyFill="1" applyBorder="1" applyAlignment="1">
      <alignment horizontal="center" vertical="center"/>
    </xf>
    <xf numFmtId="0" fontId="64" fillId="2" borderId="92" xfId="2" applyNumberFormat="1" applyFont="1" applyFill="1" applyBorder="1" applyAlignment="1">
      <alignment horizontal="center" vertical="center"/>
    </xf>
    <xf numFmtId="0" fontId="63" fillId="0" borderId="92" xfId="0" applyFont="1" applyBorder="1" applyAlignment="1">
      <alignment horizontal="center" vertical="center"/>
    </xf>
    <xf numFmtId="4" fontId="64" fillId="0" borderId="92" xfId="0" applyNumberFormat="1" applyFont="1" applyBorder="1" applyAlignment="1">
      <alignment horizontal="center" vertical="center"/>
    </xf>
    <xf numFmtId="0" fontId="63" fillId="4" borderId="92" xfId="0" applyFont="1" applyFill="1" applyBorder="1" applyAlignment="1">
      <alignment vertical="center"/>
    </xf>
    <xf numFmtId="0" fontId="64" fillId="4" borderId="92" xfId="0" applyFont="1" applyFill="1" applyBorder="1" applyAlignment="1">
      <alignment horizontal="center" vertical="center"/>
    </xf>
    <xf numFmtId="0" fontId="64" fillId="4" borderId="92" xfId="2" applyNumberFormat="1" applyFont="1" applyFill="1" applyBorder="1" applyAlignment="1">
      <alignment horizontal="center" vertical="center"/>
    </xf>
    <xf numFmtId="0" fontId="63" fillId="4" borderId="92" xfId="0" applyFont="1" applyFill="1" applyBorder="1" applyAlignment="1">
      <alignment horizontal="center" vertical="center"/>
    </xf>
    <xf numFmtId="4" fontId="64" fillId="4" borderId="92" xfId="0" applyNumberFormat="1" applyFont="1" applyFill="1" applyBorder="1" applyAlignment="1">
      <alignment horizontal="center" vertical="center"/>
    </xf>
    <xf numFmtId="0" fontId="32" fillId="0" borderId="0" xfId="0" applyFont="1" applyAlignment="1">
      <alignment vertical="center" wrapText="1"/>
    </xf>
    <xf numFmtId="22" fontId="32" fillId="0" borderId="0" xfId="0" applyNumberFormat="1" applyFont="1" applyAlignment="1">
      <alignment horizontal="center" vertical="center" wrapText="1"/>
    </xf>
    <xf numFmtId="0" fontId="62" fillId="0" borderId="0" xfId="0" applyFont="1" applyAlignment="1">
      <alignment horizontal="justify" vertical="center" wrapText="1"/>
    </xf>
    <xf numFmtId="0" fontId="32" fillId="0" borderId="0" xfId="0" applyFont="1" applyAlignment="1">
      <alignment horizontal="center" vertical="center" wrapText="1"/>
    </xf>
    <xf numFmtId="0" fontId="33" fillId="3" borderId="0" xfId="0" quotePrefix="1" applyFont="1" applyFill="1" applyAlignment="1">
      <alignment horizontal="center" vertical="center" wrapText="1"/>
    </xf>
    <xf numFmtId="17" fontId="33" fillId="3" borderId="93" xfId="0" applyNumberFormat="1" applyFont="1" applyFill="1" applyBorder="1" applyAlignment="1">
      <alignment horizontal="center" vertical="center" wrapText="1"/>
    </xf>
    <xf numFmtId="168" fontId="33" fillId="3" borderId="93" xfId="0" applyNumberFormat="1" applyFont="1" applyFill="1" applyBorder="1" applyAlignment="1">
      <alignment horizontal="center" vertical="center" wrapText="1"/>
    </xf>
    <xf numFmtId="0" fontId="33" fillId="3" borderId="93" xfId="0" applyFont="1" applyFill="1" applyBorder="1" applyAlignment="1">
      <alignment horizontal="center" vertical="center" wrapText="1"/>
    </xf>
    <xf numFmtId="0" fontId="33" fillId="3" borderId="94" xfId="0" applyFont="1" applyFill="1" applyBorder="1" applyAlignment="1">
      <alignment horizontal="center" vertical="center" wrapText="1"/>
    </xf>
    <xf numFmtId="0" fontId="33" fillId="3" borderId="139" xfId="0" quotePrefix="1" applyFont="1" applyFill="1" applyBorder="1" applyAlignment="1">
      <alignment horizontal="left" vertical="center"/>
    </xf>
    <xf numFmtId="167" fontId="33" fillId="3" borderId="140" xfId="0" applyNumberFormat="1" applyFont="1" applyFill="1" applyBorder="1" applyAlignment="1">
      <alignment horizontal="right" vertical="center"/>
    </xf>
    <xf numFmtId="167" fontId="33" fillId="3" borderId="140" xfId="0" applyNumberFormat="1" applyFont="1" applyFill="1" applyBorder="1" applyAlignment="1">
      <alignment horizontal="left" vertical="center"/>
    </xf>
    <xf numFmtId="0" fontId="33" fillId="3" borderId="140" xfId="2" applyNumberFormat="1" applyFont="1" applyFill="1" applyBorder="1" applyAlignment="1">
      <alignment horizontal="left" vertical="center"/>
    </xf>
    <xf numFmtId="0" fontId="33" fillId="3" borderId="141" xfId="2" applyNumberFormat="1" applyFont="1" applyFill="1" applyBorder="1" applyAlignment="1">
      <alignment horizontal="center" vertical="center"/>
    </xf>
    <xf numFmtId="4" fontId="33" fillId="3" borderId="95" xfId="0" applyNumberFormat="1" applyFont="1" applyFill="1" applyBorder="1" applyAlignment="1">
      <alignment horizontal="center" vertical="center"/>
    </xf>
    <xf numFmtId="0" fontId="33" fillId="3" borderId="95" xfId="0" applyFont="1" applyFill="1" applyBorder="1" applyAlignment="1">
      <alignment horizontal="center" vertical="center"/>
    </xf>
    <xf numFmtId="169" fontId="27" fillId="5" borderId="29" xfId="0" applyNumberFormat="1" applyFont="1" applyFill="1" applyBorder="1" applyAlignment="1">
      <alignment horizontal="center" vertical="center"/>
    </xf>
    <xf numFmtId="166" fontId="27" fillId="5" borderId="24" xfId="2" applyNumberFormat="1" applyFont="1" applyFill="1" applyBorder="1" applyAlignment="1">
      <alignment horizontal="center" vertical="center"/>
    </xf>
    <xf numFmtId="169" fontId="27" fillId="2" borderId="31" xfId="0" applyNumberFormat="1" applyFont="1" applyFill="1" applyBorder="1" applyAlignment="1">
      <alignment horizontal="center" vertical="center"/>
    </xf>
    <xf numFmtId="166" fontId="27" fillId="2" borderId="25" xfId="2" applyNumberFormat="1" applyFont="1" applyFill="1" applyBorder="1" applyAlignment="1">
      <alignment horizontal="center" vertical="center"/>
    </xf>
    <xf numFmtId="169" fontId="27" fillId="5" borderId="31" xfId="0" applyNumberFormat="1" applyFont="1" applyFill="1" applyBorder="1" applyAlignment="1">
      <alignment horizontal="center" vertical="center"/>
    </xf>
    <xf numFmtId="166" fontId="27" fillId="5" borderId="25" xfId="2" applyNumberFormat="1" applyFont="1" applyFill="1" applyBorder="1" applyAlignment="1">
      <alignment horizontal="center" vertical="center"/>
    </xf>
    <xf numFmtId="169" fontId="27" fillId="2" borderId="34" xfId="0" applyNumberFormat="1" applyFont="1" applyFill="1" applyBorder="1" applyAlignment="1">
      <alignment horizontal="center" vertical="center"/>
    </xf>
    <xf numFmtId="166" fontId="27" fillId="2" borderId="26" xfId="2" applyNumberFormat="1" applyFont="1" applyFill="1" applyBorder="1" applyAlignment="1">
      <alignment horizontal="center" vertical="center"/>
    </xf>
    <xf numFmtId="169" fontId="41" fillId="5" borderId="40" xfId="0" applyNumberFormat="1" applyFont="1" applyFill="1" applyBorder="1" applyAlignment="1">
      <alignment horizontal="center" vertical="center"/>
    </xf>
    <xf numFmtId="166" fontId="34" fillId="5" borderId="23" xfId="2" applyNumberFormat="1" applyFont="1" applyFill="1" applyBorder="1" applyAlignment="1">
      <alignment horizontal="center" vertical="center"/>
    </xf>
    <xf numFmtId="0" fontId="38" fillId="2" borderId="0" xfId="0" applyFont="1" applyFill="1" applyAlignment="1">
      <alignment horizontal="left" vertical="center"/>
    </xf>
    <xf numFmtId="4" fontId="0" fillId="0" borderId="0" xfId="0" applyNumberFormat="1" applyAlignment="1">
      <alignment vertical="center"/>
    </xf>
    <xf numFmtId="17" fontId="33" fillId="3" borderId="26" xfId="0" quotePrefix="1" applyNumberFormat="1" applyFont="1" applyFill="1" applyBorder="1" applyAlignment="1">
      <alignment horizontal="center" vertical="center" wrapText="1"/>
    </xf>
    <xf numFmtId="17" fontId="33" fillId="3" borderId="32" xfId="0" quotePrefix="1" applyNumberFormat="1" applyFont="1" applyFill="1" applyBorder="1" applyAlignment="1">
      <alignment horizontal="center" vertical="center" wrapText="1"/>
    </xf>
    <xf numFmtId="4" fontId="0" fillId="0" borderId="0" xfId="0" applyNumberFormat="1" applyAlignment="1">
      <alignment vertical="center" wrapText="1"/>
    </xf>
    <xf numFmtId="169" fontId="0" fillId="0" borderId="0" xfId="0" applyNumberFormat="1" applyAlignment="1">
      <alignment horizontal="center" vertical="center"/>
    </xf>
    <xf numFmtId="10" fontId="21" fillId="4" borderId="57" xfId="2" applyNumberFormat="1" applyFont="1" applyFill="1" applyBorder="1" applyAlignment="1">
      <alignment horizontal="right" vertical="center"/>
    </xf>
    <xf numFmtId="0" fontId="64" fillId="2" borderId="0" xfId="0" quotePrefix="1" applyFont="1" applyFill="1" applyAlignment="1">
      <alignment horizontal="left" vertical="center"/>
    </xf>
    <xf numFmtId="0" fontId="63" fillId="2" borderId="92" xfId="0" applyFont="1" applyFill="1" applyBorder="1" applyAlignment="1">
      <alignment vertical="center" wrapText="1"/>
    </xf>
    <xf numFmtId="0" fontId="37" fillId="3" borderId="96" xfId="0" applyFont="1" applyFill="1" applyBorder="1" applyAlignment="1">
      <alignment horizontal="center" vertical="center" wrapText="1"/>
    </xf>
    <xf numFmtId="0" fontId="37" fillId="3" borderId="97" xfId="0" applyFont="1" applyFill="1" applyBorder="1" applyAlignment="1">
      <alignment horizontal="center" vertical="center" wrapText="1"/>
    </xf>
    <xf numFmtId="169" fontId="31" fillId="5" borderId="24" xfId="0" applyNumberFormat="1" applyFont="1" applyFill="1" applyBorder="1" applyAlignment="1">
      <alignment horizontal="center" vertical="center"/>
    </xf>
    <xf numFmtId="169" fontId="31" fillId="2" borderId="25" xfId="0" applyNumberFormat="1" applyFont="1" applyFill="1" applyBorder="1" applyAlignment="1">
      <alignment horizontal="center" vertical="center"/>
    </xf>
    <xf numFmtId="169" fontId="31" fillId="5" borderId="25" xfId="0" applyNumberFormat="1" applyFont="1" applyFill="1" applyBorder="1" applyAlignment="1">
      <alignment horizontal="center" vertical="center"/>
    </xf>
    <xf numFmtId="169" fontId="31" fillId="2" borderId="26" xfId="0" applyNumberFormat="1" applyFont="1" applyFill="1" applyBorder="1" applyAlignment="1">
      <alignment horizontal="center" vertical="center"/>
    </xf>
    <xf numFmtId="169" fontId="41" fillId="5" borderId="23" xfId="0" applyNumberFormat="1" applyFont="1" applyFill="1" applyBorder="1" applyAlignment="1">
      <alignment horizontal="center" vertical="center"/>
    </xf>
    <xf numFmtId="169" fontId="13" fillId="2" borderId="0" xfId="0" applyNumberFormat="1" applyFont="1" applyFill="1" applyAlignment="1">
      <alignment horizontal="right"/>
    </xf>
    <xf numFmtId="0" fontId="41" fillId="0" borderId="110" xfId="0" applyFont="1" applyBorder="1" applyAlignment="1">
      <alignment vertical="center" wrapText="1"/>
    </xf>
    <xf numFmtId="43" fontId="31" fillId="0" borderId="0" xfId="1" applyFont="1" applyFill="1" applyBorder="1" applyAlignment="1">
      <alignment vertical="center"/>
    </xf>
    <xf numFmtId="43" fontId="31" fillId="0" borderId="109" xfId="1" applyFont="1" applyFill="1" applyBorder="1" applyAlignment="1">
      <alignment vertical="center"/>
    </xf>
    <xf numFmtId="0" fontId="41" fillId="7" borderId="113" xfId="0" applyFont="1" applyFill="1" applyBorder="1" applyAlignment="1">
      <alignment vertical="center"/>
    </xf>
    <xf numFmtId="43" fontId="41" fillId="7" borderId="113" xfId="1" applyFont="1" applyFill="1" applyBorder="1" applyAlignment="1">
      <alignment vertical="center"/>
    </xf>
    <xf numFmtId="43" fontId="41" fillId="7" borderId="114" xfId="1" applyFont="1" applyFill="1" applyBorder="1" applyAlignment="1">
      <alignment vertical="center"/>
    </xf>
    <xf numFmtId="0" fontId="41" fillId="7" borderId="112" xfId="0" applyFont="1" applyFill="1" applyBorder="1" applyAlignment="1">
      <alignment vertical="center"/>
    </xf>
    <xf numFmtId="43" fontId="0" fillId="0" borderId="0" xfId="1" applyFont="1" applyAlignment="1">
      <alignment horizontal="left"/>
    </xf>
    <xf numFmtId="10" fontId="21" fillId="0" borderId="31" xfId="2" applyNumberFormat="1" applyFont="1" applyFill="1" applyBorder="1" applyAlignment="1">
      <alignment horizontal="right" vertical="center"/>
    </xf>
    <xf numFmtId="10" fontId="21" fillId="4" borderId="40" xfId="2" applyNumberFormat="1" applyFont="1" applyFill="1" applyBorder="1" applyAlignment="1">
      <alignment horizontal="right" vertical="center"/>
    </xf>
    <xf numFmtId="49" fontId="65" fillId="0" borderId="0" xfId="0" applyNumberFormat="1" applyFont="1" applyAlignment="1">
      <alignment horizontal="center"/>
    </xf>
    <xf numFmtId="0" fontId="65" fillId="0" borderId="0" xfId="0" applyFont="1"/>
    <xf numFmtId="2" fontId="21" fillId="4" borderId="16" xfId="0" applyNumberFormat="1" applyFont="1" applyFill="1" applyBorder="1" applyAlignment="1">
      <alignment horizontal="right" vertical="center"/>
    </xf>
    <xf numFmtId="0" fontId="64" fillId="0" borderId="88" xfId="0" applyFont="1" applyBorder="1" applyAlignment="1">
      <alignment vertical="center" wrapText="1"/>
    </xf>
    <xf numFmtId="167" fontId="66" fillId="4" borderId="95" xfId="0" applyNumberFormat="1" applyFont="1" applyFill="1" applyBorder="1" applyAlignment="1">
      <alignment horizontal="center" vertical="center" wrapText="1"/>
    </xf>
    <xf numFmtId="0" fontId="66" fillId="4" borderId="95" xfId="0" quotePrefix="1" applyFont="1" applyFill="1" applyBorder="1" applyAlignment="1">
      <alignment vertical="center" wrapText="1"/>
    </xf>
    <xf numFmtId="0" fontId="66" fillId="4" borderId="95" xfId="2" applyNumberFormat="1" applyFont="1" applyFill="1" applyBorder="1" applyAlignment="1">
      <alignment horizontal="center" vertical="center" wrapText="1"/>
    </xf>
    <xf numFmtId="4" fontId="66" fillId="4" borderId="95" xfId="0" applyNumberFormat="1" applyFont="1" applyFill="1" applyBorder="1" applyAlignment="1">
      <alignment horizontal="center" vertical="center" wrapText="1"/>
    </xf>
    <xf numFmtId="0" fontId="66" fillId="4" borderId="95" xfId="0" applyFont="1" applyFill="1" applyBorder="1" applyAlignment="1">
      <alignment horizontal="center" vertical="center" wrapText="1"/>
    </xf>
    <xf numFmtId="0" fontId="68" fillId="2" borderId="95" xfId="0" quotePrefix="1" applyFont="1" applyFill="1" applyBorder="1" applyAlignment="1">
      <alignment vertical="center" wrapText="1"/>
    </xf>
    <xf numFmtId="167" fontId="68" fillId="2" borderId="95" xfId="0" applyNumberFormat="1" applyFont="1" applyFill="1" applyBorder="1" applyAlignment="1">
      <alignment horizontal="center" vertical="center" wrapText="1"/>
    </xf>
    <xf numFmtId="0" fontId="68" fillId="2" borderId="95" xfId="2" applyNumberFormat="1" applyFont="1" applyFill="1" applyBorder="1" applyAlignment="1">
      <alignment horizontal="center" vertical="center" wrapText="1"/>
    </xf>
    <xf numFmtId="4" fontId="68" fillId="2" borderId="95" xfId="0" applyNumberFormat="1" applyFont="1" applyFill="1" applyBorder="1" applyAlignment="1">
      <alignment horizontal="center" vertical="center" wrapText="1"/>
    </xf>
    <xf numFmtId="0" fontId="68" fillId="2" borderId="95" xfId="0" applyFont="1" applyFill="1" applyBorder="1" applyAlignment="1">
      <alignment horizontal="center" vertical="center" wrapText="1"/>
    </xf>
    <xf numFmtId="2" fontId="66" fillId="4" borderId="95" xfId="2" applyNumberFormat="1" applyFont="1" applyFill="1" applyBorder="1" applyAlignment="1">
      <alignment horizontal="center" vertical="center" wrapText="1"/>
    </xf>
    <xf numFmtId="2" fontId="68" fillId="2" borderId="95" xfId="2" applyNumberFormat="1" applyFont="1" applyFill="1" applyBorder="1" applyAlignment="1">
      <alignment horizontal="center" vertical="center" wrapText="1"/>
    </xf>
    <xf numFmtId="173" fontId="66" fillId="4" borderId="95" xfId="0" applyNumberFormat="1" applyFont="1" applyFill="1" applyBorder="1" applyAlignment="1">
      <alignment horizontal="center" vertical="center" wrapText="1"/>
    </xf>
    <xf numFmtId="4" fontId="33" fillId="3" borderId="46" xfId="0" applyNumberFormat="1" applyFont="1" applyFill="1" applyBorder="1" applyAlignment="1">
      <alignment vertical="center"/>
    </xf>
    <xf numFmtId="43" fontId="27" fillId="2" borderId="47" xfId="1" applyFont="1" applyFill="1" applyBorder="1" applyAlignment="1">
      <alignment vertical="center"/>
    </xf>
    <xf numFmtId="43" fontId="27" fillId="2" borderId="47" xfId="0" applyNumberFormat="1" applyFont="1" applyFill="1" applyBorder="1" applyAlignment="1">
      <alignment vertical="center"/>
    </xf>
    <xf numFmtId="43" fontId="27" fillId="4" borderId="47" xfId="0" applyNumberFormat="1" applyFont="1" applyFill="1" applyBorder="1" applyAlignment="1">
      <alignment vertical="center"/>
    </xf>
    <xf numFmtId="43" fontId="27" fillId="2" borderId="51" xfId="0" applyNumberFormat="1" applyFont="1" applyFill="1" applyBorder="1" applyAlignment="1">
      <alignment vertical="center"/>
    </xf>
    <xf numFmtId="0" fontId="31" fillId="11" borderId="0" xfId="0" applyFont="1" applyFill="1"/>
    <xf numFmtId="0" fontId="0" fillId="11" borderId="0" xfId="0" applyFill="1"/>
    <xf numFmtId="0" fontId="70" fillId="0" borderId="0" xfId="0" applyFont="1"/>
    <xf numFmtId="0" fontId="71" fillId="0" borderId="0" xfId="0" applyFont="1"/>
    <xf numFmtId="0" fontId="71" fillId="0" borderId="0" xfId="0" applyFont="1" applyAlignment="1">
      <alignment horizontal="center" vertical="center"/>
    </xf>
    <xf numFmtId="0" fontId="72" fillId="2" borderId="0" xfId="0" applyFont="1" applyFill="1" applyAlignment="1">
      <alignment horizontal="left" vertical="center" wrapText="1"/>
    </xf>
    <xf numFmtId="0" fontId="70" fillId="0" borderId="0" xfId="0" applyFont="1" applyAlignment="1">
      <alignment vertical="center"/>
    </xf>
    <xf numFmtId="4" fontId="63" fillId="4" borderId="92" xfId="0" applyNumberFormat="1" applyFont="1" applyFill="1" applyBorder="1" applyAlignment="1">
      <alignment horizontal="center" vertical="center"/>
    </xf>
    <xf numFmtId="43" fontId="21" fillId="2" borderId="0" xfId="1" applyFont="1" applyFill="1" applyBorder="1" applyAlignment="1">
      <alignment horizontal="right"/>
    </xf>
    <xf numFmtId="43" fontId="21" fillId="0" borderId="38" xfId="1" applyFont="1" applyFill="1" applyBorder="1" applyAlignment="1">
      <alignment horizontal="right" vertical="center"/>
    </xf>
    <xf numFmtId="43" fontId="21" fillId="0" borderId="39" xfId="1" applyFont="1" applyFill="1" applyBorder="1" applyAlignment="1">
      <alignment horizontal="right" vertical="center"/>
    </xf>
    <xf numFmtId="43" fontId="13" fillId="0" borderId="30" xfId="1" applyFont="1" applyFill="1" applyBorder="1" applyAlignment="1">
      <alignment horizontal="right"/>
    </xf>
    <xf numFmtId="43" fontId="13" fillId="0" borderId="31" xfId="1" applyFont="1" applyFill="1" applyBorder="1" applyAlignment="1">
      <alignment horizontal="right"/>
    </xf>
    <xf numFmtId="43" fontId="13" fillId="0" borderId="32" xfId="1" applyFont="1" applyFill="1" applyBorder="1" applyAlignment="1">
      <alignment horizontal="right"/>
    </xf>
    <xf numFmtId="43" fontId="13" fillId="0" borderId="33" xfId="1" applyFont="1" applyFill="1" applyBorder="1" applyAlignment="1">
      <alignment horizontal="right"/>
    </xf>
    <xf numFmtId="43" fontId="13" fillId="0" borderId="34" xfId="1" applyFont="1" applyFill="1" applyBorder="1" applyAlignment="1">
      <alignment horizontal="right"/>
    </xf>
    <xf numFmtId="4" fontId="27" fillId="7" borderId="137" xfId="0" applyNumberFormat="1" applyFont="1" applyFill="1" applyBorder="1" applyAlignment="1">
      <alignment horizontal="center"/>
    </xf>
    <xf numFmtId="0" fontId="32" fillId="0" borderId="143" xfId="0" applyFont="1" applyBorder="1" applyAlignment="1">
      <alignment vertical="center" wrapText="1"/>
    </xf>
    <xf numFmtId="22" fontId="32" fillId="0" borderId="143" xfId="0" applyNumberFormat="1" applyFont="1" applyBorder="1" applyAlignment="1">
      <alignment horizontal="center" vertical="center" wrapText="1"/>
    </xf>
    <xf numFmtId="0" fontId="62" fillId="0" borderId="143" xfId="0" applyFont="1" applyBorder="1" applyAlignment="1">
      <alignment horizontal="justify" vertical="center" wrapText="1"/>
    </xf>
    <xf numFmtId="0" fontId="32" fillId="0" borderId="143" xfId="0" applyFont="1" applyBorder="1" applyAlignment="1">
      <alignment horizontal="center" vertical="center" wrapText="1"/>
    </xf>
    <xf numFmtId="166" fontId="13" fillId="0" borderId="88" xfId="2" applyNumberFormat="1" applyFont="1" applyFill="1" applyBorder="1" applyAlignment="1">
      <alignment horizontal="center" vertical="center"/>
    </xf>
    <xf numFmtId="0" fontId="73" fillId="0" borderId="0" xfId="0" applyFont="1"/>
    <xf numFmtId="2" fontId="73" fillId="0" borderId="0" xfId="0" applyNumberFormat="1" applyFont="1" applyAlignment="1">
      <alignment horizontal="center" vertical="center" wrapText="1"/>
    </xf>
    <xf numFmtId="2" fontId="73" fillId="0" borderId="0" xfId="0" quotePrefix="1" applyNumberFormat="1" applyFont="1" applyAlignment="1">
      <alignment horizontal="center" vertical="center" wrapText="1"/>
    </xf>
    <xf numFmtId="17" fontId="73" fillId="0" borderId="0" xfId="0" quotePrefix="1" applyNumberFormat="1" applyFont="1" applyAlignment="1">
      <alignment horizontal="center" vertical="center" wrapText="1"/>
    </xf>
    <xf numFmtId="0" fontId="73" fillId="0" borderId="0" xfId="0" quotePrefix="1" applyFont="1" applyAlignment="1">
      <alignment horizontal="center" vertical="center" wrapText="1"/>
    </xf>
    <xf numFmtId="2" fontId="73" fillId="0" borderId="0" xfId="0" applyNumberFormat="1" applyFont="1" applyAlignment="1">
      <alignment horizontal="left"/>
    </xf>
    <xf numFmtId="2" fontId="73" fillId="0" borderId="0" xfId="0" applyNumberFormat="1" applyFont="1" applyAlignment="1">
      <alignment horizontal="center"/>
    </xf>
    <xf numFmtId="2" fontId="74" fillId="0" borderId="0" xfId="0" applyNumberFormat="1" applyFont="1" applyAlignment="1">
      <alignment horizontal="center"/>
    </xf>
    <xf numFmtId="174" fontId="73" fillId="0" borderId="0" xfId="0" applyNumberFormat="1" applyFont="1"/>
    <xf numFmtId="43" fontId="73" fillId="0" borderId="0" xfId="1" applyFont="1" applyFill="1" applyBorder="1" applyAlignment="1">
      <alignment horizontal="center"/>
    </xf>
    <xf numFmtId="0" fontId="73" fillId="0" borderId="0" xfId="0" applyFont="1" applyAlignment="1">
      <alignment vertical="top" wrapText="1"/>
    </xf>
    <xf numFmtId="0" fontId="75" fillId="0" borderId="0" xfId="0" applyFont="1"/>
    <xf numFmtId="0" fontId="75" fillId="0" borderId="0" xfId="0" applyFont="1" applyAlignment="1">
      <alignment horizontal="center"/>
    </xf>
    <xf numFmtId="165" fontId="75" fillId="0" borderId="0" xfId="0" applyNumberFormat="1" applyFont="1"/>
    <xf numFmtId="170" fontId="76" fillId="8" borderId="0" xfId="3" applyFont="1" applyFill="1"/>
    <xf numFmtId="171" fontId="76" fillId="8" borderId="0" xfId="3" applyNumberFormat="1" applyFont="1" applyFill="1"/>
    <xf numFmtId="1" fontId="77" fillId="0" borderId="0" xfId="3" applyNumberFormat="1" applyFont="1" applyAlignment="1">
      <alignment horizontal="center"/>
    </xf>
    <xf numFmtId="171" fontId="77" fillId="0" borderId="0" xfId="3" applyNumberFormat="1" applyFont="1" applyAlignment="1">
      <alignment horizontal="center"/>
    </xf>
    <xf numFmtId="2" fontId="78" fillId="0" borderId="0" xfId="3" applyNumberFormat="1" applyFont="1"/>
    <xf numFmtId="2" fontId="78" fillId="0" borderId="0" xfId="3" applyNumberFormat="1" applyFont="1" applyAlignment="1">
      <alignment horizontal="center"/>
    </xf>
    <xf numFmtId="0" fontId="75" fillId="0" borderId="0" xfId="0" applyFont="1" applyAlignment="1">
      <alignment vertical="center"/>
    </xf>
    <xf numFmtId="2" fontId="78" fillId="2" borderId="0" xfId="3" applyNumberFormat="1" applyFont="1" applyFill="1"/>
    <xf numFmtId="2" fontId="79" fillId="0" borderId="0" xfId="0" applyNumberFormat="1" applyFont="1"/>
    <xf numFmtId="2" fontId="80" fillId="0" borderId="0" xfId="4" applyNumberFormat="1" applyFont="1"/>
    <xf numFmtId="0" fontId="63" fillId="4" borderId="92" xfId="2" applyNumberFormat="1" applyFont="1" applyFill="1" applyBorder="1" applyAlignment="1">
      <alignment horizontal="center" vertical="center"/>
    </xf>
    <xf numFmtId="0" fontId="41" fillId="0" borderId="106" xfId="0" applyFont="1" applyBorder="1"/>
    <xf numFmtId="10" fontId="31" fillId="0" borderId="106" xfId="2" applyNumberFormat="1" applyFont="1" applyBorder="1"/>
    <xf numFmtId="10" fontId="31" fillId="0" borderId="107" xfId="2" applyNumberFormat="1" applyFont="1" applyBorder="1"/>
    <xf numFmtId="0" fontId="41" fillId="0" borderId="111" xfId="0" applyFont="1" applyBorder="1" applyAlignment="1">
      <alignment vertical="center" wrapText="1"/>
    </xf>
    <xf numFmtId="0" fontId="31" fillId="0" borderId="111" xfId="0" applyFont="1" applyBorder="1"/>
    <xf numFmtId="43" fontId="64" fillId="0" borderId="88" xfId="1" applyFont="1" applyFill="1" applyBorder="1" applyAlignment="1">
      <alignment vertical="center" wrapText="1"/>
    </xf>
    <xf numFmtId="0" fontId="0" fillId="0" borderId="110" xfId="0" applyBorder="1"/>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17" fontId="15" fillId="0" borderId="0" xfId="0" quotePrefix="1" applyNumberFormat="1" applyFont="1" applyAlignment="1">
      <alignment horizontal="center" vertical="center"/>
    </xf>
    <xf numFmtId="0" fontId="15" fillId="0" borderId="0" xfId="0" applyFont="1" applyAlignment="1">
      <alignment horizontal="center"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34" fillId="5" borderId="38" xfId="0" applyFont="1" applyFill="1" applyBorder="1" applyAlignment="1">
      <alignment horizontal="left" vertical="center"/>
    </xf>
    <xf numFmtId="0" fontId="34" fillId="5" borderId="40" xfId="0" applyFont="1" applyFill="1" applyBorder="1" applyAlignment="1">
      <alignment horizontal="left" vertical="center"/>
    </xf>
    <xf numFmtId="0" fontId="33" fillId="3" borderId="34" xfId="0" applyFont="1" applyFill="1" applyBorder="1" applyAlignment="1">
      <alignment horizontal="center" vertical="center" wrapText="1"/>
    </xf>
    <xf numFmtId="0" fontId="33" fillId="3" borderId="26" xfId="0" applyFont="1" applyFill="1" applyBorder="1" applyAlignment="1">
      <alignment horizontal="center" vertical="center" wrapText="1"/>
    </xf>
    <xf numFmtId="0" fontId="38" fillId="0" borderId="0" xfId="0" applyFont="1" applyAlignment="1">
      <alignment horizontal="left" wrapText="1"/>
    </xf>
    <xf numFmtId="0" fontId="12" fillId="2" borderId="0" xfId="0" applyFont="1" applyFill="1" applyAlignment="1">
      <alignment horizontal="center" vertical="center" wrapText="1"/>
    </xf>
    <xf numFmtId="0" fontId="34" fillId="5" borderId="27" xfId="0" applyFont="1" applyFill="1" applyBorder="1" applyAlignment="1">
      <alignment horizontal="left" vertical="center"/>
    </xf>
    <xf numFmtId="0" fontId="34" fillId="5" borderId="29" xfId="0" applyFont="1" applyFill="1" applyBorder="1" applyAlignment="1">
      <alignment horizontal="left" vertical="center"/>
    </xf>
    <xf numFmtId="0" fontId="34" fillId="2" borderId="30" xfId="0" applyFont="1" applyFill="1" applyBorder="1" applyAlignment="1">
      <alignment horizontal="left" vertical="center"/>
    </xf>
    <xf numFmtId="0" fontId="34" fillId="2" borderId="31" xfId="0" applyFont="1" applyFill="1" applyBorder="1" applyAlignment="1">
      <alignment horizontal="left" vertical="center"/>
    </xf>
    <xf numFmtId="0" fontId="34" fillId="5" borderId="30" xfId="0" applyFont="1" applyFill="1" applyBorder="1" applyAlignment="1">
      <alignment horizontal="left" vertical="center"/>
    </xf>
    <xf numFmtId="0" fontId="34" fillId="5" borderId="31" xfId="0" applyFont="1" applyFill="1" applyBorder="1" applyAlignment="1">
      <alignment horizontal="left" vertical="center"/>
    </xf>
    <xf numFmtId="0" fontId="34" fillId="2" borderId="32" xfId="0" applyFont="1" applyFill="1" applyBorder="1" applyAlignment="1">
      <alignment horizontal="left" vertical="center"/>
    </xf>
    <xf numFmtId="0" fontId="34" fillId="2" borderId="34" xfId="0" applyFont="1" applyFill="1" applyBorder="1" applyAlignment="1">
      <alignment horizontal="left" vertical="center"/>
    </xf>
    <xf numFmtId="0" fontId="64" fillId="2" borderId="0" xfId="0" quotePrefix="1" applyFont="1" applyFill="1" applyAlignment="1">
      <alignment horizontal="left" vertical="center"/>
    </xf>
    <xf numFmtId="0" fontId="64" fillId="2" borderId="0" xfId="0" quotePrefix="1" applyFont="1" applyFill="1" applyAlignment="1">
      <alignment horizontal="left" vertical="center" wrapText="1"/>
    </xf>
    <xf numFmtId="0" fontId="32"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3" borderId="17" xfId="0" quotePrefix="1" applyFont="1" applyFill="1" applyBorder="1" applyAlignment="1">
      <alignment horizontal="left" vertical="center" wrapText="1"/>
    </xf>
    <xf numFmtId="0" fontId="2" fillId="3"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3" borderId="18" xfId="1" applyFont="1" applyFill="1" applyBorder="1" applyAlignment="1">
      <alignment horizontal="center" vertical="center"/>
    </xf>
    <xf numFmtId="17" fontId="2" fillId="3" borderId="18" xfId="0" applyNumberFormat="1" applyFont="1" applyFill="1" applyBorder="1" applyAlignment="1">
      <alignment horizontal="center" vertical="center"/>
    </xf>
    <xf numFmtId="0" fontId="2" fillId="3" borderId="18" xfId="0" applyFont="1" applyFill="1" applyBorder="1" applyAlignment="1">
      <alignment horizontal="center" vertical="center"/>
    </xf>
    <xf numFmtId="0" fontId="2" fillId="3"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3" borderId="23" xfId="1" applyFont="1" applyFill="1" applyBorder="1" applyAlignment="1">
      <alignment horizontal="center" vertical="center"/>
    </xf>
    <xf numFmtId="17" fontId="2" fillId="3" borderId="23" xfId="0" applyNumberFormat="1" applyFont="1" applyFill="1" applyBorder="1" applyAlignment="1">
      <alignment horizontal="center" vertical="center"/>
    </xf>
    <xf numFmtId="0" fontId="2" fillId="3" borderId="23" xfId="0" applyFont="1" applyFill="1" applyBorder="1" applyAlignment="1">
      <alignment horizontal="center" vertical="center"/>
    </xf>
    <xf numFmtId="0" fontId="2" fillId="3"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6" borderId="46" xfId="0" applyFont="1" applyFill="1" applyBorder="1" applyAlignment="1">
      <alignment horizontal="left" vertical="center"/>
    </xf>
    <xf numFmtId="43" fontId="2" fillId="3" borderId="46" xfId="1" applyFont="1" applyFill="1" applyBorder="1" applyAlignment="1">
      <alignment horizontal="center" vertical="center"/>
    </xf>
    <xf numFmtId="0" fontId="2" fillId="3" borderId="46"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138" xfId="0" applyFont="1" applyFill="1" applyBorder="1" applyAlignment="1">
      <alignment horizontal="left" vertical="center" wrapText="1"/>
    </xf>
    <xf numFmtId="0" fontId="13" fillId="2" borderId="0" xfId="0" applyFont="1" applyFill="1" applyAlignment="1">
      <alignment horizontal="left" vertical="center"/>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166" fontId="2" fillId="3" borderId="23" xfId="2" applyNumberFormat="1" applyFont="1" applyFill="1" applyBorder="1" applyAlignment="1">
      <alignment horizontal="center" vertical="center" wrapText="1"/>
    </xf>
    <xf numFmtId="166" fontId="2" fillId="3" borderId="23" xfId="2" applyNumberFormat="1" applyFont="1" applyFill="1" applyBorder="1" applyAlignment="1">
      <alignment horizontal="center" vertical="center"/>
    </xf>
    <xf numFmtId="0" fontId="0" fillId="2" borderId="0" xfId="0" quotePrefix="1" applyFill="1" applyAlignment="1">
      <alignment horizontal="left" vertical="center" wrapText="1"/>
    </xf>
    <xf numFmtId="0" fontId="13" fillId="2" borderId="0" xfId="0" quotePrefix="1" applyFont="1" applyFill="1" applyAlignment="1">
      <alignment horizontal="left" vertical="center" wrapText="1"/>
    </xf>
    <xf numFmtId="0" fontId="4" fillId="0" borderId="0" xfId="0" applyFont="1" applyAlignment="1">
      <alignment horizontal="left" vertical="center" wrapText="1"/>
    </xf>
    <xf numFmtId="0" fontId="2" fillId="6" borderId="58" xfId="0" applyFont="1" applyFill="1" applyBorder="1" applyAlignment="1">
      <alignment horizontal="center" vertical="center" wrapText="1"/>
    </xf>
    <xf numFmtId="0" fontId="2" fillId="6" borderId="60" xfId="0" applyFont="1" applyFill="1" applyBorder="1" applyAlignment="1">
      <alignment horizontal="center" vertical="center" wrapText="1"/>
    </xf>
    <xf numFmtId="43" fontId="2" fillId="3" borderId="58" xfId="1" applyFont="1" applyFill="1" applyBorder="1" applyAlignment="1">
      <alignment horizontal="center" vertical="center" wrapText="1"/>
    </xf>
    <xf numFmtId="0" fontId="2" fillId="3" borderId="58" xfId="0" applyFont="1" applyFill="1" applyBorder="1" applyAlignment="1">
      <alignment horizontal="center" vertical="center"/>
    </xf>
    <xf numFmtId="0" fontId="2" fillId="3" borderId="59" xfId="0" applyFont="1" applyFill="1" applyBorder="1" applyAlignment="1">
      <alignment horizontal="center" vertical="center"/>
    </xf>
    <xf numFmtId="0" fontId="21" fillId="2" borderId="0" xfId="0" applyFont="1" applyFill="1" applyAlignment="1">
      <alignment horizontal="center" vertical="top"/>
    </xf>
    <xf numFmtId="0" fontId="2" fillId="3" borderId="61" xfId="0" applyFont="1" applyFill="1" applyBorder="1" applyAlignment="1">
      <alignment horizontal="center" vertical="center"/>
    </xf>
    <xf numFmtId="0" fontId="4" fillId="2" borderId="0" xfId="0" applyFont="1" applyFill="1" applyAlignment="1">
      <alignment horizontal="left" vertical="center"/>
    </xf>
    <xf numFmtId="0" fontId="35"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8" fillId="2" borderId="0" xfId="0" applyNumberFormat="1" applyFont="1" applyFill="1" applyAlignment="1">
      <alignment horizontal="left" vertical="center" wrapText="1"/>
    </xf>
    <xf numFmtId="2" fontId="38" fillId="2" borderId="0" xfId="0" applyNumberFormat="1" applyFont="1" applyFill="1" applyAlignment="1">
      <alignment horizontal="left" vertical="center"/>
    </xf>
    <xf numFmtId="2" fontId="38" fillId="2" borderId="143" xfId="0" applyNumberFormat="1" applyFont="1" applyFill="1" applyBorder="1" applyAlignment="1">
      <alignment horizontal="left" vertical="center" wrapText="1"/>
    </xf>
    <xf numFmtId="0" fontId="11" fillId="2" borderId="0" xfId="0" applyFont="1" applyFill="1" applyAlignment="1">
      <alignment horizontal="left" vertical="center"/>
    </xf>
    <xf numFmtId="0" fontId="64" fillId="0" borderId="100" xfId="0" applyFont="1" applyBorder="1" applyAlignment="1">
      <alignment horizontal="center" vertical="center"/>
    </xf>
    <xf numFmtId="0" fontId="64" fillId="0" borderId="101" xfId="0" applyFont="1" applyBorder="1" applyAlignment="1">
      <alignment horizontal="center" vertical="center"/>
    </xf>
    <xf numFmtId="0" fontId="64" fillId="0" borderId="102" xfId="0" applyFont="1" applyBorder="1" applyAlignment="1">
      <alignment horizontal="center" vertical="center"/>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8" fillId="2" borderId="0" xfId="0" applyFont="1" applyFill="1" applyAlignment="1">
      <alignment wrapText="1"/>
    </xf>
    <xf numFmtId="0" fontId="39" fillId="2" borderId="0" xfId="0" quotePrefix="1" applyFont="1" applyFill="1" applyAlignment="1">
      <alignment horizontal="center" vertical="center" wrapText="1"/>
    </xf>
    <xf numFmtId="0" fontId="39" fillId="2" borderId="0" xfId="0" applyFont="1" applyFill="1" applyAlignment="1">
      <alignment horizontal="center"/>
    </xf>
    <xf numFmtId="0" fontId="38" fillId="2" borderId="0" xfId="0" applyFont="1" applyFill="1" applyAlignment="1">
      <alignment vertical="center" wrapText="1"/>
    </xf>
    <xf numFmtId="43" fontId="37" fillId="3" borderId="96" xfId="1" applyFont="1" applyFill="1" applyBorder="1" applyAlignment="1">
      <alignment horizontal="center" vertical="center" wrapText="1"/>
    </xf>
    <xf numFmtId="43" fontId="37" fillId="3" borderId="9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98" xfId="0" applyFont="1" applyFill="1" applyBorder="1" applyAlignment="1">
      <alignment horizontal="left" vertical="center"/>
    </xf>
    <xf numFmtId="0" fontId="42" fillId="2" borderId="0" xfId="0" quotePrefix="1" applyFont="1" applyFill="1" applyAlignment="1">
      <alignment horizontal="left" vertical="center" wrapText="1"/>
    </xf>
    <xf numFmtId="0" fontId="38" fillId="2" borderId="99" xfId="0" quotePrefix="1" applyFont="1" applyFill="1" applyBorder="1" applyAlignment="1">
      <alignment horizontal="left"/>
    </xf>
    <xf numFmtId="0" fontId="33" fillId="9" borderId="115" xfId="5" applyFont="1" applyFill="1" applyBorder="1" applyAlignment="1">
      <alignment horizontal="center" vertical="center"/>
    </xf>
    <xf numFmtId="0" fontId="33" fillId="9" borderId="118" xfId="5" applyFont="1" applyFill="1" applyBorder="1" applyAlignment="1">
      <alignment horizontal="center" vertical="center"/>
    </xf>
    <xf numFmtId="0" fontId="33" fillId="9" borderId="120" xfId="5" applyFont="1" applyFill="1" applyBorder="1" applyAlignment="1">
      <alignment horizontal="center" vertical="center"/>
    </xf>
    <xf numFmtId="0" fontId="33" fillId="9" borderId="116" xfId="5" applyFont="1" applyFill="1" applyBorder="1" applyAlignment="1">
      <alignment horizontal="center" vertical="center"/>
    </xf>
    <xf numFmtId="0" fontId="33" fillId="9" borderId="103" xfId="5" applyFont="1" applyFill="1" applyBorder="1" applyAlignment="1">
      <alignment horizontal="center" vertical="center"/>
    </xf>
    <xf numFmtId="0" fontId="33" fillId="9" borderId="121" xfId="5" applyFont="1" applyFill="1" applyBorder="1" applyAlignment="1">
      <alignment horizontal="center" vertical="center"/>
    </xf>
    <xf numFmtId="17" fontId="33" fillId="9" borderId="116" xfId="0" applyNumberFormat="1" applyFont="1" applyFill="1" applyBorder="1" applyAlignment="1">
      <alignment horizontal="center" vertical="center"/>
    </xf>
    <xf numFmtId="0" fontId="33" fillId="9" borderId="103" xfId="0" applyFont="1" applyFill="1" applyBorder="1" applyAlignment="1">
      <alignment horizontal="center" vertical="center"/>
    </xf>
    <xf numFmtId="0" fontId="33" fillId="9" borderId="44" xfId="5" applyFont="1" applyFill="1" applyBorder="1" applyAlignment="1">
      <alignment horizontal="center" vertical="center" wrapText="1"/>
    </xf>
    <xf numFmtId="0" fontId="33" fillId="9" borderId="104" xfId="5" applyFont="1" applyFill="1" applyBorder="1" applyAlignment="1">
      <alignment horizontal="center" vertical="center" wrapText="1"/>
    </xf>
    <xf numFmtId="0" fontId="33" fillId="9" borderId="45" xfId="5" applyFont="1" applyFill="1" applyBorder="1" applyAlignment="1">
      <alignment horizontal="center" vertical="center"/>
    </xf>
    <xf numFmtId="0" fontId="33" fillId="9" borderId="105" xfId="5" applyFont="1" applyFill="1" applyBorder="1" applyAlignment="1">
      <alignment horizontal="center" vertical="center"/>
    </xf>
    <xf numFmtId="0" fontId="33" fillId="9" borderId="44" xfId="5" applyFont="1" applyFill="1" applyBorder="1" applyAlignment="1">
      <alignment horizontal="center" vertical="center"/>
    </xf>
    <xf numFmtId="0" fontId="31" fillId="0" borderId="0" xfId="0" applyFont="1" applyAlignment="1">
      <alignment horizontal="left" vertical="center" wrapText="1"/>
    </xf>
    <xf numFmtId="0" fontId="33" fillId="10" borderId="134" xfId="6" applyFont="1" applyFill="1" applyBorder="1" applyAlignment="1">
      <alignment horizontal="center" vertical="center"/>
    </xf>
    <xf numFmtId="0" fontId="33" fillId="10" borderId="129" xfId="6" applyFont="1" applyFill="1" applyBorder="1" applyAlignment="1">
      <alignment horizontal="center" vertical="center"/>
    </xf>
    <xf numFmtId="0" fontId="33" fillId="10" borderId="131" xfId="6" applyFont="1" applyFill="1" applyBorder="1" applyAlignment="1">
      <alignment horizontal="center" vertical="center"/>
    </xf>
    <xf numFmtId="0" fontId="33" fillId="10" borderId="135" xfId="6" applyFont="1" applyFill="1" applyBorder="1" applyAlignment="1">
      <alignment horizontal="center" vertical="center"/>
    </xf>
    <xf numFmtId="0" fontId="33" fillId="10" borderId="46" xfId="6" applyFont="1" applyFill="1" applyBorder="1" applyAlignment="1">
      <alignment horizontal="center" vertical="center"/>
    </xf>
    <xf numFmtId="0" fontId="33" fillId="10" borderId="132" xfId="6" applyFont="1" applyFill="1" applyBorder="1" applyAlignment="1">
      <alignment horizontal="center" vertical="center"/>
    </xf>
    <xf numFmtId="0" fontId="33" fillId="10" borderId="136" xfId="6" applyFont="1" applyFill="1" applyBorder="1" applyAlignment="1">
      <alignment horizontal="center" vertical="center"/>
    </xf>
    <xf numFmtId="0" fontId="43" fillId="9" borderId="137" xfId="0" applyFont="1" applyFill="1" applyBorder="1" applyAlignment="1">
      <alignment horizontal="center" vertical="center"/>
    </xf>
    <xf numFmtId="173" fontId="43" fillId="9" borderId="137" xfId="0" applyNumberFormat="1" applyFont="1" applyFill="1" applyBorder="1" applyAlignment="1">
      <alignment horizontal="center"/>
    </xf>
  </cellXfs>
  <cellStyles count="7">
    <cellStyle name="Millares" xfId="1" builtinId="3"/>
    <cellStyle name="Normal" xfId="0" builtinId="0"/>
    <cellStyle name="Normal 394" xfId="5" xr:uid="{20F017A2-A5CF-4C90-873A-45E94F6F1D38}"/>
    <cellStyle name="Normal 395" xfId="6" xr:uid="{85C46510-A56A-439F-B701-E38F8B2E204D}"/>
    <cellStyle name="Normal 96" xfId="4" xr:uid="{79FF1D4C-E32C-438C-BAF8-94F9B636AC66}"/>
    <cellStyle name="Normal_Informe Semanal 52_2011 2" xfId="3" xr:uid="{5F2BE7A9-E3A1-4808-9CDC-4272CDC86064}"/>
    <cellStyle name="Porcentaje" xfId="2" builtinId="5"/>
  </cellStyles>
  <dxfs count="2">
    <dxf>
      <font>
        <color rgb="FF9C0006"/>
      </font>
    </dxf>
    <dxf>
      <font>
        <color rgb="FF9C0006"/>
      </font>
    </dxf>
  </dxfs>
  <tableStyles count="0" defaultTableStyle="TableStyleMedium2" defaultPivotStyle="PivotStyleLight16"/>
  <colors>
    <mruColors>
      <color rgb="FFA3A3A3"/>
      <color rgb="FF9B9B9B"/>
      <color rgb="FF6DA6D9"/>
      <color rgb="FFFF6600"/>
      <color rgb="FF583B00"/>
      <color rgb="FF996600"/>
      <color rgb="FF376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3762AF"/>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2099269344217832E-2"/>
                  <c:y val="1.7641048233681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1997.8919180625003</c:v>
                </c:pt>
                <c:pt idx="1">
                  <c:v>1984.3622375425005</c:v>
                </c:pt>
                <c:pt idx="2">
                  <c:v>10.7779047775</c:v>
                </c:pt>
                <c:pt idx="3">
                  <c:v>16.255491232499999</c:v>
                </c:pt>
                <c:pt idx="4">
                  <c:v>11.030120595</c:v>
                </c:pt>
                <c:pt idx="5">
                  <c:v>130.32940518999999</c:v>
                </c:pt>
                <c:pt idx="6">
                  <c:v>49.3644935425</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1984.3622375425005</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10.7779047775</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16.255491232499999</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11.030120595</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130.32940518999999</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49.3644935425</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RER'!$L$25:$L$29</c:f>
              <c:strCache>
                <c:ptCount val="5"/>
                <c:pt idx="0">
                  <c:v>C.E. WAYRA I</c:v>
                </c:pt>
                <c:pt idx="1">
                  <c:v>C.E. TRES HERMANAS</c:v>
                </c:pt>
                <c:pt idx="2">
                  <c:v>C.E. CUPISNIQUE</c:v>
                </c:pt>
                <c:pt idx="3">
                  <c:v>C.E. MARCONA</c:v>
                </c:pt>
                <c:pt idx="4">
                  <c:v>C.E. TALARA</c:v>
                </c:pt>
              </c:strCache>
            </c:strRef>
          </c:cat>
          <c:val>
            <c:numRef>
              <c:f>'6. FP RER'!$O$25:$O$29</c:f>
              <c:numCache>
                <c:formatCode>0.00</c:formatCode>
                <c:ptCount val="5"/>
                <c:pt idx="0">
                  <c:v>48.117333827499998</c:v>
                </c:pt>
                <c:pt idx="1">
                  <c:v>38.870344745000004</c:v>
                </c:pt>
                <c:pt idx="2">
                  <c:v>19.139012805</c:v>
                </c:pt>
                <c:pt idx="3">
                  <c:v>12.829955142500001</c:v>
                </c:pt>
                <c:pt idx="4">
                  <c:v>11.37275867</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RER'!$L$25:$L$29</c:f>
              <c:strCache>
                <c:ptCount val="5"/>
                <c:pt idx="0">
                  <c:v>C.E. WAYRA I</c:v>
                </c:pt>
                <c:pt idx="1">
                  <c:v>C.E. TRES HERMANAS</c:v>
                </c:pt>
                <c:pt idx="2">
                  <c:v>C.E. CUPISNIQUE</c:v>
                </c:pt>
                <c:pt idx="3">
                  <c:v>C.E. MARCONA</c:v>
                </c:pt>
                <c:pt idx="4">
                  <c:v>C.E. TALARA</c:v>
                </c:pt>
              </c:strCache>
            </c:strRef>
          </c:cat>
          <c:val>
            <c:numRef>
              <c:f>'6. FP RER'!$P$25:$P$29</c:f>
              <c:numCache>
                <c:formatCode>0.00</c:formatCode>
                <c:ptCount val="5"/>
                <c:pt idx="0">
                  <c:v>0.50513703942533794</c:v>
                </c:pt>
                <c:pt idx="1">
                  <c:v>0.55570344748956357</c:v>
                </c:pt>
                <c:pt idx="2">
                  <c:v>0.31968685783724188</c:v>
                </c:pt>
                <c:pt idx="3">
                  <c:v>0.55685569194878481</c:v>
                </c:pt>
                <c:pt idx="4">
                  <c:v>0.51184375090012235</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3019344804E-2"/>
          <c:y val="0.14375424768335157"/>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RER'!$L$30:$L$36</c:f>
              <c:strCache>
                <c:ptCount val="7"/>
                <c:pt idx="0">
                  <c:v>C.S. RUBI</c:v>
                </c:pt>
                <c:pt idx="1">
                  <c:v>C.S. INTIPAMPA</c:v>
                </c:pt>
                <c:pt idx="2">
                  <c:v>C.S. PANAMERICANA SOLAR</c:v>
                </c:pt>
                <c:pt idx="3">
                  <c:v>C.S. MAJES SOLAR</c:v>
                </c:pt>
                <c:pt idx="4">
                  <c:v>C.S. MOQUEGUA FV</c:v>
                </c:pt>
                <c:pt idx="5">
                  <c:v>C.S. REPARTICION</c:v>
                </c:pt>
                <c:pt idx="6">
                  <c:v>C.S. TACNA SOLAR</c:v>
                </c:pt>
              </c:strCache>
            </c:strRef>
          </c:cat>
          <c:val>
            <c:numRef>
              <c:f>'6. FP RER'!$O$30:$O$36</c:f>
              <c:numCache>
                <c:formatCode>0.00</c:formatCode>
                <c:ptCount val="7"/>
                <c:pt idx="0">
                  <c:v>27.491193770000002</c:v>
                </c:pt>
                <c:pt idx="1">
                  <c:v>6.4170684225000008</c:v>
                </c:pt>
                <c:pt idx="2">
                  <c:v>3.4265142500000003</c:v>
                </c:pt>
                <c:pt idx="3">
                  <c:v>3.2094846449999999</c:v>
                </c:pt>
                <c:pt idx="4">
                  <c:v>3.2058893474999999</c:v>
                </c:pt>
                <c:pt idx="5">
                  <c:v>3.12937362</c:v>
                </c:pt>
                <c:pt idx="6">
                  <c:v>2.4849694874999999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RER'!$L$30:$L$36</c:f>
              <c:strCache>
                <c:ptCount val="7"/>
                <c:pt idx="0">
                  <c:v>C.S. RUBI</c:v>
                </c:pt>
                <c:pt idx="1">
                  <c:v>C.S. INTIPAMPA</c:v>
                </c:pt>
                <c:pt idx="2">
                  <c:v>C.S. PANAMERICANA SOLAR</c:v>
                </c:pt>
                <c:pt idx="3">
                  <c:v>C.S. MAJES SOLAR</c:v>
                </c:pt>
                <c:pt idx="4">
                  <c:v>C.S. MOQUEGUA FV</c:v>
                </c:pt>
                <c:pt idx="5">
                  <c:v>C.S. REPARTICION</c:v>
                </c:pt>
                <c:pt idx="6">
                  <c:v>C.S. TACNA SOLAR</c:v>
                </c:pt>
              </c:strCache>
            </c:strRef>
          </c:cat>
          <c:val>
            <c:numRef>
              <c:f>'6. FP RER'!$P$30:$P$36</c:f>
              <c:numCache>
                <c:formatCode>0.00</c:formatCode>
                <c:ptCount val="7"/>
                <c:pt idx="0">
                  <c:v>0.26427334973314265</c:v>
                </c:pt>
                <c:pt idx="1">
                  <c:v>0.20010316639537493</c:v>
                </c:pt>
                <c:pt idx="2">
                  <c:v>0.23795237847222223</c:v>
                </c:pt>
                <c:pt idx="3">
                  <c:v>0.22288087812499999</c:v>
                </c:pt>
                <c:pt idx="4">
                  <c:v>0.27828900585937499</c:v>
                </c:pt>
                <c:pt idx="5">
                  <c:v>0.21731761249999998</c:v>
                </c:pt>
                <c:pt idx="6">
                  <c:v>0.17256732552083334</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RER'!$L$37:$L$39</c:f>
              <c:strCache>
                <c:ptCount val="3"/>
                <c:pt idx="0">
                  <c:v>C.T. PARAMONGA</c:v>
                </c:pt>
                <c:pt idx="1">
                  <c:v>C.T. HUAYCOLORO</c:v>
                </c:pt>
                <c:pt idx="2">
                  <c:v>C.T. LA GRINGA</c:v>
                </c:pt>
              </c:strCache>
            </c:strRef>
          </c:cat>
          <c:val>
            <c:numRef>
              <c:f>'6. FP RER'!$O$37:$O$39</c:f>
              <c:numCache>
                <c:formatCode>0.00</c:formatCode>
                <c:ptCount val="3"/>
                <c:pt idx="0">
                  <c:v>8.1191125700000004</c:v>
                </c:pt>
                <c:pt idx="1">
                  <c:v>2.8183070749999999</c:v>
                </c:pt>
                <c:pt idx="2">
                  <c:v>0</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bg2">
                  <a:lumMod val="50000"/>
                </a:schemeClr>
              </a:solidFill>
            </a:ln>
          </c:spPr>
          <c:marker>
            <c:symbol val="diamond"/>
            <c:size val="8"/>
            <c:spPr>
              <a:solidFill>
                <a:schemeClr val="accent6">
                  <a:lumMod val="50000"/>
                </a:schemeClr>
              </a:solidFill>
              <a:ln>
                <a:solidFill>
                  <a:schemeClr val="bg1"/>
                </a:solidFill>
              </a:ln>
            </c:spPr>
          </c:marker>
          <c:cat>
            <c:strRef>
              <c:f>'6. FP RER'!$L$37:$L$39</c:f>
              <c:strCache>
                <c:ptCount val="3"/>
                <c:pt idx="0">
                  <c:v>C.T. PARAMONGA</c:v>
                </c:pt>
                <c:pt idx="1">
                  <c:v>C.T. HUAYCOLORO</c:v>
                </c:pt>
                <c:pt idx="2">
                  <c:v>C.T. LA GRINGA</c:v>
                </c:pt>
              </c:strCache>
            </c:strRef>
          </c:cat>
          <c:val>
            <c:numRef>
              <c:f>'6. FP RER'!$P$37:$P$39</c:f>
              <c:numCache>
                <c:formatCode>0.00</c:formatCode>
                <c:ptCount val="3"/>
                <c:pt idx="0">
                  <c:v>0.88505619522026158</c:v>
                </c:pt>
                <c:pt idx="1">
                  <c:v>0.91831445910720078</c:v>
                </c:pt>
                <c:pt idx="2">
                  <c:v>0</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5027906117051852"/>
          <c:h val="0.35757584321786989"/>
        </c:manualLayout>
      </c:layout>
      <c:barChart>
        <c:barDir val="col"/>
        <c:grouping val="clustered"/>
        <c:varyColors val="0"/>
        <c:ser>
          <c:idx val="1"/>
          <c:order val="0"/>
          <c:tx>
            <c:strRef>
              <c:f>'6. FP RER'!$U$5</c:f>
              <c:strCache>
                <c:ptCount val="1"/>
                <c:pt idx="0">
                  <c:v>2018</c:v>
                </c:pt>
              </c:strCache>
            </c:strRef>
          </c:tx>
          <c:spPr>
            <a:solidFill>
              <a:schemeClr val="accent1"/>
            </a:solidFill>
          </c:spPr>
          <c:invertIfNegative val="0"/>
          <c:cat>
            <c:multiLvlStrRef>
              <c:f>'6. FP RER'!$S$6:$T$39</c:f>
              <c:multiLvlStrCache>
                <c:ptCount val="34"/>
                <c:lvl>
                  <c:pt idx="0">
                    <c:v>C.H. RENOVANDES H1</c:v>
                  </c:pt>
                  <c:pt idx="1">
                    <c:v>C.H. YARUCAYA</c:v>
                  </c:pt>
                  <c:pt idx="2">
                    <c:v>C.H. RONCADOR</c:v>
                  </c:pt>
                  <c:pt idx="3">
                    <c:v>C.H. RUNATULLO III</c:v>
                  </c:pt>
                  <c:pt idx="4">
                    <c:v>C.H. CARHUAQUERO IV</c:v>
                  </c:pt>
                  <c:pt idx="5">
                    <c:v>C.H. YANAPAMPA</c:v>
                  </c:pt>
                  <c:pt idx="6">
                    <c:v>C.H. CANCHAYLLO</c:v>
                  </c:pt>
                  <c:pt idx="7">
                    <c:v>C.H. LA JOYA</c:v>
                  </c:pt>
                  <c:pt idx="8">
                    <c:v>C.H. LAS PIZARRAS</c:v>
                  </c:pt>
                  <c:pt idx="9">
                    <c:v>C.H. HUASAHUASI II</c:v>
                  </c:pt>
                  <c:pt idx="10">
                    <c:v>C.H. HUASAHUASI I</c:v>
                  </c:pt>
                  <c:pt idx="11">
                    <c:v>C.H. CAÑA BRAVA</c:v>
                  </c:pt>
                  <c:pt idx="12">
                    <c:v>C.H. POECHOS II</c:v>
                  </c:pt>
                  <c:pt idx="13">
                    <c:v>C.H. IMPERIAL</c:v>
                  </c:pt>
                  <c:pt idx="14">
                    <c:v>C.H. POTRERO</c:v>
                  </c:pt>
                  <c:pt idx="15">
                    <c:v>C.H. RUNATULLO II</c:v>
                  </c:pt>
                  <c:pt idx="16">
                    <c:v>C.H. SANTA CRUZ II</c:v>
                  </c:pt>
                  <c:pt idx="17">
                    <c:v>C.H. SANTA CRUZ I</c:v>
                  </c:pt>
                  <c:pt idx="18">
                    <c:v>C.H. PURMACANA</c:v>
                  </c:pt>
                  <c:pt idx="19">
                    <c:v>C.E. WAYRA I</c:v>
                  </c:pt>
                  <c:pt idx="20">
                    <c:v>C.E. TRES HERMANAS</c:v>
                  </c:pt>
                  <c:pt idx="21">
                    <c:v>C.E. MARCONA</c:v>
                  </c:pt>
                  <c:pt idx="22">
                    <c:v>C.E. TALARA</c:v>
                  </c:pt>
                  <c:pt idx="23">
                    <c:v>C.E. CUPISNIQUE</c:v>
                  </c:pt>
                  <c:pt idx="24">
                    <c:v>C.S. MOQUEGUA FV</c:v>
                  </c:pt>
                  <c:pt idx="25">
                    <c:v>C.S. PANAMERICANA SOLAR</c:v>
                  </c:pt>
                  <c:pt idx="26">
                    <c:v>C.S. TACNA SOLAR</c:v>
                  </c:pt>
                  <c:pt idx="27">
                    <c:v>C.S. INTIPAMPA</c:v>
                  </c:pt>
                  <c:pt idx="28">
                    <c:v>C.S. RUBI</c:v>
                  </c:pt>
                  <c:pt idx="29">
                    <c:v>C.S. MAJES SOLAR</c:v>
                  </c:pt>
                  <c:pt idx="30">
                    <c:v>C.S. REPARTICION</c:v>
                  </c:pt>
                  <c:pt idx="31">
                    <c:v>C.T. HUAYCOLORO</c:v>
                  </c:pt>
                  <c:pt idx="32">
                    <c:v>C.T. PARAMONGA</c:v>
                  </c:pt>
                  <c:pt idx="33">
                    <c:v>C.T. LA GRINGA</c:v>
                  </c:pt>
                </c:lvl>
                <c:lvl>
                  <c:pt idx="0">
                    <c:v>AGUA</c:v>
                  </c:pt>
                  <c:pt idx="19">
                    <c:v>EOLICA</c:v>
                  </c:pt>
                  <c:pt idx="24">
                    <c:v>SOLAR</c:v>
                  </c:pt>
                  <c:pt idx="31">
                    <c:v>BIOMASA</c:v>
                  </c:pt>
                </c:lvl>
              </c:multiLvlStrCache>
            </c:multiLvlStrRef>
          </c:cat>
          <c:val>
            <c:numRef>
              <c:f>'6. FP RER'!$U$6:$U$39</c:f>
              <c:numCache>
                <c:formatCode>0.000</c:formatCode>
                <c:ptCount val="34"/>
                <c:pt idx="0">
                  <c:v>1</c:v>
                </c:pt>
                <c:pt idx="1">
                  <c:v>1</c:v>
                </c:pt>
                <c:pt idx="2">
                  <c:v>1</c:v>
                </c:pt>
                <c:pt idx="3">
                  <c:v>0.94004692450001104</c:v>
                </c:pt>
                <c:pt idx="4">
                  <c:v>0.93177706895691381</c:v>
                </c:pt>
                <c:pt idx="5">
                  <c:v>0.92485197803925911</c:v>
                </c:pt>
                <c:pt idx="6">
                  <c:v>0.92091094074907709</c:v>
                </c:pt>
                <c:pt idx="7">
                  <c:v>0.91210620638931794</c:v>
                </c:pt>
                <c:pt idx="8">
                  <c:v>0.89521466973438768</c:v>
                </c:pt>
                <c:pt idx="9">
                  <c:v>0.86209954063528194</c:v>
                </c:pt>
                <c:pt idx="10">
                  <c:v>0.85079164925540574</c:v>
                </c:pt>
                <c:pt idx="11">
                  <c:v>0.82706626190395005</c:v>
                </c:pt>
                <c:pt idx="12">
                  <c:v>0.8147972605580347</c:v>
                </c:pt>
                <c:pt idx="13">
                  <c:v>0.81353149803108282</c:v>
                </c:pt>
                <c:pt idx="14">
                  <c:v>0.77827952385662202</c:v>
                </c:pt>
                <c:pt idx="15">
                  <c:v>0.74903970729881086</c:v>
                </c:pt>
                <c:pt idx="16">
                  <c:v>0.72151113961563096</c:v>
                </c:pt>
                <c:pt idx="17">
                  <c:v>0.69896172938380075</c:v>
                </c:pt>
                <c:pt idx="18">
                  <c:v>0.20713906075736385</c:v>
                </c:pt>
                <c:pt idx="19">
                  <c:v>0.87717510995461923</c:v>
                </c:pt>
                <c:pt idx="20">
                  <c:v>0.62967444406018092</c:v>
                </c:pt>
                <c:pt idx="21">
                  <c:v>0.60594991108425422</c:v>
                </c:pt>
                <c:pt idx="22">
                  <c:v>0.47212631368763947</c:v>
                </c:pt>
                <c:pt idx="23">
                  <c:v>0.44090602833138981</c:v>
                </c:pt>
                <c:pt idx="24">
                  <c:v>0.36370993770142723</c:v>
                </c:pt>
                <c:pt idx="25">
                  <c:v>0.31668357176565382</c:v>
                </c:pt>
                <c:pt idx="26">
                  <c:v>0.30338029604051564</c:v>
                </c:pt>
                <c:pt idx="27">
                  <c:v>0.2951186994581893</c:v>
                </c:pt>
                <c:pt idx="28">
                  <c:v>0.29481349981398813</c:v>
                </c:pt>
                <c:pt idx="29">
                  <c:v>0.2790377921270718</c:v>
                </c:pt>
                <c:pt idx="30">
                  <c:v>0.24963172859116017</c:v>
                </c:pt>
                <c:pt idx="31">
                  <c:v>1</c:v>
                </c:pt>
                <c:pt idx="32">
                  <c:v>0.91247355666440699</c:v>
                </c:pt>
                <c:pt idx="33">
                  <c:v>0.45569663994330922</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2017</c:v>
                </c:pt>
              </c:strCache>
            </c:strRef>
          </c:tx>
          <c:spPr>
            <a:solidFill>
              <a:schemeClr val="accent2"/>
            </a:solidFill>
          </c:spPr>
          <c:invertIfNegative val="0"/>
          <c:cat>
            <c:multiLvlStrRef>
              <c:f>'6. FP RER'!$S$6:$T$39</c:f>
              <c:multiLvlStrCache>
                <c:ptCount val="34"/>
                <c:lvl>
                  <c:pt idx="0">
                    <c:v>C.H. RENOVANDES H1</c:v>
                  </c:pt>
                  <c:pt idx="1">
                    <c:v>C.H. YARUCAYA</c:v>
                  </c:pt>
                  <c:pt idx="2">
                    <c:v>C.H. RONCADOR</c:v>
                  </c:pt>
                  <c:pt idx="3">
                    <c:v>C.H. RUNATULLO III</c:v>
                  </c:pt>
                  <c:pt idx="4">
                    <c:v>C.H. CARHUAQUERO IV</c:v>
                  </c:pt>
                  <c:pt idx="5">
                    <c:v>C.H. YANAPAMPA</c:v>
                  </c:pt>
                  <c:pt idx="6">
                    <c:v>C.H. CANCHAYLLO</c:v>
                  </c:pt>
                  <c:pt idx="7">
                    <c:v>C.H. LA JOYA</c:v>
                  </c:pt>
                  <c:pt idx="8">
                    <c:v>C.H. LAS PIZARRAS</c:v>
                  </c:pt>
                  <c:pt idx="9">
                    <c:v>C.H. HUASAHUASI II</c:v>
                  </c:pt>
                  <c:pt idx="10">
                    <c:v>C.H. HUASAHUASI I</c:v>
                  </c:pt>
                  <c:pt idx="11">
                    <c:v>C.H. CAÑA BRAVA</c:v>
                  </c:pt>
                  <c:pt idx="12">
                    <c:v>C.H. POECHOS II</c:v>
                  </c:pt>
                  <c:pt idx="13">
                    <c:v>C.H. IMPERIAL</c:v>
                  </c:pt>
                  <c:pt idx="14">
                    <c:v>C.H. POTRERO</c:v>
                  </c:pt>
                  <c:pt idx="15">
                    <c:v>C.H. RUNATULLO II</c:v>
                  </c:pt>
                  <c:pt idx="16">
                    <c:v>C.H. SANTA CRUZ II</c:v>
                  </c:pt>
                  <c:pt idx="17">
                    <c:v>C.H. SANTA CRUZ I</c:v>
                  </c:pt>
                  <c:pt idx="18">
                    <c:v>C.H. PURMACANA</c:v>
                  </c:pt>
                  <c:pt idx="19">
                    <c:v>C.E. WAYRA I</c:v>
                  </c:pt>
                  <c:pt idx="20">
                    <c:v>C.E. TRES HERMANAS</c:v>
                  </c:pt>
                  <c:pt idx="21">
                    <c:v>C.E. MARCONA</c:v>
                  </c:pt>
                  <c:pt idx="22">
                    <c:v>C.E. TALARA</c:v>
                  </c:pt>
                  <c:pt idx="23">
                    <c:v>C.E. CUPISNIQUE</c:v>
                  </c:pt>
                  <c:pt idx="24">
                    <c:v>C.S. MOQUEGUA FV</c:v>
                  </c:pt>
                  <c:pt idx="25">
                    <c:v>C.S. PANAMERICANA SOLAR</c:v>
                  </c:pt>
                  <c:pt idx="26">
                    <c:v>C.S. TACNA SOLAR</c:v>
                  </c:pt>
                  <c:pt idx="27">
                    <c:v>C.S. INTIPAMPA</c:v>
                  </c:pt>
                  <c:pt idx="28">
                    <c:v>C.S. RUBI</c:v>
                  </c:pt>
                  <c:pt idx="29">
                    <c:v>C.S. MAJES SOLAR</c:v>
                  </c:pt>
                  <c:pt idx="30">
                    <c:v>C.S. REPARTICION</c:v>
                  </c:pt>
                  <c:pt idx="31">
                    <c:v>C.T. HUAYCOLORO</c:v>
                  </c:pt>
                  <c:pt idx="32">
                    <c:v>C.T. PARAMONGA</c:v>
                  </c:pt>
                  <c:pt idx="33">
                    <c:v>C.T. LA GRINGA</c:v>
                  </c:pt>
                </c:lvl>
                <c:lvl>
                  <c:pt idx="0">
                    <c:v>AGUA</c:v>
                  </c:pt>
                  <c:pt idx="19">
                    <c:v>EOLICA</c:v>
                  </c:pt>
                  <c:pt idx="24">
                    <c:v>SOLAR</c:v>
                  </c:pt>
                  <c:pt idx="31">
                    <c:v>BIOMASA</c:v>
                  </c:pt>
                </c:lvl>
              </c:multiLvlStrCache>
            </c:multiLvlStrRef>
          </c:cat>
          <c:val>
            <c:numRef>
              <c:f>'6. FP RER'!$V$6:$V$39</c:f>
              <c:numCache>
                <c:formatCode>0.000</c:formatCode>
                <c:ptCount val="34"/>
                <c:pt idx="2">
                  <c:v>0.83199999999999996</c:v>
                </c:pt>
                <c:pt idx="3">
                  <c:v>0.83799999999999997</c:v>
                </c:pt>
                <c:pt idx="4">
                  <c:v>0.95299999999999996</c:v>
                </c:pt>
                <c:pt idx="5">
                  <c:v>0.67200000000000004</c:v>
                </c:pt>
                <c:pt idx="6">
                  <c:v>0.51500000000000001</c:v>
                </c:pt>
                <c:pt idx="7">
                  <c:v>0.70599999999999996</c:v>
                </c:pt>
                <c:pt idx="8">
                  <c:v>0.82699999999999996</c:v>
                </c:pt>
                <c:pt idx="9">
                  <c:v>0.66100000000000003</c:v>
                </c:pt>
                <c:pt idx="10">
                  <c:v>0.66300000000000003</c:v>
                </c:pt>
                <c:pt idx="11">
                  <c:v>0.82599999999999996</c:v>
                </c:pt>
                <c:pt idx="12">
                  <c:v>0.47199999999999998</c:v>
                </c:pt>
                <c:pt idx="13">
                  <c:v>0.70099999999999996</c:v>
                </c:pt>
                <c:pt idx="14">
                  <c:v>0.502</c:v>
                </c:pt>
                <c:pt idx="15">
                  <c:v>0.69599999999999995</c:v>
                </c:pt>
                <c:pt idx="16">
                  <c:v>0.66100000000000003</c:v>
                </c:pt>
                <c:pt idx="17">
                  <c:v>0.66700000000000004</c:v>
                </c:pt>
                <c:pt idx="18">
                  <c:v>0.11799999999999999</c:v>
                </c:pt>
                <c:pt idx="20">
                  <c:v>0.53300000000000003</c:v>
                </c:pt>
                <c:pt idx="21">
                  <c:v>0.55000000000000004</c:v>
                </c:pt>
                <c:pt idx="22">
                  <c:v>0.55000000000000004</c:v>
                </c:pt>
                <c:pt idx="23">
                  <c:v>0.312</c:v>
                </c:pt>
                <c:pt idx="24">
                  <c:v>0.29899999999999999</c:v>
                </c:pt>
                <c:pt idx="25">
                  <c:v>0.25800000000000001</c:v>
                </c:pt>
                <c:pt idx="26">
                  <c:v>0.247</c:v>
                </c:pt>
                <c:pt idx="29">
                  <c:v>0.23799999999999999</c:v>
                </c:pt>
                <c:pt idx="30">
                  <c:v>0.218</c:v>
                </c:pt>
                <c:pt idx="31">
                  <c:v>0.78300000000000003</c:v>
                </c:pt>
                <c:pt idx="32">
                  <c:v>0.75800000000000001</c:v>
                </c:pt>
                <c:pt idx="33">
                  <c:v>0.35799999999999998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249850095668E-3"/>
              <c:y val="1.6396734560916101E-2"/>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5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2018</c:v>
                </c:pt>
              </c:strCache>
            </c:strRef>
          </c:tx>
          <c:spPr>
            <a:solidFill>
              <a:schemeClr val="accent5">
                <a:lumMod val="75000"/>
              </a:schemeClr>
            </a:solidFill>
          </c:spPr>
          <c:invertIfNegative val="0"/>
          <c:cat>
            <c:strRef>
              <c:f>'7. Generacion empresa'!$L$5:$L$59</c:f>
              <c:strCache>
                <c:ptCount val="55"/>
                <c:pt idx="0">
                  <c:v>RIO BAÑOS</c:v>
                </c:pt>
                <c:pt idx="1">
                  <c:v>ECELIM (**)</c:v>
                </c:pt>
                <c:pt idx="2">
                  <c:v>CERRO DEL AGUILA (*)</c:v>
                </c:pt>
                <c:pt idx="3">
                  <c:v>AGROAURORA</c:v>
                </c:pt>
                <c:pt idx="4">
                  <c:v>CERRO VERDE</c:v>
                </c:pt>
                <c:pt idx="5">
                  <c:v>PLANTA  ETEN</c:v>
                </c:pt>
                <c:pt idx="6">
                  <c:v>IYEPSA</c:v>
                </c:pt>
                <c:pt idx="7">
                  <c:v>ELECTRICA SANTA ROSA</c:v>
                </c:pt>
                <c:pt idx="8">
                  <c:v>SAMAY I</c:v>
                </c:pt>
                <c:pt idx="9">
                  <c:v>MAJA ENERGIA</c:v>
                </c:pt>
                <c:pt idx="10">
                  <c:v>ELECTRICA YANAPAMPA</c:v>
                </c:pt>
                <c:pt idx="11">
                  <c:v>EGECSAC</c:v>
                </c:pt>
                <c:pt idx="12">
                  <c:v>HIDROCAÑETE</c:v>
                </c:pt>
                <c:pt idx="13">
                  <c:v>TACNA SOLAR</c:v>
                </c:pt>
                <c:pt idx="14">
                  <c:v>SHOUGESA</c:v>
                </c:pt>
                <c:pt idx="15">
                  <c:v>PETRAMAS (**)</c:v>
                </c:pt>
                <c:pt idx="16">
                  <c:v>AGUA AZUL</c:v>
                </c:pt>
                <c:pt idx="17">
                  <c:v>GTS REPARTICION</c:v>
                </c:pt>
                <c:pt idx="18">
                  <c:v>MOQUEGUA FV</c:v>
                </c:pt>
                <c:pt idx="19">
                  <c:v>GTS MAJES</c:v>
                </c:pt>
                <c:pt idx="20">
                  <c:v>PANAMERICANA SOLAR</c:v>
                </c:pt>
                <c:pt idx="21">
                  <c:v>SINERSA</c:v>
                </c:pt>
                <c:pt idx="22">
                  <c:v>RIO DOBLE</c:v>
                </c:pt>
                <c:pt idx="23">
                  <c:v>GEPSA</c:v>
                </c:pt>
                <c:pt idx="24">
                  <c:v>SANTA CRUZ</c:v>
                </c:pt>
                <c:pt idx="25">
                  <c:v>AIPSA</c:v>
                </c:pt>
                <c:pt idx="26">
                  <c:v>CELEPSA RENOVABLES (****)</c:v>
                </c:pt>
                <c:pt idx="27">
                  <c:v>HUAURA POWER</c:v>
                </c:pt>
                <c:pt idx="28">
                  <c:v>EMGE JUNÍN</c:v>
                </c:pt>
                <c:pt idx="29">
                  <c:v>HIDROELECTRICA HUANCHOR</c:v>
                </c:pt>
                <c:pt idx="30">
                  <c:v>P.E. MARCONA</c:v>
                </c:pt>
                <c:pt idx="31">
                  <c:v>SANTA ANA</c:v>
                </c:pt>
                <c:pt idx="32">
                  <c:v>SDF ENERGIA</c:v>
                </c:pt>
                <c:pt idx="33">
                  <c:v>EGESUR</c:v>
                </c:pt>
                <c:pt idx="34">
                  <c:v>ENERGÍA EÓLICA</c:v>
                </c:pt>
                <c:pt idx="35">
                  <c:v>P.E. TRES HERMANAS</c:v>
                </c:pt>
                <c:pt idx="36">
                  <c:v>EMGE HUANZA</c:v>
                </c:pt>
                <c:pt idx="37">
                  <c:v>SAN GABAN</c:v>
                </c:pt>
                <c:pt idx="38">
                  <c:v>LUZ DEL SUR / INLAND (***)</c:v>
                </c:pt>
                <c:pt idx="39">
                  <c:v>TERMOSELVA</c:v>
                </c:pt>
                <c:pt idx="40">
                  <c:v>CELEPSA</c:v>
                </c:pt>
                <c:pt idx="41">
                  <c:v>ENEL GENERACION PIURA</c:v>
                </c:pt>
                <c:pt idx="42">
                  <c:v>CHINANGO</c:v>
                </c:pt>
                <c:pt idx="43">
                  <c:v>ENEL GREEN POWER PERU</c:v>
                </c:pt>
                <c:pt idx="44">
                  <c:v>EGASA</c:v>
                </c:pt>
                <c:pt idx="45">
                  <c:v>EMGE HUALLAGA</c:v>
                </c:pt>
                <c:pt idx="46">
                  <c:v>ORAZUL ENERGY PERÚ</c:v>
                </c:pt>
                <c:pt idx="47">
                  <c:v>EGEMSA</c:v>
                </c:pt>
                <c:pt idx="48">
                  <c:v>STATKRAFT</c:v>
                </c:pt>
                <c:pt idx="49">
                  <c:v>TERMOCHILCA</c:v>
                </c:pt>
                <c:pt idx="50">
                  <c:v>FENIX POWER</c:v>
                </c:pt>
                <c:pt idx="51">
                  <c:v>ENEL GENERACION PERU</c:v>
                </c:pt>
                <c:pt idx="52">
                  <c:v>ELECTROPERU</c:v>
                </c:pt>
                <c:pt idx="53">
                  <c:v>ENGIE</c:v>
                </c:pt>
                <c:pt idx="54">
                  <c:v>KALLPA (*)</c:v>
                </c:pt>
              </c:strCache>
            </c:strRef>
          </c:cat>
          <c:val>
            <c:numRef>
              <c:f>'7. Generacion empresa'!$M$5:$M$59</c:f>
              <c:numCache>
                <c:formatCode>General</c:formatCode>
                <c:ptCount val="55"/>
                <c:pt idx="3">
                  <c:v>0</c:v>
                </c:pt>
                <c:pt idx="4">
                  <c:v>0</c:v>
                </c:pt>
                <c:pt idx="5">
                  <c:v>1.8681192500000002E-2</c:v>
                </c:pt>
                <c:pt idx="6">
                  <c:v>3.8967750000000002E-2</c:v>
                </c:pt>
                <c:pt idx="7">
                  <c:v>0.10120691750000001</c:v>
                </c:pt>
                <c:pt idx="8">
                  <c:v>0.83955658499999997</c:v>
                </c:pt>
                <c:pt idx="9">
                  <c:v>1.3763512499999999</c:v>
                </c:pt>
                <c:pt idx="10">
                  <c:v>1.7380232949999999</c:v>
                </c:pt>
                <c:pt idx="11">
                  <c:v>1.8083924999999998</c:v>
                </c:pt>
                <c:pt idx="12">
                  <c:v>2.3769</c:v>
                </c:pt>
                <c:pt idx="13">
                  <c:v>2.4849694874999999</c:v>
                </c:pt>
                <c:pt idx="14">
                  <c:v>2.56264264</c:v>
                </c:pt>
                <c:pt idx="15">
                  <c:v>2.9110080250000001</c:v>
                </c:pt>
                <c:pt idx="16">
                  <c:v>3.0547518500000002</c:v>
                </c:pt>
                <c:pt idx="17">
                  <c:v>3.12937362</c:v>
                </c:pt>
                <c:pt idx="18">
                  <c:v>3.2058893474999999</c:v>
                </c:pt>
                <c:pt idx="19">
                  <c:v>3.2094846449999999</c:v>
                </c:pt>
                <c:pt idx="20">
                  <c:v>3.4265142500000003</c:v>
                </c:pt>
                <c:pt idx="21">
                  <c:v>3.49702081</c:v>
                </c:pt>
                <c:pt idx="22">
                  <c:v>3.7573950974999999</c:v>
                </c:pt>
                <c:pt idx="23">
                  <c:v>3.8786530300000006</c:v>
                </c:pt>
                <c:pt idx="24">
                  <c:v>8.0292738875000005</c:v>
                </c:pt>
                <c:pt idx="25">
                  <c:v>8.1191125700000004</c:v>
                </c:pt>
                <c:pt idx="26">
                  <c:v>10.099239602499999</c:v>
                </c:pt>
                <c:pt idx="27">
                  <c:v>10.850510617499999</c:v>
                </c:pt>
                <c:pt idx="28">
                  <c:v>11.214617865000001</c:v>
                </c:pt>
                <c:pt idx="29">
                  <c:v>12.649584000000001</c:v>
                </c:pt>
                <c:pt idx="30">
                  <c:v>12.829955142500001</c:v>
                </c:pt>
                <c:pt idx="31">
                  <c:v>14.22320399</c:v>
                </c:pt>
                <c:pt idx="32">
                  <c:v>20.7010441525</c:v>
                </c:pt>
                <c:pt idx="33">
                  <c:v>23.565598619999996</c:v>
                </c:pt>
                <c:pt idx="34">
                  <c:v>30.511771475</c:v>
                </c:pt>
                <c:pt idx="35">
                  <c:v>38.870344745000004</c:v>
                </c:pt>
                <c:pt idx="36">
                  <c:v>40.0290006225</c:v>
                </c:pt>
                <c:pt idx="37">
                  <c:v>44.984563982499999</c:v>
                </c:pt>
                <c:pt idx="38">
                  <c:v>50.1794445325</c:v>
                </c:pt>
                <c:pt idx="39">
                  <c:v>61.959598970000002</c:v>
                </c:pt>
                <c:pt idx="40">
                  <c:v>63.459608375000002</c:v>
                </c:pt>
                <c:pt idx="41">
                  <c:v>70.669869725000012</c:v>
                </c:pt>
                <c:pt idx="42">
                  <c:v>73.811786207500006</c:v>
                </c:pt>
                <c:pt idx="43">
                  <c:v>75.6085275975</c:v>
                </c:pt>
                <c:pt idx="44">
                  <c:v>75.723573012499983</c:v>
                </c:pt>
                <c:pt idx="45">
                  <c:v>81.005481285000002</c:v>
                </c:pt>
                <c:pt idx="46">
                  <c:v>88.898847340000003</c:v>
                </c:pt>
                <c:pt idx="47">
                  <c:v>95.862467440000003</c:v>
                </c:pt>
                <c:pt idx="48">
                  <c:v>159.53310032000002</c:v>
                </c:pt>
                <c:pt idx="49">
                  <c:v>193.17047228000001</c:v>
                </c:pt>
                <c:pt idx="50">
                  <c:v>333.9755148525</c:v>
                </c:pt>
                <c:pt idx="51">
                  <c:v>542.10331888999997</c:v>
                </c:pt>
                <c:pt idx="52">
                  <c:v>616.8177441675</c:v>
                </c:pt>
                <c:pt idx="53">
                  <c:v>638.24097468499997</c:v>
                </c:pt>
                <c:pt idx="54">
                  <c:v>648.89763769749993</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2017</c:v>
                </c:pt>
              </c:strCache>
            </c:strRef>
          </c:tx>
          <c:spPr>
            <a:solidFill>
              <a:schemeClr val="accent2"/>
            </a:solidFill>
          </c:spPr>
          <c:invertIfNegative val="0"/>
          <c:cat>
            <c:strRef>
              <c:f>'7. Generacion empresa'!$L$5:$L$59</c:f>
              <c:strCache>
                <c:ptCount val="55"/>
                <c:pt idx="0">
                  <c:v>RIO BAÑOS</c:v>
                </c:pt>
                <c:pt idx="1">
                  <c:v>ECELIM (**)</c:v>
                </c:pt>
                <c:pt idx="2">
                  <c:v>CERRO DEL AGUILA (*)</c:v>
                </c:pt>
                <c:pt idx="3">
                  <c:v>AGROAURORA</c:v>
                </c:pt>
                <c:pt idx="4">
                  <c:v>CERRO VERDE</c:v>
                </c:pt>
                <c:pt idx="5">
                  <c:v>PLANTA  ETEN</c:v>
                </c:pt>
                <c:pt idx="6">
                  <c:v>IYEPSA</c:v>
                </c:pt>
                <c:pt idx="7">
                  <c:v>ELECTRICA SANTA ROSA</c:v>
                </c:pt>
                <c:pt idx="8">
                  <c:v>SAMAY I</c:v>
                </c:pt>
                <c:pt idx="9">
                  <c:v>MAJA ENERGIA</c:v>
                </c:pt>
                <c:pt idx="10">
                  <c:v>ELECTRICA YANAPAMPA</c:v>
                </c:pt>
                <c:pt idx="11">
                  <c:v>EGECSAC</c:v>
                </c:pt>
                <c:pt idx="12">
                  <c:v>HIDROCAÑETE</c:v>
                </c:pt>
                <c:pt idx="13">
                  <c:v>TACNA SOLAR</c:v>
                </c:pt>
                <c:pt idx="14">
                  <c:v>SHOUGESA</c:v>
                </c:pt>
                <c:pt idx="15">
                  <c:v>PETRAMAS (**)</c:v>
                </c:pt>
                <c:pt idx="16">
                  <c:v>AGUA AZUL</c:v>
                </c:pt>
                <c:pt idx="17">
                  <c:v>GTS REPARTICION</c:v>
                </c:pt>
                <c:pt idx="18">
                  <c:v>MOQUEGUA FV</c:v>
                </c:pt>
                <c:pt idx="19">
                  <c:v>GTS MAJES</c:v>
                </c:pt>
                <c:pt idx="20">
                  <c:v>PANAMERICANA SOLAR</c:v>
                </c:pt>
                <c:pt idx="21">
                  <c:v>SINERSA</c:v>
                </c:pt>
                <c:pt idx="22">
                  <c:v>RIO DOBLE</c:v>
                </c:pt>
                <c:pt idx="23">
                  <c:v>GEPSA</c:v>
                </c:pt>
                <c:pt idx="24">
                  <c:v>SANTA CRUZ</c:v>
                </c:pt>
                <c:pt idx="25">
                  <c:v>AIPSA</c:v>
                </c:pt>
                <c:pt idx="26">
                  <c:v>CELEPSA RENOVABLES (****)</c:v>
                </c:pt>
                <c:pt idx="27">
                  <c:v>HUAURA POWER</c:v>
                </c:pt>
                <c:pt idx="28">
                  <c:v>EMGE JUNÍN</c:v>
                </c:pt>
                <c:pt idx="29">
                  <c:v>HIDROELECTRICA HUANCHOR</c:v>
                </c:pt>
                <c:pt idx="30">
                  <c:v>P.E. MARCONA</c:v>
                </c:pt>
                <c:pt idx="31">
                  <c:v>SANTA ANA</c:v>
                </c:pt>
                <c:pt idx="32">
                  <c:v>SDF ENERGIA</c:v>
                </c:pt>
                <c:pt idx="33">
                  <c:v>EGESUR</c:v>
                </c:pt>
                <c:pt idx="34">
                  <c:v>ENERGÍA EÓLICA</c:v>
                </c:pt>
                <c:pt idx="35">
                  <c:v>P.E. TRES HERMANAS</c:v>
                </c:pt>
                <c:pt idx="36">
                  <c:v>EMGE HUANZA</c:v>
                </c:pt>
                <c:pt idx="37">
                  <c:v>SAN GABAN</c:v>
                </c:pt>
                <c:pt idx="38">
                  <c:v>LUZ DEL SUR / INLAND (***)</c:v>
                </c:pt>
                <c:pt idx="39">
                  <c:v>TERMOSELVA</c:v>
                </c:pt>
                <c:pt idx="40">
                  <c:v>CELEPSA</c:v>
                </c:pt>
                <c:pt idx="41">
                  <c:v>ENEL GENERACION PIURA</c:v>
                </c:pt>
                <c:pt idx="42">
                  <c:v>CHINANGO</c:v>
                </c:pt>
                <c:pt idx="43">
                  <c:v>ENEL GREEN POWER PERU</c:v>
                </c:pt>
                <c:pt idx="44">
                  <c:v>EGASA</c:v>
                </c:pt>
                <c:pt idx="45">
                  <c:v>EMGE HUALLAGA</c:v>
                </c:pt>
                <c:pt idx="46">
                  <c:v>ORAZUL ENERGY PERÚ</c:v>
                </c:pt>
                <c:pt idx="47">
                  <c:v>EGEMSA</c:v>
                </c:pt>
                <c:pt idx="48">
                  <c:v>STATKRAFT</c:v>
                </c:pt>
                <c:pt idx="49">
                  <c:v>TERMOCHILCA</c:v>
                </c:pt>
                <c:pt idx="50">
                  <c:v>FENIX POWER</c:v>
                </c:pt>
                <c:pt idx="51">
                  <c:v>ENEL GENERACION PERU</c:v>
                </c:pt>
                <c:pt idx="52">
                  <c:v>ELECTROPERU</c:v>
                </c:pt>
                <c:pt idx="53">
                  <c:v>ENGIE</c:v>
                </c:pt>
                <c:pt idx="54">
                  <c:v>KALLPA (*)</c:v>
                </c:pt>
              </c:strCache>
            </c:strRef>
          </c:cat>
          <c:val>
            <c:numRef>
              <c:f>'7. Generacion empresa'!$N$5:$N$59</c:f>
              <c:numCache>
                <c:formatCode>General</c:formatCode>
                <c:ptCount val="55"/>
                <c:pt idx="0">
                  <c:v>0</c:v>
                </c:pt>
                <c:pt idx="1">
                  <c:v>1.04423165</c:v>
                </c:pt>
                <c:pt idx="2">
                  <c:v>190.29710525000002</c:v>
                </c:pt>
                <c:pt idx="3">
                  <c:v>0.16736089749999999</c:v>
                </c:pt>
                <c:pt idx="4">
                  <c:v>0</c:v>
                </c:pt>
                <c:pt idx="5">
                  <c:v>0</c:v>
                </c:pt>
                <c:pt idx="6">
                  <c:v>0.27009199</c:v>
                </c:pt>
                <c:pt idx="7">
                  <c:v>0.2800203275</c:v>
                </c:pt>
                <c:pt idx="8">
                  <c:v>135.25705632</c:v>
                </c:pt>
                <c:pt idx="9">
                  <c:v>2.344096</c:v>
                </c:pt>
                <c:pt idx="10">
                  <c:v>2.6618006849999998</c:v>
                </c:pt>
                <c:pt idx="11">
                  <c:v>2.0274174999999999</c:v>
                </c:pt>
                <c:pt idx="12">
                  <c:v>2.157</c:v>
                </c:pt>
                <c:pt idx="13">
                  <c:v>2.7599870750000002</c:v>
                </c:pt>
                <c:pt idx="14">
                  <c:v>0.46336888000000004</c:v>
                </c:pt>
                <c:pt idx="15">
                  <c:v>1.8991578250000001</c:v>
                </c:pt>
                <c:pt idx="16">
                  <c:v>3.3964207124999999</c:v>
                </c:pt>
                <c:pt idx="17">
                  <c:v>3.2862428575</c:v>
                </c:pt>
                <c:pt idx="18">
                  <c:v>3.5963829999999999</c:v>
                </c:pt>
                <c:pt idx="19">
                  <c:v>3.5128315050000003</c:v>
                </c:pt>
                <c:pt idx="20">
                  <c:v>3.7896222499999999</c:v>
                </c:pt>
                <c:pt idx="21">
                  <c:v>6.1050209450000006</c:v>
                </c:pt>
                <c:pt idx="22">
                  <c:v>5.235309065</c:v>
                </c:pt>
                <c:pt idx="23">
                  <c:v>4.1106878849999999</c:v>
                </c:pt>
                <c:pt idx="24">
                  <c:v>6.0671433175000002</c:v>
                </c:pt>
                <c:pt idx="25">
                  <c:v>9.3235573350000003</c:v>
                </c:pt>
                <c:pt idx="26">
                  <c:v>11.174569607500001</c:v>
                </c:pt>
                <c:pt idx="27">
                  <c:v>0.19320428750000002</c:v>
                </c:pt>
                <c:pt idx="28">
                  <c:v>9.1008688800000002</c:v>
                </c:pt>
                <c:pt idx="29">
                  <c:v>11.976386000000002</c:v>
                </c:pt>
                <c:pt idx="30">
                  <c:v>13.306574982500001</c:v>
                </c:pt>
                <c:pt idx="32">
                  <c:v>20.295636535</c:v>
                </c:pt>
                <c:pt idx="33">
                  <c:v>25.273507940000002</c:v>
                </c:pt>
                <c:pt idx="34">
                  <c:v>29.7238394775</c:v>
                </c:pt>
                <c:pt idx="35">
                  <c:v>38.877973445000002</c:v>
                </c:pt>
                <c:pt idx="36">
                  <c:v>40.261414684999998</c:v>
                </c:pt>
                <c:pt idx="37">
                  <c:v>40.641279850000004</c:v>
                </c:pt>
                <c:pt idx="38">
                  <c:v>36.078313937499999</c:v>
                </c:pt>
                <c:pt idx="39">
                  <c:v>1.83218167</c:v>
                </c:pt>
                <c:pt idx="40">
                  <c:v>62.15051686999999</c:v>
                </c:pt>
                <c:pt idx="41">
                  <c:v>50.831339122499998</c:v>
                </c:pt>
                <c:pt idx="42">
                  <c:v>60.703166492500003</c:v>
                </c:pt>
                <c:pt idx="44">
                  <c:v>133.17803409249998</c:v>
                </c:pt>
                <c:pt idx="45">
                  <c:v>79.8630159625</c:v>
                </c:pt>
                <c:pt idx="46">
                  <c:v>108.57952526</c:v>
                </c:pt>
                <c:pt idx="47">
                  <c:v>68.280967457499997</c:v>
                </c:pt>
                <c:pt idx="48">
                  <c:v>165.2450485</c:v>
                </c:pt>
                <c:pt idx="49">
                  <c:v>86.161612859999991</c:v>
                </c:pt>
                <c:pt idx="50">
                  <c:v>409.11533894249999</c:v>
                </c:pt>
                <c:pt idx="51">
                  <c:v>485.65623392500004</c:v>
                </c:pt>
                <c:pt idx="52">
                  <c:v>614.5862788799999</c:v>
                </c:pt>
                <c:pt idx="53">
                  <c:v>717.69489181749998</c:v>
                </c:pt>
                <c:pt idx="54">
                  <c:v>331.71879824249999</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8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invertIfNegative val="0"/>
          <c:cat>
            <c:numRef>
              <c:f>('8. Max Potencia'!$G$7:$H$7,'8. Max Potencia'!$J$7)</c:f>
              <c:numCache>
                <c:formatCode>General</c:formatCode>
                <c:ptCount val="3"/>
                <c:pt idx="0">
                  <c:v>2018</c:v>
                </c:pt>
                <c:pt idx="1">
                  <c:v>2017</c:v>
                </c:pt>
                <c:pt idx="2">
                  <c:v>2016</c:v>
                </c:pt>
              </c:numCache>
            </c:numRef>
          </c:cat>
          <c:val>
            <c:numRef>
              <c:f>('8. Max Potencia'!$G$10:$H$10,'8. Max Potencia'!$J$10)</c:f>
              <c:numCache>
                <c:formatCode>_(* #,##0.00_);_(* \(#,##0.00\);_(* "-"??_);_(@_)</c:formatCode>
                <c:ptCount val="3"/>
                <c:pt idx="0">
                  <c:v>4457.8647499999988</c:v>
                </c:pt>
                <c:pt idx="1">
                  <c:v>4181.7234999999982</c:v>
                </c:pt>
                <c:pt idx="2">
                  <c:v>3527.2958100000001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2018</c:v>
                </c:pt>
                <c:pt idx="1">
                  <c:v>2017</c:v>
                </c:pt>
                <c:pt idx="2">
                  <c:v>2016</c:v>
                </c:pt>
              </c:numCache>
            </c:numRef>
          </c:cat>
          <c:val>
            <c:numRef>
              <c:f>('8. Max Potencia'!$G$11:$H$11,'8. Max Potencia'!$J$11)</c:f>
              <c:numCache>
                <c:formatCode>_(* #,##0.00_);_(* \(#,##0.00\);_(* "-"??_);_(@_)</c:formatCode>
                <c:ptCount val="3"/>
                <c:pt idx="0">
                  <c:v>1943.7948299999998</c:v>
                </c:pt>
                <c:pt idx="1">
                  <c:v>2286.1302900000001</c:v>
                </c:pt>
                <c:pt idx="2">
                  <c:v>2770.9643299999998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2018</c:v>
                </c:pt>
                <c:pt idx="1">
                  <c:v>2017</c:v>
                </c:pt>
                <c:pt idx="2">
                  <c:v>2016</c:v>
                </c:pt>
              </c:numCache>
            </c:numRef>
          </c:cat>
          <c:val>
            <c:numRef>
              <c:f>('8. Max Potencia'!$G$12:$H$12,'8. Max Potencia'!$J$12)</c:f>
              <c:numCache>
                <c:formatCode>_(* #,##0.00_);_(* \(#,##0.00\);_(* "-"??_);_(@_)</c:formatCode>
                <c:ptCount val="3"/>
                <c:pt idx="0">
                  <c:v>309.01528000000002</c:v>
                </c:pt>
                <c:pt idx="1">
                  <c:v>91.209550000000007</c:v>
                </c:pt>
                <c:pt idx="2">
                  <c:v>146.64738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General" sourceLinked="1"/>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General"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2018</c:v>
                </c:pt>
              </c:strCache>
            </c:strRef>
          </c:tx>
          <c:spPr>
            <a:solidFill>
              <a:schemeClr val="accent5">
                <a:lumMod val="75000"/>
              </a:schemeClr>
            </a:solidFill>
          </c:spPr>
          <c:invertIfNegative val="0"/>
          <c:cat>
            <c:strRef>
              <c:f>'9. Pot. Empresa'!$L$7:$L$62</c:f>
              <c:strCache>
                <c:ptCount val="55"/>
                <c:pt idx="0">
                  <c:v>RIO BAÑOS</c:v>
                </c:pt>
                <c:pt idx="1">
                  <c:v>ECELIM  (**)</c:v>
                </c:pt>
                <c:pt idx="2">
                  <c:v>CERRO DEL AGUILA (*)</c:v>
                </c:pt>
                <c:pt idx="3">
                  <c:v>AGROAURORA</c:v>
                </c:pt>
                <c:pt idx="4">
                  <c:v>CERRO VERDE</c:v>
                </c:pt>
                <c:pt idx="5">
                  <c:v>GTS MAJES</c:v>
                </c:pt>
                <c:pt idx="6">
                  <c:v>GTS REPARTICION</c:v>
                </c:pt>
                <c:pt idx="7">
                  <c:v>IYEPSA</c:v>
                </c:pt>
                <c:pt idx="8">
                  <c:v>MOQUEGUA FV</c:v>
                </c:pt>
                <c:pt idx="9">
                  <c:v>PANAMERICANA SOLAR</c:v>
                </c:pt>
                <c:pt idx="10">
                  <c:v>PLANTA  ETEN</c:v>
                </c:pt>
                <c:pt idx="11">
                  <c:v>SAMAY I</c:v>
                </c:pt>
                <c:pt idx="12">
                  <c:v>SHOUGESA</c:v>
                </c:pt>
                <c:pt idx="13">
                  <c:v>TACNA SOLAR</c:v>
                </c:pt>
                <c:pt idx="14">
                  <c:v>ELECTRICA SANTA ROSA</c:v>
                </c:pt>
                <c:pt idx="15">
                  <c:v>MAJA ENERGIA</c:v>
                </c:pt>
                <c:pt idx="16">
                  <c:v>EGECSAC</c:v>
                </c:pt>
                <c:pt idx="17">
                  <c:v>ELECTRICA YANAPAMPA</c:v>
                </c:pt>
                <c:pt idx="18">
                  <c:v>HIDROCAÑETE</c:v>
                </c:pt>
                <c:pt idx="19">
                  <c:v>AGUA AZUL</c:v>
                </c:pt>
                <c:pt idx="20">
                  <c:v>SINERSA</c:v>
                </c:pt>
                <c:pt idx="21">
                  <c:v>PETRAMAS (**)</c:v>
                </c:pt>
                <c:pt idx="22">
                  <c:v>RIO DOBLE</c:v>
                </c:pt>
                <c:pt idx="23">
                  <c:v>GEPSA</c:v>
                </c:pt>
                <c:pt idx="24">
                  <c:v>EMGE JUNÍN</c:v>
                </c:pt>
                <c:pt idx="25">
                  <c:v>SANTA CRUZ</c:v>
                </c:pt>
                <c:pt idx="26">
                  <c:v>AIPSA</c:v>
                </c:pt>
                <c:pt idx="27">
                  <c:v>P.E. MARCONA</c:v>
                </c:pt>
                <c:pt idx="28">
                  <c:v>HUAURA POWER</c:v>
                </c:pt>
                <c:pt idx="29">
                  <c:v>HIDROELECTRICA HUANCHOR</c:v>
                </c:pt>
                <c:pt idx="30">
                  <c:v>CELEPSA RENOVABLES (****)</c:v>
                </c:pt>
                <c:pt idx="31">
                  <c:v>SANTA ANA</c:v>
                </c:pt>
                <c:pt idx="32">
                  <c:v>ENERGÍA EÓLICA</c:v>
                </c:pt>
                <c:pt idx="33">
                  <c:v>SDF ENERGIA</c:v>
                </c:pt>
                <c:pt idx="34">
                  <c:v>EGESUR</c:v>
                </c:pt>
                <c:pt idx="35">
                  <c:v>P.E. TRES HERMANAS</c:v>
                </c:pt>
                <c:pt idx="36">
                  <c:v>LUZ DEL SUR / INLAND (***)</c:v>
                </c:pt>
                <c:pt idx="37">
                  <c:v>SAN GABAN</c:v>
                </c:pt>
                <c:pt idx="38">
                  <c:v>ENEL GENERACION PIURA</c:v>
                </c:pt>
                <c:pt idx="39">
                  <c:v>TERMOSELVA</c:v>
                </c:pt>
                <c:pt idx="40">
                  <c:v>ENEL GREEN POWER PERU</c:v>
                </c:pt>
                <c:pt idx="41">
                  <c:v>EMGE HUANZA</c:v>
                </c:pt>
                <c:pt idx="42">
                  <c:v>EGEMSA</c:v>
                </c:pt>
                <c:pt idx="43">
                  <c:v>CHINANGO</c:v>
                </c:pt>
                <c:pt idx="44">
                  <c:v>ORAZUL ENERGY PERÚ</c:v>
                </c:pt>
                <c:pt idx="45">
                  <c:v>EGASA</c:v>
                </c:pt>
                <c:pt idx="46">
                  <c:v>CELEPSA</c:v>
                </c:pt>
                <c:pt idx="47">
                  <c:v>EMGE HUALLAGA</c:v>
                </c:pt>
                <c:pt idx="48">
                  <c:v>STATKRAFT</c:v>
                </c:pt>
                <c:pt idx="49">
                  <c:v>FENIX POWER</c:v>
                </c:pt>
                <c:pt idx="50">
                  <c:v>TERMOCHILCA</c:v>
                </c:pt>
                <c:pt idx="51">
                  <c:v>ENEL GENERACION PERU</c:v>
                </c:pt>
                <c:pt idx="52">
                  <c:v>ELECTROPERU</c:v>
                </c:pt>
                <c:pt idx="53">
                  <c:v>ENGIE</c:v>
                </c:pt>
                <c:pt idx="54">
                  <c:v>KALLPA (*)</c:v>
                </c:pt>
              </c:strCache>
            </c:strRef>
          </c:cat>
          <c:val>
            <c:numRef>
              <c:f>'9. Pot. Empresa'!$M$7:$M$62</c:f>
              <c:numCache>
                <c:formatCode>General</c:formatCode>
                <c:ptCount val="55"/>
                <c:pt idx="3" formatCode="0.00">
                  <c:v>0</c:v>
                </c:pt>
                <c:pt idx="4" formatCode="0.00">
                  <c:v>0</c:v>
                </c:pt>
                <c:pt idx="5" formatCode="0.00">
                  <c:v>0</c:v>
                </c:pt>
                <c:pt idx="6" formatCode="0.00">
                  <c:v>0</c:v>
                </c:pt>
                <c:pt idx="7" formatCode="0.00">
                  <c:v>0</c:v>
                </c:pt>
                <c:pt idx="8" formatCode="0.00">
                  <c:v>0</c:v>
                </c:pt>
                <c:pt idx="9" formatCode="0.00">
                  <c:v>0</c:v>
                </c:pt>
                <c:pt idx="10">
                  <c:v>0</c:v>
                </c:pt>
                <c:pt idx="11" formatCode="0.00">
                  <c:v>0</c:v>
                </c:pt>
                <c:pt idx="12" formatCode="0.00">
                  <c:v>0</c:v>
                </c:pt>
                <c:pt idx="13" formatCode="0.00">
                  <c:v>0</c:v>
                </c:pt>
                <c:pt idx="14">
                  <c:v>0.30986999999999998</c:v>
                </c:pt>
                <c:pt idx="15">
                  <c:v>1.857</c:v>
                </c:pt>
                <c:pt idx="16" formatCode="0.00">
                  <c:v>2.1800000000000002</c:v>
                </c:pt>
                <c:pt idx="17" formatCode="0.00">
                  <c:v>2.46305</c:v>
                </c:pt>
                <c:pt idx="18" formatCode="0.00">
                  <c:v>3.2</c:v>
                </c:pt>
                <c:pt idx="19" formatCode="0.00">
                  <c:v>4.2273899999999998</c:v>
                </c:pt>
                <c:pt idx="20" formatCode="0.00">
                  <c:v>4.2768300000000004</c:v>
                </c:pt>
                <c:pt idx="21" formatCode="0.00">
                  <c:v>4.3132000000000001</c:v>
                </c:pt>
                <c:pt idx="22" formatCode="0.00">
                  <c:v>5.1794700000000002</c:v>
                </c:pt>
                <c:pt idx="23" formatCode="0.00">
                  <c:v>5.2402199999999999</c:v>
                </c:pt>
                <c:pt idx="24" formatCode="0.00">
                  <c:v>11.62796</c:v>
                </c:pt>
                <c:pt idx="25" formatCode="0.00">
                  <c:v>11.733280000000001</c:v>
                </c:pt>
                <c:pt idx="26" formatCode="0.00">
                  <c:v>13.786569999999999</c:v>
                </c:pt>
                <c:pt idx="27" formatCode="0.00">
                  <c:v>15.02704</c:v>
                </c:pt>
                <c:pt idx="28" formatCode="0.00">
                  <c:v>15.15048</c:v>
                </c:pt>
                <c:pt idx="29" formatCode="0.00">
                  <c:v>17.027999999999999</c:v>
                </c:pt>
                <c:pt idx="30" formatCode="0.00">
                  <c:v>17.331960000000002</c:v>
                </c:pt>
                <c:pt idx="31" formatCode="0.00">
                  <c:v>19.981480000000001</c:v>
                </c:pt>
                <c:pt idx="32" formatCode="0.00">
                  <c:v>25.263779999999997</c:v>
                </c:pt>
                <c:pt idx="33" formatCode="0.00">
                  <c:v>28.065159999999999</c:v>
                </c:pt>
                <c:pt idx="34" formatCode="0.00">
                  <c:v>46.913179999999997</c:v>
                </c:pt>
                <c:pt idx="35" formatCode="0.00">
                  <c:v>53.820979999999999</c:v>
                </c:pt>
                <c:pt idx="36" formatCode="0.00">
                  <c:v>60.503439999999998</c:v>
                </c:pt>
                <c:pt idx="37" formatCode="0.00">
                  <c:v>76.185190000000006</c:v>
                </c:pt>
                <c:pt idx="38" formatCode="0.00">
                  <c:v>80.24427</c:v>
                </c:pt>
                <c:pt idx="39" formatCode="0.00">
                  <c:v>86.796319999999994</c:v>
                </c:pt>
                <c:pt idx="40" formatCode="0.00">
                  <c:v>91.487089999999995</c:v>
                </c:pt>
                <c:pt idx="41" formatCode="0.00">
                  <c:v>93.694500000000005</c:v>
                </c:pt>
                <c:pt idx="42" formatCode="0.00">
                  <c:v>115.89467</c:v>
                </c:pt>
                <c:pt idx="43" formatCode="0.00">
                  <c:v>124.50915999999999</c:v>
                </c:pt>
                <c:pt idx="44" formatCode="0.00">
                  <c:v>137.49227000000002</c:v>
                </c:pt>
                <c:pt idx="45" formatCode="0.00">
                  <c:v>158.89804999999998</c:v>
                </c:pt>
                <c:pt idx="46" formatCode="0.00">
                  <c:v>180.89832999999999</c:v>
                </c:pt>
                <c:pt idx="47" formatCode="0.00">
                  <c:v>235.94978999999998</c:v>
                </c:pt>
                <c:pt idx="48" formatCode="0.00">
                  <c:v>248.57145</c:v>
                </c:pt>
                <c:pt idx="49" formatCode="0.00">
                  <c:v>275.32452999999998</c:v>
                </c:pt>
                <c:pt idx="50" formatCode="0.00">
                  <c:v>294.18524000000002</c:v>
                </c:pt>
                <c:pt idx="51" formatCode="0.00">
                  <c:v>801.48217000000011</c:v>
                </c:pt>
                <c:pt idx="52" formatCode="0.00">
                  <c:v>851.62559999999996</c:v>
                </c:pt>
                <c:pt idx="53" formatCode="0.00">
                  <c:v>1000.1083800000001</c:v>
                </c:pt>
                <c:pt idx="54" formatCode="0.00">
                  <c:v>1198.1839100000002</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2017</c:v>
                </c:pt>
              </c:strCache>
            </c:strRef>
          </c:tx>
          <c:spPr>
            <a:solidFill>
              <a:srgbClr val="FF6600"/>
            </a:solidFill>
          </c:spPr>
          <c:invertIfNegative val="0"/>
          <c:cat>
            <c:strRef>
              <c:f>'9. Pot. Empresa'!$L$7:$L$62</c:f>
              <c:strCache>
                <c:ptCount val="55"/>
                <c:pt idx="0">
                  <c:v>RIO BAÑOS</c:v>
                </c:pt>
                <c:pt idx="1">
                  <c:v>ECELIM  (**)</c:v>
                </c:pt>
                <c:pt idx="2">
                  <c:v>CERRO DEL AGUILA (*)</c:v>
                </c:pt>
                <c:pt idx="3">
                  <c:v>AGROAURORA</c:v>
                </c:pt>
                <c:pt idx="4">
                  <c:v>CERRO VERDE</c:v>
                </c:pt>
                <c:pt idx="5">
                  <c:v>GTS MAJES</c:v>
                </c:pt>
                <c:pt idx="6">
                  <c:v>GTS REPARTICION</c:v>
                </c:pt>
                <c:pt idx="7">
                  <c:v>IYEPSA</c:v>
                </c:pt>
                <c:pt idx="8">
                  <c:v>MOQUEGUA FV</c:v>
                </c:pt>
                <c:pt idx="9">
                  <c:v>PANAMERICANA SOLAR</c:v>
                </c:pt>
                <c:pt idx="10">
                  <c:v>PLANTA  ETEN</c:v>
                </c:pt>
                <c:pt idx="11">
                  <c:v>SAMAY I</c:v>
                </c:pt>
                <c:pt idx="12">
                  <c:v>SHOUGESA</c:v>
                </c:pt>
                <c:pt idx="13">
                  <c:v>TACNA SOLAR</c:v>
                </c:pt>
                <c:pt idx="14">
                  <c:v>ELECTRICA SANTA ROSA</c:v>
                </c:pt>
                <c:pt idx="15">
                  <c:v>MAJA ENERGIA</c:v>
                </c:pt>
                <c:pt idx="16">
                  <c:v>EGECSAC</c:v>
                </c:pt>
                <c:pt idx="17">
                  <c:v>ELECTRICA YANAPAMPA</c:v>
                </c:pt>
                <c:pt idx="18">
                  <c:v>HIDROCAÑETE</c:v>
                </c:pt>
                <c:pt idx="19">
                  <c:v>AGUA AZUL</c:v>
                </c:pt>
                <c:pt idx="20">
                  <c:v>SINERSA</c:v>
                </c:pt>
                <c:pt idx="21">
                  <c:v>PETRAMAS (**)</c:v>
                </c:pt>
                <c:pt idx="22">
                  <c:v>RIO DOBLE</c:v>
                </c:pt>
                <c:pt idx="23">
                  <c:v>GEPSA</c:v>
                </c:pt>
                <c:pt idx="24">
                  <c:v>EMGE JUNÍN</c:v>
                </c:pt>
                <c:pt idx="25">
                  <c:v>SANTA CRUZ</c:v>
                </c:pt>
                <c:pt idx="26">
                  <c:v>AIPSA</c:v>
                </c:pt>
                <c:pt idx="27">
                  <c:v>P.E. MARCONA</c:v>
                </c:pt>
                <c:pt idx="28">
                  <c:v>HUAURA POWER</c:v>
                </c:pt>
                <c:pt idx="29">
                  <c:v>HIDROELECTRICA HUANCHOR</c:v>
                </c:pt>
                <c:pt idx="30">
                  <c:v>CELEPSA RENOVABLES (****)</c:v>
                </c:pt>
                <c:pt idx="31">
                  <c:v>SANTA ANA</c:v>
                </c:pt>
                <c:pt idx="32">
                  <c:v>ENERGÍA EÓLICA</c:v>
                </c:pt>
                <c:pt idx="33">
                  <c:v>SDF ENERGIA</c:v>
                </c:pt>
                <c:pt idx="34">
                  <c:v>EGESUR</c:v>
                </c:pt>
                <c:pt idx="35">
                  <c:v>P.E. TRES HERMANAS</c:v>
                </c:pt>
                <c:pt idx="36">
                  <c:v>LUZ DEL SUR / INLAND (***)</c:v>
                </c:pt>
                <c:pt idx="37">
                  <c:v>SAN GABAN</c:v>
                </c:pt>
                <c:pt idx="38">
                  <c:v>ENEL GENERACION PIURA</c:v>
                </c:pt>
                <c:pt idx="39">
                  <c:v>TERMOSELVA</c:v>
                </c:pt>
                <c:pt idx="40">
                  <c:v>ENEL GREEN POWER PERU</c:v>
                </c:pt>
                <c:pt idx="41">
                  <c:v>EMGE HUANZA</c:v>
                </c:pt>
                <c:pt idx="42">
                  <c:v>EGEMSA</c:v>
                </c:pt>
                <c:pt idx="43">
                  <c:v>CHINANGO</c:v>
                </c:pt>
                <c:pt idx="44">
                  <c:v>ORAZUL ENERGY PERÚ</c:v>
                </c:pt>
                <c:pt idx="45">
                  <c:v>EGASA</c:v>
                </c:pt>
                <c:pt idx="46">
                  <c:v>CELEPSA</c:v>
                </c:pt>
                <c:pt idx="47">
                  <c:v>EMGE HUALLAGA</c:v>
                </c:pt>
                <c:pt idx="48">
                  <c:v>STATKRAFT</c:v>
                </c:pt>
                <c:pt idx="49">
                  <c:v>FENIX POWER</c:v>
                </c:pt>
                <c:pt idx="50">
                  <c:v>TERMOCHILCA</c:v>
                </c:pt>
                <c:pt idx="51">
                  <c:v>ENEL GENERACION PERU</c:v>
                </c:pt>
                <c:pt idx="52">
                  <c:v>ELECTROPERU</c:v>
                </c:pt>
                <c:pt idx="53">
                  <c:v>ENGIE</c:v>
                </c:pt>
                <c:pt idx="54">
                  <c:v>KALLPA (*)</c:v>
                </c:pt>
              </c:strCache>
            </c:strRef>
          </c:cat>
          <c:val>
            <c:numRef>
              <c:f>'9. Pot. Empresa'!$N$7:$N$62</c:f>
              <c:numCache>
                <c:formatCode>General</c:formatCode>
                <c:ptCount val="55"/>
                <c:pt idx="0">
                  <c:v>0</c:v>
                </c:pt>
                <c:pt idx="1">
                  <c:v>3.0007999999999999</c:v>
                </c:pt>
                <c:pt idx="2">
                  <c:v>222.12781000000001</c:v>
                </c:pt>
                <c:pt idx="3" formatCode="0.00">
                  <c:v>2.1127600000000002</c:v>
                </c:pt>
                <c:pt idx="4" formatCode="0.00">
                  <c:v>0</c:v>
                </c:pt>
                <c:pt idx="5">
                  <c:v>0</c:v>
                </c:pt>
                <c:pt idx="6" formatCode="0.00">
                  <c:v>0</c:v>
                </c:pt>
                <c:pt idx="7" formatCode="0.00">
                  <c:v>0</c:v>
                </c:pt>
                <c:pt idx="8" formatCode="0.00">
                  <c:v>0</c:v>
                </c:pt>
                <c:pt idx="9" formatCode="0.00">
                  <c:v>0</c:v>
                </c:pt>
                <c:pt idx="10">
                  <c:v>0</c:v>
                </c:pt>
                <c:pt idx="11" formatCode="0.00">
                  <c:v>299.68656999999996</c:v>
                </c:pt>
                <c:pt idx="12" formatCode="0.00">
                  <c:v>0</c:v>
                </c:pt>
                <c:pt idx="13" formatCode="0.00">
                  <c:v>0</c:v>
                </c:pt>
                <c:pt idx="14">
                  <c:v>0.58531</c:v>
                </c:pt>
                <c:pt idx="15">
                  <c:v>3.3959999999999999</c:v>
                </c:pt>
                <c:pt idx="16" formatCode="0.00">
                  <c:v>1.81</c:v>
                </c:pt>
                <c:pt idx="17" formatCode="0.00">
                  <c:v>3.7462499999999999</c:v>
                </c:pt>
                <c:pt idx="18">
                  <c:v>3.6</c:v>
                </c:pt>
                <c:pt idx="19" formatCode="0.00">
                  <c:v>1.26932</c:v>
                </c:pt>
                <c:pt idx="20" formatCode="0.00">
                  <c:v>8.9406099999999995</c:v>
                </c:pt>
                <c:pt idx="21" formatCode="0.00">
                  <c:v>2.8588</c:v>
                </c:pt>
                <c:pt idx="22" formatCode="0.00">
                  <c:v>8.1204599999999996</c:v>
                </c:pt>
                <c:pt idx="23" formatCode="0.00">
                  <c:v>9.1251700000000007</c:v>
                </c:pt>
                <c:pt idx="24" formatCode="0.00">
                  <c:v>12.606960000000001</c:v>
                </c:pt>
                <c:pt idx="25" formatCode="0.00">
                  <c:v>7.7262299999999993</c:v>
                </c:pt>
                <c:pt idx="26" formatCode="0.00">
                  <c:v>14.921329999999999</c:v>
                </c:pt>
                <c:pt idx="27" formatCode="0.00">
                  <c:v>19.93937</c:v>
                </c:pt>
                <c:pt idx="28" formatCode="0.00">
                  <c:v>0</c:v>
                </c:pt>
                <c:pt idx="29" formatCode="0.00">
                  <c:v>16.532</c:v>
                </c:pt>
                <c:pt idx="30">
                  <c:v>15.346770000000001</c:v>
                </c:pt>
                <c:pt idx="32" formatCode="0.00">
                  <c:v>40.282240000000002</c:v>
                </c:pt>
                <c:pt idx="33" formatCode="0.00">
                  <c:v>28.249939999999999</c:v>
                </c:pt>
                <c:pt idx="34" formatCode="0.00">
                  <c:v>48.406909999999996</c:v>
                </c:pt>
                <c:pt idx="35" formatCode="0.00">
                  <c:v>55.829160000000002</c:v>
                </c:pt>
                <c:pt idx="36" formatCode="0.00">
                  <c:v>50.859630000000003</c:v>
                </c:pt>
                <c:pt idx="37" formatCode="0.00">
                  <c:v>67.215320000000006</c:v>
                </c:pt>
                <c:pt idx="38" formatCode="0.00">
                  <c:v>130.45782</c:v>
                </c:pt>
                <c:pt idx="39" formatCode="0.00">
                  <c:v>0</c:v>
                </c:pt>
                <c:pt idx="41" formatCode="0.00">
                  <c:v>93.816519999999997</c:v>
                </c:pt>
                <c:pt idx="42" formatCode="0.00">
                  <c:v>95.912599999999998</c:v>
                </c:pt>
                <c:pt idx="43" formatCode="0.00">
                  <c:v>135.65933000000001</c:v>
                </c:pt>
                <c:pt idx="44" formatCode="0.00">
                  <c:v>187.40258000000003</c:v>
                </c:pt>
                <c:pt idx="45" formatCode="0.00">
                  <c:v>233.13151000000002</c:v>
                </c:pt>
                <c:pt idx="46" formatCode="0.00">
                  <c:v>216.52627999999999</c:v>
                </c:pt>
                <c:pt idx="47" formatCode="0.00">
                  <c:v>149.42865999999998</c:v>
                </c:pt>
                <c:pt idx="48" formatCode="0.00">
                  <c:v>207.80803</c:v>
                </c:pt>
                <c:pt idx="49" formatCode="0.00">
                  <c:v>553.68991000000005</c:v>
                </c:pt>
                <c:pt idx="50" formatCode="0.00">
                  <c:v>0</c:v>
                </c:pt>
                <c:pt idx="51" formatCode="0.00">
                  <c:v>898.59789000000012</c:v>
                </c:pt>
                <c:pt idx="52" formatCode="0.00">
                  <c:v>863.18448000000001</c:v>
                </c:pt>
                <c:pt idx="53" formatCode="0.00">
                  <c:v>1212.5421000000001</c:v>
                </c:pt>
                <c:pt idx="54" formatCode="0.00">
                  <c:v>386.40255999999999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a:pPr>
                <a:r>
                  <a:rPr lang="es-PE"/>
                  <a:t>MW</a:t>
                </a:r>
              </a:p>
            </c:rich>
          </c:tx>
          <c:layout>
            <c:manualLayout>
              <c:xMode val="edge"/>
              <c:yMode val="edge"/>
              <c:x val="0.86663709902591413"/>
              <c:y val="0.97387343177880092"/>
            </c:manualLayout>
          </c:layout>
          <c:overlay val="0"/>
        </c:title>
        <c:numFmt formatCode="General" sourceLinked="1"/>
        <c:majorTickMark val="out"/>
        <c:minorTickMark val="none"/>
        <c:tickLblPos val="nextTo"/>
        <c:txPr>
          <a:bodyPr/>
          <a:lstStyle/>
          <a:p>
            <a:pPr>
              <a:defRPr sz="900" b="1"/>
            </a:pPr>
            <a:endParaRPr lang="es-PE"/>
          </a:p>
        </c:txPr>
        <c:crossAx val="351364992"/>
        <c:crosses val="autoZero"/>
        <c:crossBetween val="between"/>
        <c:majorUnit val="400"/>
      </c:valAx>
    </c:plotArea>
    <c:legend>
      <c:legendPos val="r"/>
      <c:layout>
        <c:manualLayout>
          <c:xMode val="edge"/>
          <c:yMode val="edge"/>
          <c:x val="0.65664099747654348"/>
          <c:y val="0.39830739581538593"/>
          <c:w val="0.22095413152862417"/>
          <c:h val="6.0980304677881472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VOLÚMEN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marker>
            <c:symbol val="circle"/>
            <c:size val="4"/>
            <c:spPr>
              <a:solidFill>
                <a:schemeClr val="accent1"/>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numCache>
            </c:numRef>
          </c:val>
          <c:smooth val="0"/>
          <c:extLst>
            <c:ext xmlns:c16="http://schemas.microsoft.com/office/drawing/2014/chart" uri="{C3380CC4-5D6E-409C-BE32-E72D297353CC}">
              <c16:uniqueId val="{00000000-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2"/>
          <c:order val="2"/>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spPr>
            <a:ln w="19050"/>
          </c:spPr>
          <c:marker>
            <c:symbol val="circle"/>
            <c:size val="4"/>
            <c:spPr>
              <a:solidFill>
                <a:schemeClr val="accent1"/>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numCache>
            </c:numRef>
          </c:val>
          <c:smooth val="0"/>
          <c:extLst>
            <c:ext xmlns:c16="http://schemas.microsoft.com/office/drawing/2014/chart" uri="{C3380CC4-5D6E-409C-BE32-E72D297353CC}">
              <c16:uniqueId val="{00000000-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2"/>
          <c:order val="2"/>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0"/>
          <c:order val="0"/>
          <c:tx>
            <c:v>2018</c:v>
          </c:tx>
          <c:spPr>
            <a:ln w="19050"/>
          </c:spPr>
          <c:marker>
            <c:symbol val="circle"/>
            <c:size val="5"/>
            <c:spPr>
              <a:solidFill>
                <a:schemeClr val="accent5">
                  <a:lumMod val="75000"/>
                </a:schemeClr>
              </a:solidFill>
              <a:ln w="9525">
                <a:solidFill>
                  <a:schemeClr val="bg1"/>
                </a:solidFill>
              </a:ln>
            </c:spPr>
          </c:marker>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numCache>
            </c:numRef>
          </c:val>
          <c:smooth val="0"/>
          <c:extLst>
            <c:ext xmlns:c16="http://schemas.microsoft.com/office/drawing/2014/chart" uri="{C3380CC4-5D6E-409C-BE32-E72D297353CC}">
              <c16:uniqueId val="{00000000-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1-47CE-4929-AC22-8EC513788285}"/>
            </c:ext>
          </c:extLst>
        </c:ser>
        <c:ser>
          <c:idx val="2"/>
          <c:order val="2"/>
          <c:tx>
            <c:v>2016</c:v>
          </c:tx>
          <c:spPr>
            <a:ln w="19050">
              <a:solidFill>
                <a:schemeClr val="accent6"/>
              </a:solidFill>
            </a:ln>
          </c:spPr>
          <c:marker>
            <c:symbol val="star"/>
            <c:size val="7"/>
            <c:spPr>
              <a:noFill/>
              <a:ln>
                <a:solidFill>
                  <a:srgbClr val="00B050"/>
                </a:solidFill>
              </a:ln>
              <a:effectLst/>
            </c:spPr>
          </c:marker>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2-47CE-4929-AC22-8EC513788285}"/>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33219974950640307"/>
          <c:h val="4.8898150517889913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3762AF"/>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1896.8936877253843</c:v>
                </c:pt>
                <c:pt idx="1">
                  <c:v>1787.6815087924697</c:v>
                </c:pt>
                <c:pt idx="2">
                  <c:v>94.728446122924822</c:v>
                </c:pt>
                <c:pt idx="3">
                  <c:v>151.96102152050454</c:v>
                </c:pt>
                <c:pt idx="4">
                  <c:v>12.434307662824024</c:v>
                </c:pt>
                <c:pt idx="5">
                  <c:v>81.908387574829391</c:v>
                </c:pt>
                <c:pt idx="6">
                  <c:v>16.945066748818</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1984.3622375425005</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10.7779047775</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16.255491232499999</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11.030120595</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130.32940518999999</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49.3644935425</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'12.Caudales'!$J$4:$K$138</c:f>
              <c:multiLvlStrCache>
                <c:ptCount val="13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4">
                    <c:v>31</c:v>
                  </c:pt>
                </c:lvl>
                <c:lvl>
                  <c:pt idx="0">
                    <c:v>2016</c:v>
                  </c:pt>
                  <c:pt idx="52">
                    <c:v>2017</c:v>
                  </c:pt>
                  <c:pt idx="104">
                    <c:v>2018</c:v>
                  </c:pt>
                </c:lvl>
              </c:multiLvlStrCache>
            </c:multiLvlStrRef>
          </c:cat>
          <c:val>
            <c:numRef>
              <c:f>'12.Caudales'!$N$4:$N$138</c:f>
              <c:numCache>
                <c:formatCode>0.0</c:formatCode>
                <c:ptCount val="135"/>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'12.Caudales'!$J$4:$K$138</c:f>
              <c:multiLvlStrCache>
                <c:ptCount val="13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4">
                    <c:v>31</c:v>
                  </c:pt>
                </c:lvl>
                <c:lvl>
                  <c:pt idx="0">
                    <c:v>2016</c:v>
                  </c:pt>
                  <c:pt idx="52">
                    <c:v>2017</c:v>
                  </c:pt>
                  <c:pt idx="104">
                    <c:v>2018</c:v>
                  </c:pt>
                </c:lvl>
              </c:multiLvlStrCache>
            </c:multiLvlStrRef>
          </c:cat>
          <c:val>
            <c:numRef>
              <c:f>'12.Caudales'!$O$4:$O$138</c:f>
              <c:numCache>
                <c:formatCode>0.0</c:formatCode>
                <c:ptCount val="135"/>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formatCode="General">
                  <c:v>11.838857105714284</c:v>
                </c:pt>
                <c:pt idx="131" formatCode="General">
                  <c:v>9.7789998731428565</c:v>
                </c:pt>
                <c:pt idx="132" formatCode="General">
                  <c:v>8.4957142857142856</c:v>
                </c:pt>
                <c:pt idx="133" formatCode="General">
                  <c:v>7.807428428142857</c:v>
                </c:pt>
                <c:pt idx="134" formatCode="General">
                  <c:v>7.53</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val>
            <c:numRef>
              <c:f>'12.Caudales'!$M$4:$M$138</c:f>
              <c:numCache>
                <c:formatCode>0.0</c:formatCode>
                <c:ptCount val="135"/>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1"/>
        <c:majorTickMark val="out"/>
        <c:minorTickMark val="none"/>
        <c:tickLblPos val="nextTo"/>
        <c:crossAx val="351131904"/>
        <c:crosses val="autoZero"/>
        <c:auto val="1"/>
        <c:lblAlgn val="ctr"/>
        <c:lblOffset val="100"/>
        <c:tickLblSkip val="4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'13.Caudales'!$N$4:$O$138</c:f>
              <c:multiLvlStrCache>
                <c:ptCount val="13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4">
                    <c:v>31</c:v>
                  </c:pt>
                </c:lvl>
                <c:lvl>
                  <c:pt idx="0">
                    <c:v>2016</c:v>
                  </c:pt>
                  <c:pt idx="52">
                    <c:v>2017</c:v>
                  </c:pt>
                  <c:pt idx="104">
                    <c:v>2018</c:v>
                  </c:pt>
                </c:lvl>
              </c:multiLvlStrCache>
            </c:multiLvlStrRef>
          </c:cat>
          <c:val>
            <c:numRef>
              <c:f>'13.Caudales'!$Q$4:$Q$138</c:f>
              <c:numCache>
                <c:formatCode>0.0</c:formatCode>
                <c:ptCount val="135"/>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chemeClr val="accent5">
                <a:lumMod val="75000"/>
              </a:schemeClr>
            </a:solidFill>
            <a:ln w="25400">
              <a:noFill/>
            </a:ln>
          </c:spPr>
          <c:cat>
            <c:multiLvlStrRef>
              <c:f>'13.Caudales'!$N$4:$O$138</c:f>
              <c:multiLvlStrCache>
                <c:ptCount val="13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4">
                    <c:v>31</c:v>
                  </c:pt>
                </c:lvl>
                <c:lvl>
                  <c:pt idx="0">
                    <c:v>2016</c:v>
                  </c:pt>
                  <c:pt idx="52">
                    <c:v>2017</c:v>
                  </c:pt>
                  <c:pt idx="104">
                    <c:v>2018</c:v>
                  </c:pt>
                </c:lvl>
              </c:multiLvlStrCache>
            </c:multiLvlStrRef>
          </c:cat>
          <c:val>
            <c:numRef>
              <c:f>'13.Caudales'!$R$4:$R$138</c:f>
              <c:numCache>
                <c:formatCode>0.0</c:formatCode>
                <c:ptCount val="135"/>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txPr>
          <a:bodyPr/>
          <a:lstStyle/>
          <a:p>
            <a:pPr>
              <a:defRPr b="0"/>
            </a:pPr>
            <a:endParaRPr lang="es-PE"/>
          </a:p>
        </c:txPr>
        <c:crossAx val="351281152"/>
        <c:crosses val="autoZero"/>
        <c:auto val="1"/>
        <c:lblAlgn val="ctr"/>
        <c:lblOffset val="100"/>
        <c:tickLblSkip val="4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517445072178465"/>
          <c:y val="0.18191753664452179"/>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chemeClr val="accent5">
                <a:lumMod val="75000"/>
              </a:schemeClr>
            </a:solidFill>
          </c:spPr>
          <c:cat>
            <c:multiLvlStrRef>
              <c:f>'13.Caudales'!$N$4:$O$138</c:f>
              <c:multiLvlStrCache>
                <c:ptCount val="13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4">
                    <c:v>31</c:v>
                  </c:pt>
                </c:lvl>
                <c:lvl>
                  <c:pt idx="0">
                    <c:v>2016</c:v>
                  </c:pt>
                  <c:pt idx="52">
                    <c:v>2017</c:v>
                  </c:pt>
                  <c:pt idx="104">
                    <c:v>2018</c:v>
                  </c:pt>
                </c:lvl>
              </c:multiLvlStrCache>
            </c:multiLvlStrRef>
          </c:cat>
          <c:val>
            <c:numRef>
              <c:f>'13.Caudales'!$S$4:$S$138</c:f>
              <c:numCache>
                <c:formatCode>0.0</c:formatCode>
                <c:ptCount val="135"/>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schemeClr>
            </a:solidFill>
            <a:ln w="25400">
              <a:noFill/>
            </a:ln>
          </c:spPr>
          <c:cat>
            <c:multiLvlStrRef>
              <c:f>'13.Caudales'!$N$4:$O$138</c:f>
              <c:multiLvlStrCache>
                <c:ptCount val="13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4">
                    <c:v>31</c:v>
                  </c:pt>
                </c:lvl>
                <c:lvl>
                  <c:pt idx="0">
                    <c:v>2016</c:v>
                  </c:pt>
                  <c:pt idx="52">
                    <c:v>2017</c:v>
                  </c:pt>
                  <c:pt idx="104">
                    <c:v>2018</c:v>
                  </c:pt>
                </c:lvl>
              </c:multiLvlStrCache>
            </c:multiLvlStrRef>
          </c:cat>
          <c:val>
            <c:numRef>
              <c:f>'13.Caudales'!$T$4:$T$138</c:f>
              <c:numCache>
                <c:formatCode>0.0</c:formatCode>
                <c:ptCount val="135"/>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'13.Caudales'!$U$4:$U$138</c:f>
              <c:numCache>
                <c:formatCode>0.0</c:formatCode>
                <c:ptCount val="135"/>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crossAx val="351299456"/>
        <c:crosses val="autoZero"/>
        <c:auto val="1"/>
        <c:lblAlgn val="ctr"/>
        <c:lblOffset val="100"/>
        <c:tickLblSkip val="4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6.513494735125705E-2"/>
          <c:y val="0.15493728093999826"/>
          <c:w val="0.87360906593863497"/>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'13.Caudales'!$N$4:$O$138</c:f>
              <c:multiLvlStrCache>
                <c:ptCount val="13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4">
                    <c:v>31</c:v>
                  </c:pt>
                </c:lvl>
                <c:lvl>
                  <c:pt idx="0">
                    <c:v>2016</c:v>
                  </c:pt>
                  <c:pt idx="52">
                    <c:v>2017</c:v>
                  </c:pt>
                  <c:pt idx="104">
                    <c:v>2018</c:v>
                  </c:pt>
                </c:lvl>
              </c:multiLvlStrCache>
            </c:multiLvlStrRef>
          </c:cat>
          <c:val>
            <c:numRef>
              <c:f>'13.Caudales'!$V$4:$V$138</c:f>
              <c:numCache>
                <c:formatCode>0.0</c:formatCode>
                <c:ptCount val="135"/>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'13.Caudales'!$N$4:$O$138</c:f>
              <c:multiLvlStrCache>
                <c:ptCount val="135"/>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4">
                    <c:v>31</c:v>
                  </c:pt>
                </c:lvl>
                <c:lvl>
                  <c:pt idx="0">
                    <c:v>2016</c:v>
                  </c:pt>
                  <c:pt idx="52">
                    <c:v>2017</c:v>
                  </c:pt>
                  <c:pt idx="104">
                    <c:v>2018</c:v>
                  </c:pt>
                </c:lvl>
              </c:multiLvlStrCache>
            </c:multiLvlStrRef>
          </c:cat>
          <c:val>
            <c:numRef>
              <c:f>'13.Caudales'!$W$4:$W$138</c:f>
              <c:numCache>
                <c:formatCode>0.0</c:formatCode>
                <c:ptCount val="135"/>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'13.Caudales'!$Y$4:$Y$138</c:f>
              <c:numCache>
                <c:formatCode>0.0</c:formatCode>
                <c:ptCount val="135"/>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'13.Caudales'!$X$4:$X$138</c:f>
              <c:numCache>
                <c:formatCode>0.0</c:formatCode>
                <c:ptCount val="135"/>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91419763301439938"/>
              <c:y val="0.92770168283747612"/>
            </c:manualLayout>
          </c:layout>
          <c:overlay val="0"/>
        </c:title>
        <c:numFmt formatCode="General" sourceLinked="1"/>
        <c:majorTickMark val="out"/>
        <c:minorTickMark val="none"/>
        <c:tickLblPos val="nextTo"/>
        <c:crossAx val="351623424"/>
        <c:crosses val="autoZero"/>
        <c:auto val="1"/>
        <c:lblAlgn val="ctr"/>
        <c:lblOffset val="100"/>
        <c:tickLblSkip val="5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16908948927484632"/>
          <c:y val="0.15512966001237669"/>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Julio 2017
INFSGI-MES-07-2017
10/08/2017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CAJAMARCA 220</c:v>
                </c:pt>
                <c:pt idx="3">
                  <c:v>TRUJILLO 220</c:v>
                </c:pt>
                <c:pt idx="4">
                  <c:v>CHIMBOTE1 138</c:v>
                </c:pt>
              </c:strCache>
            </c:strRef>
          </c:cat>
          <c:val>
            <c:numRef>
              <c:f>'14. CMg'!$C$9:$G$9</c:f>
              <c:numCache>
                <c:formatCode>0.00</c:formatCode>
                <c:ptCount val="5"/>
                <c:pt idx="0">
                  <c:v>16.564766996078614</c:v>
                </c:pt>
                <c:pt idx="1">
                  <c:v>16.530420642886973</c:v>
                </c:pt>
                <c:pt idx="2">
                  <c:v>16.33141770490538</c:v>
                </c:pt>
                <c:pt idx="3">
                  <c:v>16.236673141803081</c:v>
                </c:pt>
                <c:pt idx="4">
                  <c:v>16.126945021996381</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CARABAYLLO 220</c:v>
                </c:pt>
                <c:pt idx="2">
                  <c:v>INDEPENDENCIA 220</c:v>
                </c:pt>
                <c:pt idx="3">
                  <c:v>SANTA ROSA 220</c:v>
                </c:pt>
                <c:pt idx="4">
                  <c:v>SAN JUAN 220</c:v>
                </c:pt>
                <c:pt idx="5">
                  <c:v>POMACOCHA 220</c:v>
                </c:pt>
                <c:pt idx="6">
                  <c:v>OROYA NUEVA 50</c:v>
                </c:pt>
              </c:strCache>
            </c:strRef>
          </c:cat>
          <c:val>
            <c:numRef>
              <c:f>'14. CMg'!$C$27:$I$27</c:f>
              <c:numCache>
                <c:formatCode>0.00</c:formatCode>
                <c:ptCount val="7"/>
                <c:pt idx="0">
                  <c:v>15.622012093489902</c:v>
                </c:pt>
                <c:pt idx="1">
                  <c:v>15.615574629616891</c:v>
                </c:pt>
                <c:pt idx="2">
                  <c:v>15.588713282312275</c:v>
                </c:pt>
                <c:pt idx="3">
                  <c:v>15.552385912180361</c:v>
                </c:pt>
                <c:pt idx="4">
                  <c:v>15.535264928427587</c:v>
                </c:pt>
                <c:pt idx="5">
                  <c:v>15.266150788880832</c:v>
                </c:pt>
                <c:pt idx="6">
                  <c:v>15.141740353288519</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SAN GABAN 138</c:v>
                </c:pt>
                <c:pt idx="4">
                  <c:v>MOQUEGUA 138</c:v>
                </c:pt>
                <c:pt idx="5">
                  <c:v>DOLORESPATA 138</c:v>
                </c:pt>
                <c:pt idx="6">
                  <c:v>COTARUSE 220</c:v>
                </c:pt>
              </c:strCache>
            </c:strRef>
          </c:cat>
          <c:val>
            <c:numRef>
              <c:f>'14. CMg'!$C$46:$I$46</c:f>
              <c:numCache>
                <c:formatCode>0.00</c:formatCode>
                <c:ptCount val="7"/>
                <c:pt idx="0">
                  <c:v>17.573287742994651</c:v>
                </c:pt>
                <c:pt idx="1">
                  <c:v>17.262808651045049</c:v>
                </c:pt>
                <c:pt idx="2">
                  <c:v>16.907224069074701</c:v>
                </c:pt>
                <c:pt idx="3">
                  <c:v>16.869806415485954</c:v>
                </c:pt>
                <c:pt idx="4">
                  <c:v>16.515692214235987</c:v>
                </c:pt>
                <c:pt idx="5">
                  <c:v>16.34870990506008</c:v>
                </c:pt>
                <c:pt idx="6">
                  <c:v>16.198556947331877</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JULIO
 2016</c:v>
                </c:pt>
              </c:strCache>
            </c:strRef>
          </c:tx>
          <c:spPr>
            <a:solidFill>
              <a:schemeClr val="accent6"/>
            </a:solidFill>
          </c:spPr>
          <c:invertIfNegative val="0"/>
          <c:cat>
            <c:strRef>
              <c:f>'16. Congestiones'!$C$7:$C$15</c:f>
              <c:strCache>
                <c:ptCount val="6"/>
                <c:pt idx="0">
                  <c:v>ENLACE CENTRO - SUR</c:v>
                </c:pt>
                <c:pt idx="1">
                  <c:v>SAN JUAN - LOS INDUSTRIALES</c:v>
                </c:pt>
                <c:pt idx="2">
                  <c:v>SAN JUAN - SANTA ROSA N.</c:v>
                </c:pt>
                <c:pt idx="3">
                  <c:v>CAMPO ARMIÑO - POMACOCHA</c:v>
                </c:pt>
                <c:pt idx="4">
                  <c:v>MARCONA</c:v>
                </c:pt>
                <c:pt idx="5">
                  <c:v>POROMA - YARABAMBA</c:v>
                </c:pt>
              </c:strCache>
            </c:strRef>
          </c:cat>
          <c:val>
            <c:numRef>
              <c:f>'16. Congestiones'!$F$7:$F$15</c:f>
              <c:numCache>
                <c:formatCode>#,##0.00</c:formatCode>
                <c:ptCount val="6"/>
                <c:pt idx="0">
                  <c:v>457.99999999999994</c:v>
                </c:pt>
                <c:pt idx="1">
                  <c:v>31.883333333333336</c:v>
                </c:pt>
                <c:pt idx="2">
                  <c:v>11.016666666666666</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JULIO
 2017</c:v>
                </c:pt>
              </c:strCache>
            </c:strRef>
          </c:tx>
          <c:invertIfNegative val="0"/>
          <c:cat>
            <c:strRef>
              <c:f>'16. Congestiones'!$C$7:$C$15</c:f>
              <c:strCache>
                <c:ptCount val="6"/>
                <c:pt idx="0">
                  <c:v>ENLACE CENTRO - SUR</c:v>
                </c:pt>
                <c:pt idx="1">
                  <c:v>SAN JUAN - LOS INDUSTRIALES</c:v>
                </c:pt>
                <c:pt idx="2">
                  <c:v>SAN JUAN - SANTA ROSA N.</c:v>
                </c:pt>
                <c:pt idx="3">
                  <c:v>CAMPO ARMIÑO - POMACOCHA</c:v>
                </c:pt>
                <c:pt idx="4">
                  <c:v>MARCONA</c:v>
                </c:pt>
                <c:pt idx="5">
                  <c:v>POROMA - YARABAMBA</c:v>
                </c:pt>
              </c:strCache>
            </c:strRef>
          </c:cat>
          <c:val>
            <c:numRef>
              <c:f>'16. Congestiones'!$E$7:$E$15</c:f>
              <c:numCache>
                <c:formatCode>#,##0.00</c:formatCode>
                <c:ptCount val="6"/>
                <c:pt idx="0">
                  <c:v>729.65</c:v>
                </c:pt>
                <c:pt idx="3">
                  <c:v>29.766666666666666</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JULIO
 2018</c:v>
                </c:pt>
              </c:strCache>
            </c:strRef>
          </c:tx>
          <c:invertIfNegative val="0"/>
          <c:cat>
            <c:strRef>
              <c:f>'16. Congestiones'!$C$7:$C$15</c:f>
              <c:strCache>
                <c:ptCount val="6"/>
                <c:pt idx="0">
                  <c:v>ENLACE CENTRO - SUR</c:v>
                </c:pt>
                <c:pt idx="1">
                  <c:v>SAN JUAN - LOS INDUSTRIALES</c:v>
                </c:pt>
                <c:pt idx="2">
                  <c:v>SAN JUAN - SANTA ROSA N.</c:v>
                </c:pt>
                <c:pt idx="3">
                  <c:v>CAMPO ARMIÑO - POMACOCHA</c:v>
                </c:pt>
                <c:pt idx="4">
                  <c:v>MARCONA</c:v>
                </c:pt>
                <c:pt idx="5">
                  <c:v>POROMA - YARABAMBA</c:v>
                </c:pt>
              </c:strCache>
            </c:strRef>
          </c:cat>
          <c:val>
            <c:numRef>
              <c:f>'16. Congestiones'!$D$7:$D$15</c:f>
              <c:numCache>
                <c:formatCode>#,##0.00</c:formatCode>
                <c:ptCount val="6"/>
                <c:pt idx="0">
                  <c:v>14.133333333333336</c:v>
                </c:pt>
                <c:pt idx="2">
                  <c:v>7.0500000000000025</c:v>
                </c:pt>
                <c:pt idx="4">
                  <c:v>24.283333333333331</c:v>
                </c:pt>
                <c:pt idx="5">
                  <c:v>5.0166666666666675</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3.9859184398062441E-3"/>
              <c:y val="6.277616991279529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5906788488835297"/>
          <c:y val="1.7497032427713666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10"/>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plosion val="9"/>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0.45870176796331252"/>
                  <c:y val="0.66902416412424548"/>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CC-4AD3-904F-2124A98CD904}"/>
                </c:ext>
              </c:extLst>
            </c:dLbl>
            <c:dLbl>
              <c:idx val="1"/>
              <c:layout>
                <c:manualLayout>
                  <c:x val="0.11167774367233667"/>
                  <c:y val="-0.1132093108117278"/>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0CC-4AD3-904F-2124A98CD904}"/>
                </c:ext>
              </c:extLst>
            </c:dLbl>
            <c:dLbl>
              <c:idx val="2"/>
              <c:layout>
                <c:manualLayout>
                  <c:x val="6.9691883195546186E-2"/>
                  <c:y val="0.13121050708664803"/>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7.0457076820908085E-2"/>
                  <c:y val="4.2809969796529901E-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664869594621683"/>
                      <c:h val="0.1449070010843769"/>
                    </c:manualLayout>
                  </c15:layout>
                </c:ext>
                <c:ext xmlns:c16="http://schemas.microsoft.com/office/drawing/2014/chart" uri="{C3380CC4-5D6E-409C-BE32-E72D297353CC}">
                  <c16:uniqueId val="{00000005-E0CC-4AD3-904F-2124A98CD904}"/>
                </c:ext>
              </c:extLst>
            </c:dLbl>
            <c:dLbl>
              <c:idx val="4"/>
              <c:layout>
                <c:manualLayout>
                  <c:x val="-6.8489763354147373E-2"/>
                  <c:y val="-4.67642351177157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3.7672277505573365E-2"/>
                  <c:y val="-2.7026735531117767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45979835666389524"/>
                  <c:y val="0.55198695332325809"/>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0146877086198451"/>
                      <c:h val="0.10153196958530315"/>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0</c:v>
                </c:pt>
                <c:pt idx="1">
                  <c:v>11</c:v>
                </c:pt>
                <c:pt idx="2">
                  <c:v>2</c:v>
                </c:pt>
                <c:pt idx="3">
                  <c:v>13</c:v>
                </c:pt>
                <c:pt idx="4">
                  <c:v>4</c:v>
                </c:pt>
                <c:pt idx="5">
                  <c:v>1</c:v>
                </c:pt>
                <c:pt idx="6">
                  <c:v>0</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67046320672438"/>
          <c:y val="0.15411433058476062"/>
          <c:w val="0.85404588316134722"/>
          <c:h val="0.63039276869020633"/>
        </c:manualLayout>
      </c:layout>
      <c:barChart>
        <c:barDir val="col"/>
        <c:grouping val="stacked"/>
        <c:varyColors val="0"/>
        <c:ser>
          <c:idx val="0"/>
          <c:order val="0"/>
          <c:tx>
            <c:strRef>
              <c:f>'17. Eventos'!$B$6</c:f>
              <c:strCache>
                <c:ptCount val="1"/>
                <c:pt idx="0">
                  <c:v>FNA</c:v>
                </c:pt>
              </c:strCache>
            </c:strRef>
          </c:tx>
          <c:spPr>
            <a:solidFill>
              <a:srgbClr val="6DA6D9"/>
            </a:solidFill>
            <a:effectLst>
              <a:outerShdw blurRad="50800" dist="50800" dir="5400000" algn="ctr" rotWithShape="0">
                <a:srgbClr val="6DA6D9"/>
              </a:outerShdw>
            </a:effectLst>
          </c:spPr>
          <c:invertIfNegative val="0"/>
          <c:cat>
            <c:strRef>
              <c:f>'17. Eventos'!$A$7:$A$10</c:f>
              <c:strCache>
                <c:ptCount val="4"/>
                <c:pt idx="0">
                  <c:v>LINEA DE TRANSMISION</c:v>
                </c:pt>
                <c:pt idx="1">
                  <c:v>TRANSFORMADOR</c:v>
                </c:pt>
                <c:pt idx="2">
                  <c:v>SUBESTACION</c:v>
                </c:pt>
                <c:pt idx="3">
                  <c:v>GENERADOR TERMOELÉCTRICO</c:v>
                </c:pt>
              </c:strCache>
            </c:strRef>
          </c:cat>
          <c:val>
            <c:numRef>
              <c:f>'17. Eventos'!$B$7:$B$10</c:f>
              <c:numCache>
                <c:formatCode>General</c:formatCode>
                <c:ptCount val="4"/>
              </c:numCache>
            </c:numRef>
          </c:val>
          <c:extLst>
            <c:ext xmlns:c16="http://schemas.microsoft.com/office/drawing/2014/chart" uri="{C3380CC4-5D6E-409C-BE32-E72D297353CC}">
              <c16:uniqueId val="{00000000-3A39-4F5B-963C-EC345192568E}"/>
            </c:ext>
          </c:extLst>
        </c:ser>
        <c:ser>
          <c:idx val="1"/>
          <c:order val="1"/>
          <c:tx>
            <c:strRef>
              <c:f>'17. Eventos'!$C$6</c:f>
              <c:strCache>
                <c:ptCount val="1"/>
                <c:pt idx="0">
                  <c:v>FEC</c:v>
                </c:pt>
              </c:strCache>
            </c:strRef>
          </c:tx>
          <c:invertIfNegative val="0"/>
          <c:cat>
            <c:strRef>
              <c:f>'17. Eventos'!$A$7:$A$10</c:f>
              <c:strCache>
                <c:ptCount val="4"/>
                <c:pt idx="0">
                  <c:v>LINEA DE TRANSMISION</c:v>
                </c:pt>
                <c:pt idx="1">
                  <c:v>TRANSFORMADOR</c:v>
                </c:pt>
                <c:pt idx="2">
                  <c:v>SUBESTACION</c:v>
                </c:pt>
                <c:pt idx="3">
                  <c:v>GENERADOR TERMOELÉCTRICO</c:v>
                </c:pt>
              </c:strCache>
            </c:strRef>
          </c:cat>
          <c:val>
            <c:numRef>
              <c:f>'17. Eventos'!$C$7:$C$10</c:f>
              <c:numCache>
                <c:formatCode>General</c:formatCode>
                <c:ptCount val="4"/>
                <c:pt idx="0">
                  <c:v>10</c:v>
                </c:pt>
                <c:pt idx="1">
                  <c:v>1</c:v>
                </c:pt>
              </c:numCache>
            </c:numRef>
          </c:val>
          <c:extLst>
            <c:ext xmlns:c16="http://schemas.microsoft.com/office/drawing/2014/chart" uri="{C3380CC4-5D6E-409C-BE32-E72D297353CC}">
              <c16:uniqueId val="{00000001-3A39-4F5B-963C-EC345192568E}"/>
            </c:ext>
          </c:extLst>
        </c:ser>
        <c:ser>
          <c:idx val="2"/>
          <c:order val="2"/>
          <c:tx>
            <c:strRef>
              <c:f>'17. Eventos'!$D$6</c:f>
              <c:strCache>
                <c:ptCount val="1"/>
                <c:pt idx="0">
                  <c:v>EXT</c:v>
                </c:pt>
              </c:strCache>
            </c:strRef>
          </c:tx>
          <c:spPr>
            <a:solidFill>
              <a:srgbClr val="FF0000"/>
            </a:solidFill>
          </c:spPr>
          <c:invertIfNegative val="0"/>
          <c:cat>
            <c:strRef>
              <c:f>'17. Eventos'!$A$7:$A$10</c:f>
              <c:strCache>
                <c:ptCount val="4"/>
                <c:pt idx="0">
                  <c:v>LINEA DE TRANSMISION</c:v>
                </c:pt>
                <c:pt idx="1">
                  <c:v>TRANSFORMADOR</c:v>
                </c:pt>
                <c:pt idx="2">
                  <c:v>SUBESTACION</c:v>
                </c:pt>
                <c:pt idx="3">
                  <c:v>GENERADOR TERMOELÉCTRICO</c:v>
                </c:pt>
              </c:strCache>
            </c:strRef>
          </c:cat>
          <c:val>
            <c:numRef>
              <c:f>'17. Eventos'!$D$7:$D$10</c:f>
              <c:numCache>
                <c:formatCode>General</c:formatCode>
                <c:ptCount val="4"/>
                <c:pt idx="1">
                  <c:v>1</c:v>
                </c:pt>
                <c:pt idx="2">
                  <c:v>1</c:v>
                </c:pt>
              </c:numCache>
            </c:numRef>
          </c:val>
          <c:extLst>
            <c:ext xmlns:c16="http://schemas.microsoft.com/office/drawing/2014/chart" uri="{C3380CC4-5D6E-409C-BE32-E72D297353CC}">
              <c16:uniqueId val="{00000002-3A39-4F5B-963C-EC345192568E}"/>
            </c:ext>
          </c:extLst>
        </c:ser>
        <c:ser>
          <c:idx val="3"/>
          <c:order val="3"/>
          <c:tx>
            <c:strRef>
              <c:f>'17. Eventos'!$E$6</c:f>
              <c:strCache>
                <c:ptCount val="1"/>
                <c:pt idx="0">
                  <c:v>OTR</c:v>
                </c:pt>
              </c:strCache>
            </c:strRef>
          </c:tx>
          <c:invertIfNegative val="0"/>
          <c:cat>
            <c:strRef>
              <c:f>'17. Eventos'!$A$7:$A$10</c:f>
              <c:strCache>
                <c:ptCount val="4"/>
                <c:pt idx="0">
                  <c:v>LINEA DE TRANSMISION</c:v>
                </c:pt>
                <c:pt idx="1">
                  <c:v>TRANSFORMADOR</c:v>
                </c:pt>
                <c:pt idx="2">
                  <c:v>SUBESTACION</c:v>
                </c:pt>
                <c:pt idx="3">
                  <c:v>GENERADOR TERMOELÉCTRICO</c:v>
                </c:pt>
              </c:strCache>
            </c:strRef>
          </c:cat>
          <c:val>
            <c:numRef>
              <c:f>'17. Eventos'!$E$7:$E$10</c:f>
              <c:numCache>
                <c:formatCode>General</c:formatCode>
                <c:ptCount val="4"/>
                <c:pt idx="0">
                  <c:v>10</c:v>
                </c:pt>
                <c:pt idx="1">
                  <c:v>1</c:v>
                </c:pt>
                <c:pt idx="2">
                  <c:v>1</c:v>
                </c:pt>
                <c:pt idx="3">
                  <c:v>1</c:v>
                </c:pt>
              </c:numCache>
            </c:numRef>
          </c:val>
          <c:extLst>
            <c:ext xmlns:c16="http://schemas.microsoft.com/office/drawing/2014/chart" uri="{C3380CC4-5D6E-409C-BE32-E72D297353CC}">
              <c16:uniqueId val="{00000003-3A39-4F5B-963C-EC345192568E}"/>
            </c:ext>
          </c:extLst>
        </c:ser>
        <c:ser>
          <c:idx val="4"/>
          <c:order val="4"/>
          <c:tx>
            <c:strRef>
              <c:f>'17. Eventos'!$F$6</c:f>
              <c:strCache>
                <c:ptCount val="1"/>
                <c:pt idx="0">
                  <c:v>FNI</c:v>
                </c:pt>
              </c:strCache>
            </c:strRef>
          </c:tx>
          <c:invertIfNegative val="0"/>
          <c:cat>
            <c:strRef>
              <c:f>'17. Eventos'!$A$7:$A$10</c:f>
              <c:strCache>
                <c:ptCount val="4"/>
                <c:pt idx="0">
                  <c:v>LINEA DE TRANSMISION</c:v>
                </c:pt>
                <c:pt idx="1">
                  <c:v>TRANSFORMADOR</c:v>
                </c:pt>
                <c:pt idx="2">
                  <c:v>SUBESTACION</c:v>
                </c:pt>
                <c:pt idx="3">
                  <c:v>GENERADOR TERMOELÉCTRICO</c:v>
                </c:pt>
              </c:strCache>
            </c:strRef>
          </c:cat>
          <c:val>
            <c:numRef>
              <c:f>'17. Eventos'!$F$7:$F$10</c:f>
              <c:numCache>
                <c:formatCode>General</c:formatCode>
                <c:ptCount val="4"/>
                <c:pt idx="0">
                  <c:v>4</c:v>
                </c:pt>
              </c:numCache>
            </c:numRef>
          </c:val>
          <c:extLst>
            <c:ext xmlns:c16="http://schemas.microsoft.com/office/drawing/2014/chart" uri="{C3380CC4-5D6E-409C-BE32-E72D297353CC}">
              <c16:uniqueId val="{00000004-3A39-4F5B-963C-EC345192568E}"/>
            </c:ext>
          </c:extLst>
        </c:ser>
        <c:ser>
          <c:idx val="5"/>
          <c:order val="5"/>
          <c:tx>
            <c:strRef>
              <c:f>'17. Eventos'!$G$6</c:f>
              <c:strCache>
                <c:ptCount val="1"/>
                <c:pt idx="0">
                  <c:v>FEP</c:v>
                </c:pt>
              </c:strCache>
            </c:strRef>
          </c:tx>
          <c:invertIfNegative val="0"/>
          <c:cat>
            <c:strRef>
              <c:f>'17. Eventos'!$A$7:$A$10</c:f>
              <c:strCache>
                <c:ptCount val="4"/>
                <c:pt idx="0">
                  <c:v>LINEA DE TRANSMISION</c:v>
                </c:pt>
                <c:pt idx="1">
                  <c:v>TRANSFORMADOR</c:v>
                </c:pt>
                <c:pt idx="2">
                  <c:v>SUBESTACION</c:v>
                </c:pt>
                <c:pt idx="3">
                  <c:v>GENERADOR TERMOELÉCTRICO</c:v>
                </c:pt>
              </c:strCache>
            </c:strRef>
          </c:cat>
          <c:val>
            <c:numRef>
              <c:f>'17. Eventos'!$G$7:$G$10</c:f>
              <c:numCache>
                <c:formatCode>General</c:formatCode>
                <c:ptCount val="4"/>
                <c:pt idx="0">
                  <c:v>1</c:v>
                </c:pt>
              </c:numCache>
            </c:numRef>
          </c:val>
          <c:extLst>
            <c:ext xmlns:c16="http://schemas.microsoft.com/office/drawing/2014/chart" uri="{C3380CC4-5D6E-409C-BE32-E72D297353CC}">
              <c16:uniqueId val="{00000005-3A39-4F5B-963C-EC345192568E}"/>
            </c:ext>
          </c:extLst>
        </c:ser>
        <c:ser>
          <c:idx val="6"/>
          <c:order val="6"/>
          <c:tx>
            <c:strRef>
              <c:f>'17. Eventos'!$H$6</c:f>
              <c:strCache>
                <c:ptCount val="1"/>
                <c:pt idx="0">
                  <c:v>FHU</c:v>
                </c:pt>
              </c:strCache>
            </c:strRef>
          </c:tx>
          <c:invertIfNegative val="0"/>
          <c:cat>
            <c:strRef>
              <c:f>'17. Eventos'!$A$7:$A$10</c:f>
              <c:strCache>
                <c:ptCount val="4"/>
                <c:pt idx="0">
                  <c:v>LINEA DE TRANSMISION</c:v>
                </c:pt>
                <c:pt idx="1">
                  <c:v>TRANSFORMADOR</c:v>
                </c:pt>
                <c:pt idx="2">
                  <c:v>SUBESTACION</c:v>
                </c:pt>
                <c:pt idx="3">
                  <c:v>GENERADOR TERMOELÉCTRICO</c:v>
                </c:pt>
              </c:strCache>
            </c:strRef>
          </c:cat>
          <c:val>
            <c:numRef>
              <c:f>'17. Eventos'!$H$7:$H$10</c:f>
              <c:numCache>
                <c:formatCode>General</c:formatCode>
                <c:ptCount val="4"/>
              </c:numCache>
            </c:numRef>
          </c:val>
          <c:extLst>
            <c:ext xmlns:c16="http://schemas.microsoft.com/office/drawing/2014/chart" uri="{C3380CC4-5D6E-409C-BE32-E72D297353CC}">
              <c16:uniqueId val="{00000006-3A39-4F5B-963C-EC345192568E}"/>
            </c:ext>
          </c:extLst>
        </c:ser>
        <c:dLbls>
          <c:showLegendKey val="0"/>
          <c:showVal val="0"/>
          <c:showCatName val="0"/>
          <c:showSerName val="0"/>
          <c:showPercent val="0"/>
          <c:showBubbleSize val="0"/>
        </c:dLbls>
        <c:gapWidth val="150"/>
        <c:overlap val="100"/>
        <c:axId val="352867840"/>
        <c:axId val="352869376"/>
      </c:barChart>
      <c:catAx>
        <c:axId val="352867840"/>
        <c:scaling>
          <c:orientation val="minMax"/>
        </c:scaling>
        <c:delete val="0"/>
        <c:axPos val="b"/>
        <c:numFmt formatCode="General" sourceLinked="0"/>
        <c:majorTickMark val="out"/>
        <c:minorTickMark val="none"/>
        <c:tickLblPos val="nextTo"/>
        <c:txPr>
          <a:bodyPr/>
          <a:lstStyle/>
          <a:p>
            <a:pPr>
              <a:defRPr sz="500"/>
            </a:pPr>
            <a:endParaRPr lang="es-PE"/>
          </a:p>
        </c:txPr>
        <c:crossAx val="352869376"/>
        <c:crosses val="autoZero"/>
        <c:auto val="1"/>
        <c:lblAlgn val="ctr"/>
        <c:lblOffset val="100"/>
        <c:noMultiLvlLbl val="0"/>
      </c:catAx>
      <c:valAx>
        <c:axId val="352869376"/>
        <c:scaling>
          <c:orientation val="minMax"/>
        </c:scaling>
        <c:delete val="0"/>
        <c:axPos val="l"/>
        <c:majorGridlines/>
        <c:title>
          <c:tx>
            <c:rich>
              <a:bodyPr rot="0" vert="horz"/>
              <a:lstStyle/>
              <a:p>
                <a:pPr>
                  <a:defRPr sz="600"/>
                </a:pPr>
                <a:r>
                  <a:rPr lang="en-US" sz="600"/>
                  <a:t>N° DE FALLAS</a:t>
                </a:r>
              </a:p>
            </c:rich>
          </c:tx>
          <c:layout>
            <c:manualLayout>
              <c:xMode val="edge"/>
              <c:yMode val="edge"/>
              <c:x val="2.4597092847016402E-2"/>
              <c:y val="3.8461376330487934E-2"/>
            </c:manualLayout>
          </c:layout>
          <c:overlay val="0"/>
        </c:title>
        <c:numFmt formatCode="General" sourceLinked="1"/>
        <c:majorTickMark val="out"/>
        <c:minorTickMark val="none"/>
        <c:tickLblPos val="nextTo"/>
        <c:txPr>
          <a:bodyPr/>
          <a:lstStyle/>
          <a:p>
            <a:pPr>
              <a:defRPr sz="700"/>
            </a:pPr>
            <a:endParaRPr lang="es-PE"/>
          </a:p>
        </c:txPr>
        <c:crossAx val="352867840"/>
        <c:crosses val="autoZero"/>
        <c:crossBetween val="between"/>
      </c:valAx>
    </c:plotArea>
    <c:legend>
      <c:legendPos val="r"/>
      <c:layout>
        <c:manualLayout>
          <c:xMode val="edge"/>
          <c:yMode val="edge"/>
          <c:x val="0.22390875865547152"/>
          <c:y val="5.7345558014543156E-2"/>
          <c:w val="0.72708896216522545"/>
          <c:h val="7.1763471867969358E-2"/>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4817540936162034E-2"/>
          <c:y val="9.4498598583222973E-2"/>
          <c:w val="0.66250934144560814"/>
          <c:h val="0.75611868754961753"/>
        </c:manualLayout>
      </c:layout>
      <c:barChart>
        <c:barDir val="bar"/>
        <c:grouping val="stacked"/>
        <c:varyColors val="0"/>
        <c:ser>
          <c:idx val="0"/>
          <c:order val="0"/>
          <c:tx>
            <c:strRef>
              <c:f>'2. Oferta de generación'!$B$36:$C$36</c:f>
              <c:strCache>
                <c:ptCount val="2"/>
                <c:pt idx="0">
                  <c:v>HIDROELÉCTRICA</c:v>
                </c:pt>
              </c:strCache>
            </c:strRef>
          </c:tx>
          <c:invertIfNegative val="0"/>
          <c:cat>
            <c:strRef>
              <c:f>'2. Oferta de generación'!$D$35:$E$35</c:f>
              <c:strCache>
                <c:ptCount val="2"/>
                <c:pt idx="0">
                  <c:v>JULIO 2018</c:v>
                </c:pt>
                <c:pt idx="1">
                  <c:v>JULIO 2017</c:v>
                </c:pt>
              </c:strCache>
            </c:strRef>
          </c:cat>
          <c:val>
            <c:numRef>
              <c:f>'2. Oferta de generación'!$D$36:$E$36</c:f>
              <c:numCache>
                <c:formatCode>#,##0.0</c:formatCode>
                <c:ptCount val="2"/>
                <c:pt idx="0">
                  <c:v>4904.5012475000012</c:v>
                </c:pt>
                <c:pt idx="1">
                  <c:v>4870.7</c:v>
                </c:pt>
              </c:numCache>
            </c:numRef>
          </c:val>
          <c:extLst>
            <c:ext xmlns:c16="http://schemas.microsoft.com/office/drawing/2014/chart" uri="{C3380CC4-5D6E-409C-BE32-E72D297353CC}">
              <c16:uniqueId val="{00000004-54B0-402D-913D-0304413B844F}"/>
            </c:ext>
          </c:extLst>
        </c:ser>
        <c:ser>
          <c:idx val="1"/>
          <c:order val="1"/>
          <c:tx>
            <c:strRef>
              <c:f>'2. Oferta de generación'!$B$37:$C$37</c:f>
              <c:strCache>
                <c:ptCount val="2"/>
                <c:pt idx="0">
                  <c:v>TERMOELÉCTRICA</c:v>
                </c:pt>
              </c:strCache>
            </c:strRef>
          </c:tx>
          <c:spPr>
            <a:solidFill>
              <a:schemeClr val="accent2"/>
            </a:solidFill>
          </c:spPr>
          <c:invertIfNegative val="0"/>
          <c:cat>
            <c:strRef>
              <c:f>'2. Oferta de generación'!$D$35:$E$35</c:f>
              <c:strCache>
                <c:ptCount val="2"/>
                <c:pt idx="0">
                  <c:v>JULIO 2018</c:v>
                </c:pt>
                <c:pt idx="1">
                  <c:v>JULIO 2017</c:v>
                </c:pt>
              </c:strCache>
            </c:strRef>
          </c:cat>
          <c:val>
            <c:numRef>
              <c:f>'2. Oferta de generación'!$D$37:$E$37</c:f>
              <c:numCache>
                <c:formatCode>#,##0.0</c:formatCode>
                <c:ptCount val="2"/>
                <c:pt idx="0">
                  <c:v>7393.5644999999995</c:v>
                </c:pt>
                <c:pt idx="1">
                  <c:v>7373.5784999999987</c:v>
                </c:pt>
              </c:numCache>
            </c:numRef>
          </c:val>
          <c:extLst>
            <c:ext xmlns:c16="http://schemas.microsoft.com/office/drawing/2014/chart" uri="{C3380CC4-5D6E-409C-BE32-E72D297353CC}">
              <c16:uniqueId val="{00000005-54B0-402D-913D-0304413B844F}"/>
            </c:ext>
          </c:extLst>
        </c:ser>
        <c:ser>
          <c:idx val="2"/>
          <c:order val="2"/>
          <c:tx>
            <c:strRef>
              <c:f>'2. Oferta de generación'!$B$38:$C$38</c:f>
              <c:strCache>
                <c:ptCount val="2"/>
                <c:pt idx="0">
                  <c:v>EÓLICA</c:v>
                </c:pt>
              </c:strCache>
            </c:strRef>
          </c:tx>
          <c:spPr>
            <a:solidFill>
              <a:srgbClr val="6DA6D9"/>
            </a:solidFill>
          </c:spPr>
          <c:invertIfNegative val="0"/>
          <c:cat>
            <c:strRef>
              <c:f>'2. Oferta de generación'!$D$35:$E$35</c:f>
              <c:strCache>
                <c:ptCount val="2"/>
                <c:pt idx="0">
                  <c:v>JULIO 2018</c:v>
                </c:pt>
                <c:pt idx="1">
                  <c:v>JULIO 2017</c:v>
                </c:pt>
              </c:strCache>
            </c:strRef>
          </c:cat>
          <c:val>
            <c:numRef>
              <c:f>'2. Oferta de generación'!$D$38:$E$38</c:f>
              <c:numCache>
                <c:formatCode>#,##0.0</c:formatCode>
                <c:ptCount val="2"/>
                <c:pt idx="0">
                  <c:v>375.46</c:v>
                </c:pt>
                <c:pt idx="1">
                  <c:v>96</c:v>
                </c:pt>
              </c:numCache>
            </c:numRef>
          </c:val>
          <c:extLst>
            <c:ext xmlns:c16="http://schemas.microsoft.com/office/drawing/2014/chart" uri="{C3380CC4-5D6E-409C-BE32-E72D297353CC}">
              <c16:uniqueId val="{00000006-54B0-402D-913D-0304413B844F}"/>
            </c:ext>
          </c:extLst>
        </c:ser>
        <c:ser>
          <c:idx val="3"/>
          <c:order val="3"/>
          <c:tx>
            <c:strRef>
              <c:f>'2. Oferta de generación'!$B$39:$C$39</c:f>
              <c:strCache>
                <c:ptCount val="2"/>
                <c:pt idx="0">
                  <c:v>SOLAR</c:v>
                </c:pt>
              </c:strCache>
            </c:strRef>
          </c:tx>
          <c:invertIfNegative val="0"/>
          <c:cat>
            <c:strRef>
              <c:f>'2. Oferta de generación'!$D$35:$E$35</c:f>
              <c:strCache>
                <c:ptCount val="2"/>
                <c:pt idx="0">
                  <c:v>JULIO 2018</c:v>
                </c:pt>
                <c:pt idx="1">
                  <c:v>JULIO 2017</c:v>
                </c:pt>
              </c:strCache>
            </c:strRef>
          </c:cat>
          <c:val>
            <c:numRef>
              <c:f>'2. Oferta de generación'!$D$39:$E$39</c:f>
              <c:numCache>
                <c:formatCode>#,##0.0</c:formatCode>
                <c:ptCount val="2"/>
                <c:pt idx="0">
                  <c:v>285.02</c:v>
                </c:pt>
                <c:pt idx="1">
                  <c:v>243.16</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crossAx val="363950080"/>
        <c:crosses val="autoZero"/>
        <c:crossBetween val="between"/>
      </c:valAx>
    </c:plotArea>
    <c:legend>
      <c:legendPos val="r"/>
      <c:layout>
        <c:manualLayout>
          <c:xMode val="edge"/>
          <c:yMode val="edge"/>
          <c:x val="0.78598738032030491"/>
          <c:y val="0.33306767186314951"/>
          <c:w val="0.15376585619403896"/>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8581869765562986"/>
        </c:manualLayout>
      </c:layout>
      <c:barChart>
        <c:barDir val="col"/>
        <c:grouping val="clustered"/>
        <c:varyColors val="0"/>
        <c:ser>
          <c:idx val="0"/>
          <c:order val="0"/>
          <c:invertIfNegative val="0"/>
          <c:cat>
            <c:strRef>
              <c:f>'17. Eventos'!$A$7:$A$10</c:f>
              <c:strCache>
                <c:ptCount val="4"/>
                <c:pt idx="0">
                  <c:v>LINEA DE TRANSMISION</c:v>
                </c:pt>
                <c:pt idx="1">
                  <c:v>TRANSFORMADOR</c:v>
                </c:pt>
                <c:pt idx="2">
                  <c:v>SUBESTACION</c:v>
                </c:pt>
                <c:pt idx="3">
                  <c:v>GENERADOR TERMOELÉCTRICO</c:v>
                </c:pt>
              </c:strCache>
            </c:strRef>
          </c:cat>
          <c:val>
            <c:numRef>
              <c:f>'17. Eventos'!$J$7:$J$10</c:f>
              <c:numCache>
                <c:formatCode>#,##0.00</c:formatCode>
                <c:ptCount val="4"/>
                <c:pt idx="0">
                  <c:v>217.26999999999998</c:v>
                </c:pt>
                <c:pt idx="1">
                  <c:v>36.9</c:v>
                </c:pt>
                <c:pt idx="2">
                  <c:v>24.17</c:v>
                </c:pt>
                <c:pt idx="3">
                  <c:v>3.67</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6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1000">
                <a:latin typeface="Arial" panose="020B0604020202020204" pitchFamily="34" charset="0"/>
                <a:cs typeface="Arial" panose="020B0604020202020204" pitchFamily="34" charset="0"/>
              </a:rPr>
              <a:t>Ingreso de potencia efectiva en el SEIN</a:t>
            </a:r>
          </a:p>
        </c:rich>
      </c:tx>
      <c:layout>
        <c:manualLayout>
          <c:xMode val="edge"/>
          <c:yMode val="edge"/>
          <c:x val="0.29679558481294815"/>
          <c:y val="5.2798140554937414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generación'!$L$15:$L$18</c:f>
              <c:strCache>
                <c:ptCount val="4"/>
                <c:pt idx="0">
                  <c:v>Central Solar</c:v>
                </c:pt>
                <c:pt idx="1">
                  <c:v>Central Hidroeléctrica</c:v>
                </c:pt>
                <c:pt idx="2">
                  <c:v>Turbina de Vapor</c:v>
                </c:pt>
                <c:pt idx="3">
                  <c:v>Central Eólica</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97B6-4FBD-B93B-1DCD19285F24}"/>
              </c:ext>
            </c:extLst>
          </c:dPt>
          <c:dPt>
            <c:idx val="2"/>
            <c:invertIfNegative val="0"/>
            <c:bubble3D val="0"/>
            <c:spPr>
              <a:solidFill>
                <a:srgbClr val="C00000"/>
              </a:solidFill>
              <a:ln>
                <a:noFill/>
              </a:ln>
              <a:effectLst/>
            </c:spPr>
            <c:extLst>
              <c:ext xmlns:c16="http://schemas.microsoft.com/office/drawing/2014/chart" uri="{C3380CC4-5D6E-409C-BE32-E72D297353CC}">
                <c16:uniqueId val="{00000003-C9D3-4E91-B7E1-0582E6522F1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4-AD22-45F6-B9A6-5508A0BEF6F5}"/>
              </c:ext>
            </c:extLst>
          </c:dPt>
          <c:dLbls>
            <c:delete val="1"/>
          </c:dLbls>
          <c:cat>
            <c:strRef>
              <c:f>'2. Oferta de generación'!$L$15:$L$18</c:f>
              <c:strCache>
                <c:ptCount val="4"/>
                <c:pt idx="0">
                  <c:v>Central Solar</c:v>
                </c:pt>
                <c:pt idx="1">
                  <c:v>Central Hidroeléctrica</c:v>
                </c:pt>
                <c:pt idx="2">
                  <c:v>Turbina de Vapor</c:v>
                </c:pt>
                <c:pt idx="3">
                  <c:v>Central Eólica</c:v>
                </c:pt>
              </c:strCache>
            </c:strRef>
          </c:cat>
          <c:val>
            <c:numRef>
              <c:f>'2. Oferta de generación'!$M$15:$M$18</c:f>
              <c:numCache>
                <c:formatCode>#,##0.00</c:formatCode>
                <c:ptCount val="4"/>
                <c:pt idx="0">
                  <c:v>189.01999999999998</c:v>
                </c:pt>
                <c:pt idx="1">
                  <c:v>20</c:v>
                </c:pt>
                <c:pt idx="2">
                  <c:v>103.95113000000001</c:v>
                </c:pt>
                <c:pt idx="3" formatCode="General">
                  <c:v>132.30000000000001</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2016</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13927.572308635352</c:v>
                </c:pt>
                <c:pt idx="1">
                  <c:v>13205.376295114118</c:v>
                </c:pt>
                <c:pt idx="2">
                  <c:v>552.01603168100928</c:v>
                </c:pt>
                <c:pt idx="3">
                  <c:v>132.03879341999991</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2017</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17284.832149602615</c:v>
                </c:pt>
                <c:pt idx="1">
                  <c:v>10509.09254780483</c:v>
                </c:pt>
                <c:pt idx="2">
                  <c:v>541.74678969389709</c:v>
                </c:pt>
                <c:pt idx="3">
                  <c:v>122.21345060204001</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2018</c:v>
                </c:pt>
              </c:strCache>
            </c:strRef>
          </c:tx>
          <c:spPr>
            <a:solidFill>
              <a:schemeClr val="accent1"/>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18325.8867875875</c:v>
                </c:pt>
                <c:pt idx="1">
                  <c:v>9826.5087753150001</c:v>
                </c:pt>
                <c:pt idx="2">
                  <c:v>788.91402797000001</c:v>
                </c:pt>
                <c:pt idx="3">
                  <c:v>380.15961603249997</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2018</c:v>
                </c:pt>
              </c:strCache>
            </c:strRef>
          </c:tx>
          <c:spPr>
            <a:solidFill>
              <a:srgbClr val="3762AF"/>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18325.8867875875</c:v>
                </c:pt>
                <c:pt idx="1">
                  <c:v>9168.6644676100004</c:v>
                </c:pt>
                <c:pt idx="2">
                  <c:v>290.84472570249994</c:v>
                </c:pt>
                <c:pt idx="3">
                  <c:v>175.03820562000001</c:v>
                </c:pt>
                <c:pt idx="4">
                  <c:v>0</c:v>
                </c:pt>
                <c:pt idx="5">
                  <c:v>37.679417740000005</c:v>
                </c:pt>
                <c:pt idx="6">
                  <c:v>4.449891785000001</c:v>
                </c:pt>
                <c:pt idx="7">
                  <c:v>1.99292362</c:v>
                </c:pt>
                <c:pt idx="8">
                  <c:v>71.531415449999997</c:v>
                </c:pt>
                <c:pt idx="9">
                  <c:v>50.502784532499994</c:v>
                </c:pt>
                <c:pt idx="10">
                  <c:v>25.804943254999998</c:v>
                </c:pt>
                <c:pt idx="11">
                  <c:v>380.15961603249997</c:v>
                </c:pt>
                <c:pt idx="12">
                  <c:v>788.91402797000001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2017</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17284.832149602615</c:v>
                </c:pt>
                <c:pt idx="1">
                  <c:v>9172.7644845748946</c:v>
                </c:pt>
                <c:pt idx="2">
                  <c:v>229.67548908790988</c:v>
                </c:pt>
                <c:pt idx="3">
                  <c:v>43.204347514600897</c:v>
                </c:pt>
                <c:pt idx="4">
                  <c:v>9.7034091828799998</c:v>
                </c:pt>
                <c:pt idx="5">
                  <c:v>465.26369014819176</c:v>
                </c:pt>
                <c:pt idx="6">
                  <c:v>80.571427396593961</c:v>
                </c:pt>
                <c:pt idx="7">
                  <c:v>0.24963529262500003</c:v>
                </c:pt>
                <c:pt idx="8">
                  <c:v>436.27031135880492</c:v>
                </c:pt>
                <c:pt idx="9">
                  <c:v>48.957428242631231</c:v>
                </c:pt>
                <c:pt idx="10">
                  <c:v>22.432325005696626</c:v>
                </c:pt>
                <c:pt idx="11">
                  <c:v>122.21345060204001</c:v>
                </c:pt>
                <c:pt idx="12">
                  <c:v>541.74678969389709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2016</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13927.572308635352</c:v>
                </c:pt>
                <c:pt idx="1">
                  <c:v>11477.894992374886</c:v>
                </c:pt>
                <c:pt idx="2">
                  <c:v>348.04523185415178</c:v>
                </c:pt>
                <c:pt idx="3">
                  <c:v>297.20092425954732</c:v>
                </c:pt>
                <c:pt idx="4">
                  <c:v>73.907966277108002</c:v>
                </c:pt>
                <c:pt idx="5">
                  <c:v>404.6020043207036</c:v>
                </c:pt>
                <c:pt idx="6">
                  <c:v>130.65408256447145</c:v>
                </c:pt>
                <c:pt idx="7">
                  <c:v>3.1951939469593698</c:v>
                </c:pt>
                <c:pt idx="8">
                  <c:v>386.31655198612157</c:v>
                </c:pt>
                <c:pt idx="9">
                  <c:v>55.0172398081464</c:v>
                </c:pt>
                <c:pt idx="10">
                  <c:v>28.542107722025001</c:v>
                </c:pt>
                <c:pt idx="11">
                  <c:v>132.03879341999991</c:v>
                </c:pt>
                <c:pt idx="12">
                  <c:v>552.01603168100928</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Setiembre 2017
INFSGI-MES-09-2017
05/10/2017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2016</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532.07533790032085</c:v>
                </c:pt>
                <c:pt idx="1">
                  <c:v>552.01603168100928</c:v>
                </c:pt>
                <c:pt idx="2">
                  <c:v>132.03879341999991</c:v>
                </c:pt>
                <c:pt idx="3">
                  <c:v>55.0172398081464</c:v>
                </c:pt>
                <c:pt idx="4">
                  <c:v>28.542107722025001</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2017</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665.73395083403761</c:v>
                </c:pt>
                <c:pt idx="1">
                  <c:v>541.74678969389709</c:v>
                </c:pt>
                <c:pt idx="2">
                  <c:v>122.21345060204001</c:v>
                </c:pt>
                <c:pt idx="3">
                  <c:v>48.957428242631231</c:v>
                </c:pt>
                <c:pt idx="4">
                  <c:v>22.432325005696626</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2018</c:v>
                </c:pt>
              </c:strCache>
            </c:strRef>
          </c:tx>
          <c:spPr>
            <a:solidFill>
              <a:srgbClr val="0070C0"/>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741.07339331500009</c:v>
                </c:pt>
                <c:pt idx="1">
                  <c:v>788.91402797000001</c:v>
                </c:pt>
                <c:pt idx="2">
                  <c:v>380.15961603249997</c:v>
                </c:pt>
                <c:pt idx="3">
                  <c:v>50.502784532499994</c:v>
                </c:pt>
                <c:pt idx="4">
                  <c:v>25.804943254999998</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7851341358547358E-2"/>
                  <c:y val="2.836396364149052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1.4280734838135646E-2"/>
                  <c:y val="-0.1437763513839987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6,15%</a:t>
                    </a:r>
                  </a:p>
                </c:rich>
              </c:tx>
              <c:numFmt formatCode="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3941.7115709425007</c:v>
                </c:pt>
                <c:pt idx="1">
                  <c:v>67.579665022500023</c:v>
                </c:pt>
                <c:pt idx="2">
                  <c:v>130.32940518999999</c:v>
                </c:pt>
                <c:pt idx="3">
                  <c:v>49.3644935425</c:v>
                </c:pt>
                <c:pt idx="4">
                  <c:v>8.1191125700000004</c:v>
                </c:pt>
                <c:pt idx="5">
                  <c:v>2.9110080250000001</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invertIfNegative val="0"/>
          <c:cat>
            <c:strRef>
              <c:f>'6. FP RER'!$L$6:$L$24</c:f>
              <c:strCache>
                <c:ptCount val="19"/>
                <c:pt idx="0">
                  <c:v>C.H. RENOVANDES H1</c:v>
                </c:pt>
                <c:pt idx="1">
                  <c:v>C.H. YARUCAYA</c:v>
                </c:pt>
                <c:pt idx="2">
                  <c:v>C.H. RUNATULLO III</c:v>
                </c:pt>
                <c:pt idx="3">
                  <c:v>C.H. RUNATULLO II</c:v>
                </c:pt>
                <c:pt idx="4">
                  <c:v>C.H. LA JOYA</c:v>
                </c:pt>
                <c:pt idx="5">
                  <c:v>C.H. LAS PIZARRAS</c:v>
                </c:pt>
                <c:pt idx="6">
                  <c:v>C.H. POECHOS II</c:v>
                </c:pt>
                <c:pt idx="7">
                  <c:v>C.H. POTRERO</c:v>
                </c:pt>
                <c:pt idx="8">
                  <c:v>C.H. HUASAHUASI II</c:v>
                </c:pt>
                <c:pt idx="9">
                  <c:v>C.H. HUASAHUASI I</c:v>
                </c:pt>
                <c:pt idx="10">
                  <c:v>C.H. IMPERIAL</c:v>
                </c:pt>
                <c:pt idx="11">
                  <c:v>C.H. CANCHAYLLO</c:v>
                </c:pt>
                <c:pt idx="12">
                  <c:v>C.H. YANAPAMPA</c:v>
                </c:pt>
                <c:pt idx="13">
                  <c:v>C.H. CAÑA BRAVA</c:v>
                </c:pt>
                <c:pt idx="14">
                  <c:v>C.H. RONCADOR</c:v>
                </c:pt>
                <c:pt idx="15">
                  <c:v>C.H. SANTA CRUZ II</c:v>
                </c:pt>
                <c:pt idx="16">
                  <c:v>C.H. SANTA CRUZ I</c:v>
                </c:pt>
                <c:pt idx="17">
                  <c:v>C.H. PURMACANA</c:v>
                </c:pt>
                <c:pt idx="18">
                  <c:v>C.H. CARHUAQUERO IV</c:v>
                </c:pt>
              </c:strCache>
            </c:strRef>
          </c:cat>
          <c:val>
            <c:numRef>
              <c:f>'6. FP RER'!$O$6:$O$24</c:f>
              <c:numCache>
                <c:formatCode>0.00</c:formatCode>
                <c:ptCount val="19"/>
                <c:pt idx="0">
                  <c:v>14.22320399</c:v>
                </c:pt>
                <c:pt idx="1">
                  <c:v>10.850510617499999</c:v>
                </c:pt>
                <c:pt idx="2">
                  <c:v>6.6333600500000003</c:v>
                </c:pt>
                <c:pt idx="3">
                  <c:v>4.5812578149999998</c:v>
                </c:pt>
                <c:pt idx="4">
                  <c:v>3.8786530300000006</c:v>
                </c:pt>
                <c:pt idx="5">
                  <c:v>3.7573950974999999</c:v>
                </c:pt>
                <c:pt idx="6">
                  <c:v>3.49702081</c:v>
                </c:pt>
                <c:pt idx="7">
                  <c:v>3.0547518500000002</c:v>
                </c:pt>
                <c:pt idx="8">
                  <c:v>3.0124146475</c:v>
                </c:pt>
                <c:pt idx="9">
                  <c:v>2.7285876950000003</c:v>
                </c:pt>
                <c:pt idx="10">
                  <c:v>2.3769</c:v>
                </c:pt>
                <c:pt idx="11">
                  <c:v>1.8083924999999998</c:v>
                </c:pt>
                <c:pt idx="12">
                  <c:v>1.7380232949999999</c:v>
                </c:pt>
                <c:pt idx="13">
                  <c:v>1.6646604850000002</c:v>
                </c:pt>
                <c:pt idx="14">
                  <c:v>1.3763512499999999</c:v>
                </c:pt>
                <c:pt idx="15">
                  <c:v>1.2528884</c:v>
                </c:pt>
                <c:pt idx="16">
                  <c:v>1.0353831449999999</c:v>
                </c:pt>
                <c:pt idx="17">
                  <c:v>0.10120691750000001</c:v>
                </c:pt>
                <c:pt idx="18">
                  <c:v>8.7034274999999994E-3</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RER'!$L$6:$L$24</c:f>
              <c:strCache>
                <c:ptCount val="19"/>
                <c:pt idx="0">
                  <c:v>C.H. RENOVANDES H1</c:v>
                </c:pt>
                <c:pt idx="1">
                  <c:v>C.H. YARUCAYA</c:v>
                </c:pt>
                <c:pt idx="2">
                  <c:v>C.H. RUNATULLO III</c:v>
                </c:pt>
                <c:pt idx="3">
                  <c:v>C.H. RUNATULLO II</c:v>
                </c:pt>
                <c:pt idx="4">
                  <c:v>C.H. LA JOYA</c:v>
                </c:pt>
                <c:pt idx="5">
                  <c:v>C.H. LAS PIZARRAS</c:v>
                </c:pt>
                <c:pt idx="6">
                  <c:v>C.H. POECHOS II</c:v>
                </c:pt>
                <c:pt idx="7">
                  <c:v>C.H. POTRERO</c:v>
                </c:pt>
                <c:pt idx="8">
                  <c:v>C.H. HUASAHUASI II</c:v>
                </c:pt>
                <c:pt idx="9">
                  <c:v>C.H. HUASAHUASI I</c:v>
                </c:pt>
                <c:pt idx="10">
                  <c:v>C.H. IMPERIAL</c:v>
                </c:pt>
                <c:pt idx="11">
                  <c:v>C.H. CANCHAYLLO</c:v>
                </c:pt>
                <c:pt idx="12">
                  <c:v>C.H. YANAPAMPA</c:v>
                </c:pt>
                <c:pt idx="13">
                  <c:v>C.H. CAÑA BRAVA</c:v>
                </c:pt>
                <c:pt idx="14">
                  <c:v>C.H. RONCADOR</c:v>
                </c:pt>
                <c:pt idx="15">
                  <c:v>C.H. SANTA CRUZ II</c:v>
                </c:pt>
                <c:pt idx="16">
                  <c:v>C.H. SANTA CRUZ I</c:v>
                </c:pt>
                <c:pt idx="17">
                  <c:v>C.H. PURMACANA</c:v>
                </c:pt>
                <c:pt idx="18">
                  <c:v>C.H. CARHUAQUERO IV</c:v>
                </c:pt>
              </c:strCache>
            </c:strRef>
          </c:cat>
          <c:val>
            <c:numRef>
              <c:f>'6. FP RER'!$P$6:$P$24</c:f>
              <c:numCache>
                <c:formatCode>0.00</c:formatCode>
                <c:ptCount val="19"/>
                <c:pt idx="0">
                  <c:v>0.98772249930555556</c:v>
                </c:pt>
                <c:pt idx="1">
                  <c:v>1.0046769090277778</c:v>
                </c:pt>
                <c:pt idx="2">
                  <c:v>0.46143444202366246</c:v>
                </c:pt>
                <c:pt idx="3">
                  <c:v>0.31866870718630186</c:v>
                </c:pt>
                <c:pt idx="4">
                  <c:v>0.69554784986729801</c:v>
                </c:pt>
                <c:pt idx="5">
                  <c:v>0.27180938576959468</c:v>
                </c:pt>
                <c:pt idx="6">
                  <c:v>0.50773294451413564</c:v>
                </c:pt>
                <c:pt idx="7">
                  <c:v>0.21320155290340595</c:v>
                </c:pt>
                <c:pt idx="8">
                  <c:v>0.40930436633133332</c:v>
                </c:pt>
                <c:pt idx="9">
                  <c:v>0.3847416377608574</c:v>
                </c:pt>
                <c:pt idx="10">
                  <c:v>0.83280776992936434</c:v>
                </c:pt>
                <c:pt idx="11">
                  <c:v>0.48403473694353438</c:v>
                </c:pt>
                <c:pt idx="12">
                  <c:v>0.6163921860818381</c:v>
                </c:pt>
                <c:pt idx="13">
                  <c:v>0.40776515897511273</c:v>
                </c:pt>
                <c:pt idx="14">
                  <c:v>0.54931004549808427</c:v>
                </c:pt>
                <c:pt idx="15">
                  <c:v>0.23439153795498083</c:v>
                </c:pt>
                <c:pt idx="16">
                  <c:v>0.20667320290792374</c:v>
                </c:pt>
                <c:pt idx="17">
                  <c:v>8.2010013532347992E-2</c:v>
                </c:pt>
                <c:pt idx="18">
                  <c:v>1.2108678503455874E-3</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Factor</a:t>
                </a:r>
                <a:r>
                  <a:rPr lang="es-PA" sz="800" baseline="0">
                    <a:latin typeface="Arial" panose="020B0604020202020204" pitchFamily="34" charset="0"/>
                    <a:cs typeface="Arial" panose="020B0604020202020204" pitchFamily="34" charset="0"/>
                  </a:rPr>
                  <a:t> de Planta</a:t>
                </a:r>
                <a:endParaRPr lang="es-PA" sz="800">
                  <a:latin typeface="Arial" panose="020B0604020202020204" pitchFamily="34" charset="0"/>
                  <a:cs typeface="Arial" panose="020B0604020202020204" pitchFamily="34" charset="0"/>
                </a:endParaRPr>
              </a:p>
            </c:rich>
          </c:tx>
          <c:layout>
            <c:manualLayout>
              <c:xMode val="edge"/>
              <c:yMode val="edge"/>
              <c:x val="0.85854942532626366"/>
              <c:y val="3.8413333173692846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100852</xdr:colOff>
      <xdr:row>0</xdr:row>
      <xdr:rowOff>40821</xdr:rowOff>
    </xdr:from>
    <xdr:to>
      <xdr:col>11</xdr:col>
      <xdr:colOff>1109381</xdr:colOff>
      <xdr:row>72</xdr:row>
      <xdr:rowOff>89647</xdr:rowOff>
    </xdr:to>
    <xdr:pic>
      <xdr:nvPicPr>
        <xdr:cNvPr id="2" name="Picture 1">
          <a:extLst>
            <a:ext uri="{FF2B5EF4-FFF2-40B4-BE49-F238E27FC236}">
              <a16:creationId xmlns:a16="http://schemas.microsoft.com/office/drawing/2014/main" id="{C3ABA9EF-4C1B-4663-926D-480C60E28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852" y="40821"/>
          <a:ext cx="7104529" cy="10537532"/>
        </a:xfrm>
        <a:prstGeom prst="rect">
          <a:avLst/>
        </a:prstGeom>
        <a:solidFill>
          <a:srgbClr val="002060"/>
        </a:solidFill>
      </xdr:spPr>
    </xdr:pic>
    <xdr:clientData/>
  </xdr:twoCellAnchor>
  <xdr:twoCellAnchor>
    <xdr:from>
      <xdr:col>0</xdr:col>
      <xdr:colOff>179574</xdr:colOff>
      <xdr:row>58</xdr:row>
      <xdr:rowOff>143650</xdr:rowOff>
    </xdr:from>
    <xdr:to>
      <xdr:col>6</xdr:col>
      <xdr:colOff>417238</xdr:colOff>
      <xdr:row>71</xdr:row>
      <xdr:rowOff>6112</xdr:rowOff>
    </xdr:to>
    <xdr:sp macro="" textlink="">
      <xdr:nvSpPr>
        <xdr:cNvPr id="3" name="TextBox 2">
          <a:extLst>
            <a:ext uri="{FF2B5EF4-FFF2-40B4-BE49-F238E27FC236}">
              <a16:creationId xmlns:a16="http://schemas.microsoft.com/office/drawing/2014/main" id="{55D3BBEA-5B90-42B5-94DC-0D73BC60F760}"/>
            </a:ext>
          </a:extLst>
        </xdr:cNvPr>
        <xdr:cNvSpPr txBox="1"/>
      </xdr:nvSpPr>
      <xdr:spPr>
        <a:xfrm>
          <a:off x="179574" y="8592885"/>
          <a:ext cx="3397723" cy="1756256"/>
        </a:xfrm>
        <a:prstGeom prst="rect">
          <a:avLst/>
        </a:prstGeom>
        <a:solidFill>
          <a:srgbClr val="002060"/>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PE" sz="1400" b="1">
              <a:solidFill>
                <a:schemeClr val="bg1"/>
              </a:solidFill>
              <a:effectLst/>
              <a:latin typeface="Arial" panose="020B0604020202020204" pitchFamily="34" charset="0"/>
              <a:ea typeface="+mn-ea"/>
              <a:cs typeface="Arial" panose="020B0604020202020204" pitchFamily="34" charset="0"/>
            </a:rPr>
            <a:t>OPERACIÓN</a:t>
          </a:r>
          <a:r>
            <a:rPr lang="es-PE" sz="1400" b="1" baseline="0">
              <a:solidFill>
                <a:schemeClr val="bg1"/>
              </a:solidFill>
              <a:effectLst/>
              <a:latin typeface="Arial" panose="020B0604020202020204" pitchFamily="34" charset="0"/>
              <a:ea typeface="+mn-ea"/>
              <a:cs typeface="Arial" panose="020B0604020202020204" pitchFamily="34" charset="0"/>
            </a:rPr>
            <a:t>  MENSUAL DEL SEIN</a:t>
          </a:r>
        </a:p>
        <a:p>
          <a:pPr algn="l"/>
          <a:endParaRPr lang="es-PE" sz="1200">
            <a:solidFill>
              <a:schemeClr val="bg1"/>
            </a:solidFill>
            <a:effectLst/>
            <a:latin typeface="Arial" panose="020B0604020202020204" pitchFamily="34" charset="0"/>
            <a:cs typeface="Arial" panose="020B0604020202020204" pitchFamily="34" charset="0"/>
          </a:endParaRPr>
        </a:p>
        <a:p>
          <a:pPr algn="l"/>
          <a:r>
            <a:rPr lang="es-PE" sz="3600" b="1">
              <a:solidFill>
                <a:schemeClr val="bg1"/>
              </a:solidFill>
              <a:effectLst/>
              <a:latin typeface="Arial" panose="020B0604020202020204" pitchFamily="34" charset="0"/>
              <a:ea typeface="+mn-ea"/>
              <a:cs typeface="Arial" panose="020B0604020202020204" pitchFamily="34" charset="0"/>
            </a:rPr>
            <a:t>JULIO</a:t>
          </a:r>
        </a:p>
        <a:p>
          <a:pPr algn="l"/>
          <a:r>
            <a:rPr lang="es-PE" sz="3600" b="1">
              <a:solidFill>
                <a:schemeClr val="bg1"/>
              </a:solidFill>
              <a:effectLst/>
              <a:latin typeface="Arial" panose="020B0604020202020204" pitchFamily="34" charset="0"/>
              <a:ea typeface="+mn-ea"/>
              <a:cs typeface="Arial" panose="020B0604020202020204" pitchFamily="34" charset="0"/>
            </a:rPr>
            <a:t>2018</a:t>
          </a:r>
          <a:endParaRPr lang="es-PE" sz="360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0</xdr:col>
      <xdr:colOff>189698</xdr:colOff>
      <xdr:row>0</xdr:row>
      <xdr:rowOff>118463</xdr:rowOff>
    </xdr:from>
    <xdr:to>
      <xdr:col>11</xdr:col>
      <xdr:colOff>1020222</xdr:colOff>
      <xdr:row>4</xdr:row>
      <xdr:rowOff>73640</xdr:rowOff>
    </xdr:to>
    <xdr:sp macro="" textlink="">
      <xdr:nvSpPr>
        <xdr:cNvPr id="4" name="Rectangle 3">
          <a:extLst>
            <a:ext uri="{FF2B5EF4-FFF2-40B4-BE49-F238E27FC236}">
              <a16:creationId xmlns:a16="http://schemas.microsoft.com/office/drawing/2014/main" id="{ED8D6CDF-F98A-4AAA-9BD7-C88E28EEF327}"/>
            </a:ext>
          </a:extLst>
        </xdr:cNvPr>
        <xdr:cNvSpPr/>
      </xdr:nvSpPr>
      <xdr:spPr>
        <a:xfrm>
          <a:off x="189698" y="118463"/>
          <a:ext cx="6926524" cy="537883"/>
        </a:xfrm>
        <a:prstGeom prst="rect">
          <a:avLst/>
        </a:prstGeom>
        <a:solidFill>
          <a:srgbClr val="00206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72000" rIns="91440" bIns="0" numCol="1" spcCol="0" rtlCol="0" fromWordArt="0" anchor="ctr" anchorCtr="0" forceAA="0" compatLnSpc="1">
          <a:prstTxWarp prst="textNoShape">
            <a:avLst/>
          </a:prstTxWarp>
          <a:noAutofit/>
        </a:bodyPr>
        <a:lstStyle/>
        <a:p>
          <a:pPr algn="ctr">
            <a:lnSpc>
              <a:spcPct val="115000"/>
            </a:lnSpc>
            <a:spcAft>
              <a:spcPts val="0"/>
            </a:spcAft>
          </a:pPr>
          <a:r>
            <a:rPr lang="en-GB" sz="1800" b="1">
              <a:solidFill>
                <a:schemeClr val="bg1"/>
              </a:solidFill>
              <a:effectLst/>
              <a:latin typeface="Arial" panose="020B0604020202020204" pitchFamily="34" charset="0"/>
              <a:ea typeface="Tahoma" panose="020B0604030504040204" pitchFamily="34" charset="0"/>
              <a:cs typeface="Arial" panose="020B0604020202020204" pitchFamily="34" charset="0"/>
            </a:rPr>
            <a:t>INFORME DE LA OPERACIÓN</a:t>
          </a:r>
          <a:r>
            <a:rPr lang="en-GB" sz="1800" b="1" baseline="0">
              <a:solidFill>
                <a:schemeClr val="bg1"/>
              </a:solidFill>
              <a:effectLst/>
              <a:latin typeface="Arial" panose="020B0604020202020204" pitchFamily="34" charset="0"/>
              <a:ea typeface="Tahoma" panose="020B0604030504040204" pitchFamily="34" charset="0"/>
              <a:cs typeface="Arial" panose="020B0604020202020204" pitchFamily="34" charset="0"/>
            </a:rPr>
            <a:t> MENSUAL DEL SEIN </a:t>
          </a:r>
          <a:endParaRPr lang="en-GB" sz="1800">
            <a:solidFill>
              <a:schemeClr val="bg1"/>
            </a:solidFill>
            <a:effectLst/>
            <a:latin typeface="Arial" panose="020B0604020202020204" pitchFamily="34" charset="0"/>
            <a:ea typeface="Tahoma" panose="020B060403050404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62</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66262</xdr:colOff>
      <xdr:row>35</xdr:row>
      <xdr:rowOff>112796</xdr:rowOff>
    </xdr:from>
    <xdr:to>
      <xdr:col>8</xdr:col>
      <xdr:colOff>287216</xdr:colOff>
      <xdr:row>58</xdr:row>
      <xdr:rowOff>87922</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121036</xdr:colOff>
      <xdr:row>43</xdr:row>
      <xdr:rowOff>2403</xdr:rowOff>
    </xdr:from>
    <xdr:to>
      <xdr:col>11</xdr:col>
      <xdr:colOff>410308</xdr:colOff>
      <xdr:row>62</xdr:row>
      <xdr:rowOff>52753</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129762</xdr:colOff>
      <xdr:row>47</xdr:row>
      <xdr:rowOff>134399</xdr:rowOff>
    </xdr:from>
    <xdr:to>
      <xdr:col>8</xdr:col>
      <xdr:colOff>383274</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(16,33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(16,53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(16,13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(16,56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(16,2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(16,35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(16,24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(17,26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(15,62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(16,91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(16,87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59871</xdr:colOff>
      <xdr:row>42</xdr:row>
      <xdr:rowOff>43597</xdr:rowOff>
    </xdr:from>
    <xdr:to>
      <xdr:col>4</xdr:col>
      <xdr:colOff>508135</xdr:colOff>
      <xdr:row>45</xdr:row>
      <xdr:rowOff>10885</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627414" y="6177697"/>
          <a:ext cx="970778" cy="391831"/>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(15,62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(15,59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(15,14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506732</xdr:colOff>
      <xdr:row>48</xdr:row>
      <xdr:rowOff>89836</xdr:rowOff>
    </xdr:from>
    <xdr:to>
      <xdr:col>11</xdr:col>
      <xdr:colOff>364388</xdr:colOff>
      <xdr:row>51</xdr:row>
      <xdr:rowOff>17773</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299539" y="7138336"/>
          <a:ext cx="1039622" cy="391198"/>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(17,57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(15,27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(15,54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(15,55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(16,52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101780</xdr:colOff>
      <xdr:row>17</xdr:row>
      <xdr:rowOff>135639</xdr:rowOff>
    </xdr:from>
    <xdr:to>
      <xdr:col>7</xdr:col>
      <xdr:colOff>654327</xdr:colOff>
      <xdr:row>53</xdr:row>
      <xdr:rowOff>82826</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0.29313</cdr:x>
      <cdr:y>0.5313</cdr:y>
    </cdr:from>
    <cdr:to>
      <cdr:x>0.39473</cdr:x>
      <cdr:y>0.61718</cdr:y>
    </cdr:to>
    <cdr:sp macro="" textlink="">
      <cdr:nvSpPr>
        <cdr:cNvPr id="4" name="TextBox 1"/>
        <cdr:cNvSpPr txBox="1"/>
      </cdr:nvSpPr>
      <cdr:spPr>
        <a:xfrm xmlns:a="http://schemas.openxmlformats.org/drawingml/2006/main">
          <a:off x="2685912" y="2173603"/>
          <a:ext cx="930961" cy="3513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-100,0%</a:t>
          </a:r>
        </a:p>
      </cdr:txBody>
    </cdr:sp>
  </cdr:relSizeAnchor>
  <cdr:relSizeAnchor xmlns:cdr="http://schemas.openxmlformats.org/drawingml/2006/chartDrawing">
    <cdr:from>
      <cdr:x>0.49298</cdr:x>
      <cdr:y>0.52474</cdr:y>
    </cdr:from>
    <cdr:to>
      <cdr:x>0.59458</cdr:x>
      <cdr:y>0.61061</cdr:y>
    </cdr:to>
    <cdr:sp macro="" textlink="">
      <cdr:nvSpPr>
        <cdr:cNvPr id="5" name="TextBox 1"/>
        <cdr:cNvSpPr txBox="1"/>
      </cdr:nvSpPr>
      <cdr:spPr>
        <a:xfrm xmlns:a="http://schemas.openxmlformats.org/drawingml/2006/main">
          <a:off x="3089804" y="3010309"/>
          <a:ext cx="636783"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-95,7%</a:t>
          </a:r>
        </a:p>
      </cdr:txBody>
    </cdr:sp>
  </cdr:relSizeAnchor>
  <cdr:relSizeAnchor xmlns:cdr="http://schemas.openxmlformats.org/drawingml/2006/chartDrawing">
    <cdr:from>
      <cdr:x>0.83869</cdr:x>
      <cdr:y>0.47132</cdr:y>
    </cdr:from>
    <cdr:to>
      <cdr:x>0.94028</cdr:x>
      <cdr:y>0.55719</cdr:y>
    </cdr:to>
    <cdr:sp macro="" textlink="">
      <cdr:nvSpPr>
        <cdr:cNvPr id="7" name="TextBox 1"/>
        <cdr:cNvSpPr txBox="1"/>
      </cdr:nvSpPr>
      <cdr:spPr>
        <a:xfrm xmlns:a="http://schemas.openxmlformats.org/drawingml/2006/main">
          <a:off x="5256554" y="2703853"/>
          <a:ext cx="636720"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300272</xdr:colOff>
      <xdr:row>15</xdr:row>
      <xdr:rowOff>57264</xdr:rowOff>
    </xdr:from>
    <xdr:to>
      <xdr:col>3</xdr:col>
      <xdr:colOff>256564</xdr:colOff>
      <xdr:row>30</xdr:row>
      <xdr:rowOff>114746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289770</xdr:colOff>
      <xdr:row>16</xdr:row>
      <xdr:rowOff>13082</xdr:rowOff>
    </xdr:from>
    <xdr:to>
      <xdr:col>9</xdr:col>
      <xdr:colOff>643958</xdr:colOff>
      <xdr:row>32</xdr:row>
      <xdr:rowOff>97971</xdr:rowOff>
    </xdr:to>
    <xdr:graphicFrame macro="">
      <xdr:nvGraphicFramePr>
        <xdr:cNvPr id="3" name="Chart 2">
          <a:extLst>
            <a:ext uri="{FF2B5EF4-FFF2-40B4-BE49-F238E27FC236}">
              <a16:creationId xmlns:a16="http://schemas.microsoft.com/office/drawing/2014/main" id="{0C1AFE6C-4365-4A87-BD3D-A2294714A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773906</xdr:colOff>
      <xdr:row>37</xdr:row>
      <xdr:rowOff>5953</xdr:rowOff>
    </xdr:from>
    <xdr:to>
      <xdr:col>8</xdr:col>
      <xdr:colOff>71437</xdr:colOff>
      <xdr:row>50</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endParaRPr lang="en-GB" sz="120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Jaime Guerra Montes de Oca</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Tomás Montesinos Yépez</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a:t>
          </a:r>
          <a:r>
            <a:rPr lang="en-US" sz="1200" b="1" baseline="0">
              <a:effectLst/>
              <a:latin typeface="Arial" panose="020B0604020202020204" pitchFamily="34" charset="0"/>
              <a:ea typeface="Wingdings-Regular"/>
              <a:cs typeface="Arial" panose="020B0604020202020204" pitchFamily="34" charset="0"/>
            </a:rPr>
            <a:t> de Gestión de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Jorge Izquierdo Ríos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r>
            <a:rPr lang="en-GB" sz="1100" baseline="0">
              <a:effectLst/>
              <a:latin typeface="Arial" panose="020B0604020202020204" pitchFamily="34" charset="0"/>
              <a:ea typeface="Wingdings-Regular"/>
              <a:cs typeface="Arial" panose="020B0604020202020204" pitchFamily="34" charset="0"/>
            </a:rPr>
            <a:t> SINAC</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Anexos: 548 - 627  </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40341</xdr:colOff>
      <xdr:row>54</xdr:row>
      <xdr:rowOff>85725</xdr:rowOff>
    </xdr:from>
    <xdr:to>
      <xdr:col>7</xdr:col>
      <xdr:colOff>161925</xdr:colOff>
      <xdr:row>60</xdr:row>
      <xdr:rowOff>123825</xdr:rowOff>
    </xdr:to>
    <xdr:pic>
      <xdr:nvPicPr>
        <xdr:cNvPr id="3" name="Picture 2">
          <a:extLst>
            <a:ext uri="{FF2B5EF4-FFF2-40B4-BE49-F238E27FC236}">
              <a16:creationId xmlns:a16="http://schemas.microsoft.com/office/drawing/2014/main" id="{E87B2844-74B3-4DAE-B79A-B76A72481A3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1966" y="7820025"/>
          <a:ext cx="2217084" cy="8953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223345</xdr:colOff>
      <xdr:row>41</xdr:row>
      <xdr:rowOff>105103</xdr:rowOff>
    </xdr:from>
    <xdr:to>
      <xdr:col>9</xdr:col>
      <xdr:colOff>381000</xdr:colOff>
      <xdr:row>52</xdr:row>
      <xdr:rowOff>131380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16</xdr:row>
      <xdr:rowOff>100853</xdr:rowOff>
    </xdr:from>
    <xdr:to>
      <xdr:col>8</xdr:col>
      <xdr:colOff>429240</xdr:colOff>
      <xdr:row>28</xdr:row>
      <xdr:rowOff>89647</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681263</xdr:colOff>
      <xdr:row>16</xdr:row>
      <xdr:rowOff>84660</xdr:rowOff>
    </xdr:from>
    <xdr:to>
      <xdr:col>1</xdr:col>
      <xdr:colOff>513961</xdr:colOff>
      <xdr:row>17</xdr:row>
      <xdr:rowOff>118333</xdr:rowOff>
    </xdr:to>
    <xdr:sp macro="" textlink="">
      <xdr:nvSpPr>
        <xdr:cNvPr id="7" name="Rectangle 6">
          <a:extLst>
            <a:ext uri="{FF2B5EF4-FFF2-40B4-BE49-F238E27FC236}">
              <a16:creationId xmlns:a16="http://schemas.microsoft.com/office/drawing/2014/main" id="{844F8771-1BB7-4887-885E-C502B78E1000}"/>
            </a:ext>
          </a:extLst>
        </xdr:cNvPr>
        <xdr:cNvSpPr/>
      </xdr:nvSpPr>
      <xdr:spPr>
        <a:xfrm>
          <a:off x="681263" y="3676145"/>
          <a:ext cx="516257" cy="179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8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95250</xdr:colOff>
      <xdr:row>14</xdr:row>
      <xdr:rowOff>136922</xdr:rowOff>
    </xdr:from>
    <xdr:to>
      <xdr:col>10</xdr:col>
      <xdr:colOff>445077</xdr:colOff>
      <xdr:row>32</xdr:row>
      <xdr:rowOff>51289</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139212</xdr:colOff>
      <xdr:row>36</xdr:row>
      <xdr:rowOff>80597</xdr:rowOff>
    </xdr:from>
    <xdr:to>
      <xdr:col>10</xdr:col>
      <xdr:colOff>410308</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549258</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156130</xdr:colOff>
      <xdr:row>4</xdr:row>
      <xdr:rowOff>26276</xdr:rowOff>
    </xdr:from>
    <xdr:to>
      <xdr:col>9</xdr:col>
      <xdr:colOff>479534</xdr:colOff>
      <xdr:row>62</xdr:row>
      <xdr:rowOff>39414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266140</xdr:colOff>
      <xdr:row>23</xdr:row>
      <xdr:rowOff>139412</xdr:rowOff>
    </xdr:from>
    <xdr:to>
      <xdr:col>10</xdr:col>
      <xdr:colOff>546652</xdr:colOff>
      <xdr:row>56</xdr:row>
      <xdr:rowOff>43962</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874EE-413F-4297-BCA5-BC7D6A269D57}">
  <sheetPr>
    <tabColor theme="4"/>
  </sheetPr>
  <dimension ref="A1"/>
  <sheetViews>
    <sheetView showGridLines="0" tabSelected="1" view="pageBreakPreview" zoomScaleNormal="70" zoomScaleSheetLayoutView="100" zoomScalePageLayoutView="85" workbookViewId="0">
      <selection activeCell="Q29" sqref="Q29"/>
    </sheetView>
  </sheetViews>
  <sheetFormatPr baseColWidth="10" defaultColWidth="9.140625" defaultRowHeight="10.199999999999999"/>
  <cols>
    <col min="9" max="9" width="14.7109375" customWidth="1"/>
    <col min="12" max="12" width="20.42578125" customWidth="1"/>
  </cols>
  <sheetData/>
  <pageMargins left="0.26960784313725489" right="0.22058823529411764" top="0.36764705882352944" bottom="0.26960784313725489"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29D01-64F8-4321-AE6B-6BCC10510F33}">
  <sheetPr>
    <tabColor theme="4"/>
  </sheetPr>
  <dimension ref="A1:L61"/>
  <sheetViews>
    <sheetView showGridLines="0" view="pageBreakPreview" topLeftCell="A23" zoomScale="140" zoomScaleNormal="100" zoomScaleSheetLayoutView="140" zoomScalePageLayoutView="145" workbookViewId="0">
      <selection activeCell="A60" sqref="A60:XFD60"/>
    </sheetView>
  </sheetViews>
  <sheetFormatPr baseColWidth="10" defaultColWidth="9.28515625" defaultRowHeight="10.199999999999999"/>
  <cols>
    <col min="1" max="1" width="15" customWidth="1"/>
    <col min="2" max="4" width="10" customWidth="1"/>
    <col min="5" max="5" width="11" customWidth="1"/>
    <col min="6" max="6" width="9.28515625" customWidth="1"/>
    <col min="7" max="8" width="10" customWidth="1"/>
    <col min="9" max="9" width="9.7109375" customWidth="1"/>
    <col min="10" max="11" width="10.7109375" customWidth="1"/>
  </cols>
  <sheetData>
    <row r="1" spans="1:12" ht="11.25" customHeight="1"/>
    <row r="2" spans="1:12" ht="11.25" customHeight="1">
      <c r="A2" s="818" t="s">
        <v>282</v>
      </c>
      <c r="B2" s="818"/>
      <c r="C2" s="818"/>
      <c r="D2" s="818"/>
      <c r="E2" s="818"/>
      <c r="F2" s="818"/>
      <c r="G2" s="818"/>
      <c r="H2" s="818"/>
      <c r="I2" s="818"/>
      <c r="J2" s="818"/>
      <c r="K2" s="818"/>
    </row>
    <row r="3" spans="1:12" ht="11.25" customHeight="1">
      <c r="A3" s="17"/>
      <c r="B3" s="17"/>
      <c r="C3" s="17"/>
      <c r="D3" s="17"/>
      <c r="E3" s="17"/>
      <c r="F3" s="17"/>
      <c r="G3" s="17"/>
      <c r="H3" s="17"/>
      <c r="I3" s="17"/>
      <c r="J3" s="17"/>
      <c r="K3" s="17"/>
      <c r="L3" s="36"/>
    </row>
    <row r="4" spans="1:12" ht="11.25" customHeight="1">
      <c r="A4" s="819" t="s">
        <v>491</v>
      </c>
      <c r="B4" s="819"/>
      <c r="C4" s="819"/>
      <c r="D4" s="819"/>
      <c r="E4" s="819"/>
      <c r="F4" s="819"/>
      <c r="G4" s="819"/>
      <c r="H4" s="819"/>
      <c r="I4" s="819"/>
      <c r="J4" s="819"/>
      <c r="K4" s="819"/>
      <c r="L4" s="36"/>
    </row>
    <row r="5" spans="1:12" ht="11.25" customHeight="1">
      <c r="A5" s="17"/>
      <c r="B5" s="67"/>
      <c r="C5" s="68"/>
      <c r="D5" s="69"/>
      <c r="E5" s="69"/>
      <c r="F5" s="69"/>
      <c r="G5" s="69"/>
      <c r="H5" s="70"/>
      <c r="I5" s="66"/>
      <c r="J5" s="66"/>
      <c r="K5" s="71"/>
      <c r="L5" s="8"/>
    </row>
    <row r="6" spans="1:12" ht="12.75" customHeight="1">
      <c r="A6" s="801" t="s">
        <v>230</v>
      </c>
      <c r="B6" s="798" t="s">
        <v>285</v>
      </c>
      <c r="C6" s="799"/>
      <c r="D6" s="799"/>
      <c r="E6" s="799" t="s">
        <v>34</v>
      </c>
      <c r="F6" s="799"/>
      <c r="G6" s="800" t="s">
        <v>284</v>
      </c>
      <c r="H6" s="800"/>
      <c r="I6" s="800"/>
      <c r="J6" s="800"/>
      <c r="K6" s="800"/>
      <c r="L6" s="15"/>
    </row>
    <row r="7" spans="1:12" ht="12.75" customHeight="1">
      <c r="A7" s="801"/>
      <c r="B7" s="334">
        <f>+'5. RER'!B5</f>
        <v>43224</v>
      </c>
      <c r="C7" s="334">
        <f>+'5. RER'!C5</f>
        <v>43254</v>
      </c>
      <c r="D7" s="334">
        <f>+'5. RER'!D5</f>
        <v>43282</v>
      </c>
      <c r="E7" s="334">
        <f>+'5. RER'!E5</f>
        <v>42917</v>
      </c>
      <c r="F7" s="820" t="s">
        <v>130</v>
      </c>
      <c r="G7" s="335">
        <v>2018</v>
      </c>
      <c r="H7" s="335">
        <v>2017</v>
      </c>
      <c r="I7" s="820" t="s">
        <v>43</v>
      </c>
      <c r="J7" s="335">
        <v>2016</v>
      </c>
      <c r="K7" s="820" t="s">
        <v>36</v>
      </c>
      <c r="L7" s="13"/>
    </row>
    <row r="8" spans="1:12" ht="12.75" customHeight="1">
      <c r="A8" s="801"/>
      <c r="B8" s="336">
        <v>43228.78125</v>
      </c>
      <c r="C8" s="336">
        <v>43256.78125</v>
      </c>
      <c r="D8" s="336">
        <v>43294.791666666664</v>
      </c>
      <c r="E8" s="336">
        <v>42928.822916666664</v>
      </c>
      <c r="F8" s="821"/>
      <c r="G8" s="337">
        <v>43214.78125</v>
      </c>
      <c r="H8" s="337">
        <v>42801.8125</v>
      </c>
      <c r="I8" s="821"/>
      <c r="J8" s="337">
        <v>42459.791666666664</v>
      </c>
      <c r="K8" s="821"/>
      <c r="L8" s="14"/>
    </row>
    <row r="9" spans="1:12" ht="12.75" customHeight="1">
      <c r="A9" s="801"/>
      <c r="B9" s="338">
        <v>43228.78125</v>
      </c>
      <c r="C9" s="338">
        <v>43256.78125</v>
      </c>
      <c r="D9" s="338">
        <v>43294.791666666664</v>
      </c>
      <c r="E9" s="338">
        <v>42898.822916666664</v>
      </c>
      <c r="F9" s="821"/>
      <c r="G9" s="338">
        <v>43214.78125</v>
      </c>
      <c r="H9" s="339">
        <v>42801.8125</v>
      </c>
      <c r="I9" s="821"/>
      <c r="J9" s="340">
        <v>42459.791666666664</v>
      </c>
      <c r="K9" s="821"/>
      <c r="L9" s="14"/>
    </row>
    <row r="10" spans="1:12" ht="12.75" customHeight="1">
      <c r="A10" s="341" t="s">
        <v>37</v>
      </c>
      <c r="B10" s="471">
        <v>4251.6648000000005</v>
      </c>
      <c r="C10" s="472">
        <v>4072.4372500000009</v>
      </c>
      <c r="D10" s="473">
        <v>3444.4161900000004</v>
      </c>
      <c r="E10" s="471">
        <v>3102.793299999998</v>
      </c>
      <c r="F10" s="342">
        <f>+IF(E10=0,"",D10/E10-1)</f>
        <v>0.1101017235018531</v>
      </c>
      <c r="G10" s="471">
        <v>4457.8647499999988</v>
      </c>
      <c r="H10" s="472">
        <v>4181.7234999999982</v>
      </c>
      <c r="I10" s="342">
        <f>+IF(H10=0,"",G10/H10-1)</f>
        <v>6.6035272298611059E-2</v>
      </c>
      <c r="J10" s="471">
        <v>3527.2958100000001</v>
      </c>
      <c r="K10" s="342">
        <f t="shared" ref="K10:K20" si="0">+IF(J10=0,"",H10/J10-1)</f>
        <v>0.18553240931613213</v>
      </c>
      <c r="L10" s="14"/>
    </row>
    <row r="11" spans="1:12" ht="12.75" customHeight="1">
      <c r="A11" s="170" t="s">
        <v>38</v>
      </c>
      <c r="B11" s="474">
        <v>2130.1075900000001</v>
      </c>
      <c r="C11" s="306">
        <v>2235.7231999999999</v>
      </c>
      <c r="D11" s="475">
        <v>2790.9961800000005</v>
      </c>
      <c r="E11" s="474">
        <v>3094.0119199999999</v>
      </c>
      <c r="F11" s="160">
        <f>+IF(E11=0,"",D11/E11-1)</f>
        <v>-9.793619023937028E-2</v>
      </c>
      <c r="G11" s="474">
        <v>1943.7948299999998</v>
      </c>
      <c r="H11" s="306">
        <v>2286.1302900000001</v>
      </c>
      <c r="I11" s="160">
        <f>+IF(H11=0,"",G11/H11-1)</f>
        <v>-0.14974450996841493</v>
      </c>
      <c r="J11" s="474">
        <v>2770.9643299999998</v>
      </c>
      <c r="K11" s="160">
        <f t="shared" si="0"/>
        <v>-0.1749694266183498</v>
      </c>
      <c r="L11" s="14"/>
    </row>
    <row r="12" spans="1:12" ht="12.75" customHeight="1">
      <c r="A12" s="171" t="s">
        <v>39</v>
      </c>
      <c r="B12" s="476">
        <v>234.90339</v>
      </c>
      <c r="C12" s="307">
        <v>234.07465999999999</v>
      </c>
      <c r="D12" s="477">
        <v>185.59888999999998</v>
      </c>
      <c r="E12" s="476">
        <v>116.05077</v>
      </c>
      <c r="F12" s="161">
        <f>+IF(E12=0,"",D12/E12-1)</f>
        <v>0.59929046571599631</v>
      </c>
      <c r="G12" s="476">
        <v>309.01528000000002</v>
      </c>
      <c r="H12" s="307">
        <v>91.209550000000007</v>
      </c>
      <c r="I12" s="161">
        <f>+IF(H12=0,"",G12/H12-1)</f>
        <v>2.3879706675452295</v>
      </c>
      <c r="J12" s="476">
        <v>146.64738</v>
      </c>
      <c r="K12" s="161">
        <f t="shared" si="0"/>
        <v>-0.37803491613692652</v>
      </c>
      <c r="L12" s="13"/>
    </row>
    <row r="13" spans="1:12" ht="12.75" customHeight="1">
      <c r="A13" s="172" t="s">
        <v>30</v>
      </c>
      <c r="B13" s="478">
        <v>0</v>
      </c>
      <c r="C13" s="479">
        <v>0</v>
      </c>
      <c r="D13" s="480">
        <v>0</v>
      </c>
      <c r="E13" s="478">
        <v>0</v>
      </c>
      <c r="F13" s="162" t="str">
        <f>+IF(E13=0,"",D13/E13-1)</f>
        <v/>
      </c>
      <c r="G13" s="478">
        <v>0</v>
      </c>
      <c r="H13" s="479">
        <v>0</v>
      </c>
      <c r="I13" s="162" t="str">
        <f>+IF(H13=0,"",G13/H13-1)</f>
        <v/>
      </c>
      <c r="J13" s="478">
        <v>0</v>
      </c>
      <c r="K13" s="162" t="str">
        <f t="shared" si="0"/>
        <v/>
      </c>
      <c r="L13" s="14"/>
    </row>
    <row r="14" spans="1:12" ht="12.75" customHeight="1">
      <c r="A14" s="173" t="s">
        <v>44</v>
      </c>
      <c r="B14" s="481">
        <f>+SUM(B10:B13)</f>
        <v>6616.6757800000005</v>
      </c>
      <c r="C14" s="482">
        <f>+SUM(C10:C13)</f>
        <v>6542.2351100000014</v>
      </c>
      <c r="D14" s="483">
        <f>+SUM(D10:D13)</f>
        <v>6421.0112600000011</v>
      </c>
      <c r="E14" s="481">
        <f>+SUM(E10:E13)</f>
        <v>6312.8559899999982</v>
      </c>
      <c r="F14" s="163">
        <f>+IF(E14=0,"",D14/E14-1)</f>
        <v>1.7132541938439383E-2</v>
      </c>
      <c r="G14" s="481">
        <f>+SUM(G10:G13)</f>
        <v>6710.6748599999983</v>
      </c>
      <c r="H14" s="482">
        <f>+SUM(H10:H13)</f>
        <v>6559.0633399999979</v>
      </c>
      <c r="I14" s="163">
        <f>+IF(H14=0,"",G14/H14-1)</f>
        <v>2.3114812609813962E-2</v>
      </c>
      <c r="J14" s="481">
        <f>+SUM(J10:J13)</f>
        <v>6444.9075200000007</v>
      </c>
      <c r="K14" s="163">
        <f t="shared" si="0"/>
        <v>1.7712561374348068E-2</v>
      </c>
      <c r="L14" s="14"/>
    </row>
    <row r="15" spans="1:12" ht="6.75" customHeight="1">
      <c r="A15" s="313"/>
      <c r="B15" s="313"/>
      <c r="C15" s="313"/>
      <c r="D15" s="313"/>
      <c r="E15" s="313"/>
      <c r="F15" s="313"/>
      <c r="G15" s="313"/>
      <c r="H15" s="313"/>
      <c r="I15" s="313"/>
      <c r="J15" s="313"/>
      <c r="K15" s="313"/>
      <c r="L15" s="14"/>
    </row>
    <row r="16" spans="1:12" ht="12.75" customHeight="1">
      <c r="A16" s="343" t="s">
        <v>40</v>
      </c>
      <c r="B16" s="344">
        <v>0</v>
      </c>
      <c r="C16" s="345">
        <v>0</v>
      </c>
      <c r="D16" s="346">
        <v>41.844000000000001</v>
      </c>
      <c r="E16" s="344">
        <v>0</v>
      </c>
      <c r="F16" s="347" t="str">
        <f>+IF(E16=0,"",D16/E16-1)</f>
        <v/>
      </c>
      <c r="G16" s="344">
        <v>0</v>
      </c>
      <c r="H16" s="345">
        <v>36.515999999999998</v>
      </c>
      <c r="I16" s="347">
        <f>+IF(H16=0,"",G16/H16-1)</f>
        <v>-1</v>
      </c>
      <c r="J16" s="344">
        <v>0</v>
      </c>
      <c r="K16" s="347" t="str">
        <f t="shared" si="0"/>
        <v/>
      </c>
      <c r="L16" s="15"/>
    </row>
    <row r="17" spans="1:12" ht="12.75" customHeight="1">
      <c r="A17" s="348" t="s">
        <v>41</v>
      </c>
      <c r="B17" s="308">
        <v>0</v>
      </c>
      <c r="C17" s="292">
        <v>0</v>
      </c>
      <c r="D17" s="309">
        <v>0</v>
      </c>
      <c r="E17" s="308">
        <v>0</v>
      </c>
      <c r="F17" s="146" t="str">
        <f>+IF(E17=0,"",D17/E17-1)</f>
        <v/>
      </c>
      <c r="G17" s="308">
        <v>0</v>
      </c>
      <c r="H17" s="292">
        <v>0</v>
      </c>
      <c r="I17" s="146" t="str">
        <f>+IF(H17=0,"",G17/H17-1)</f>
        <v/>
      </c>
      <c r="J17" s="308">
        <v>0</v>
      </c>
      <c r="K17" s="146" t="str">
        <f t="shared" si="0"/>
        <v/>
      </c>
      <c r="L17" s="15"/>
    </row>
    <row r="18" spans="1:12" ht="24" customHeight="1">
      <c r="A18" s="349" t="s">
        <v>42</v>
      </c>
      <c r="B18" s="350">
        <f>+B17-B16</f>
        <v>0</v>
      </c>
      <c r="C18" s="351">
        <f>+C17-C16</f>
        <v>0</v>
      </c>
      <c r="D18" s="352">
        <f>+D17-D16</f>
        <v>-41.844000000000001</v>
      </c>
      <c r="E18" s="350">
        <f>+E17-E16</f>
        <v>0</v>
      </c>
      <c r="F18" s="353"/>
      <c r="G18" s="350">
        <f>+G17-G16</f>
        <v>0</v>
      </c>
      <c r="H18" s="351">
        <f>+H17-H16</f>
        <v>-36.515999999999998</v>
      </c>
      <c r="I18" s="353">
        <f>+IF(H18=0,"",G18/H18-1)</f>
        <v>-1</v>
      </c>
      <c r="J18" s="350">
        <f>+J17-J16</f>
        <v>0</v>
      </c>
      <c r="K18" s="353" t="str">
        <f t="shared" si="0"/>
        <v/>
      </c>
      <c r="L18" s="15"/>
    </row>
    <row r="19" spans="1:12" ht="6" customHeight="1">
      <c r="A19" s="22"/>
      <c r="B19" s="22"/>
      <c r="C19" s="22"/>
      <c r="D19" s="22"/>
      <c r="E19" s="22"/>
      <c r="F19" s="22"/>
      <c r="G19" s="22"/>
      <c r="H19" s="22"/>
      <c r="I19" s="22"/>
      <c r="J19" s="22"/>
      <c r="K19" s="22"/>
      <c r="L19" s="15"/>
    </row>
    <row r="20" spans="1:12" ht="24" customHeight="1">
      <c r="A20" s="354" t="s">
        <v>283</v>
      </c>
      <c r="B20" s="484">
        <f t="shared" ref="B20:E20" si="1">+B14-B18</f>
        <v>6616.6757800000005</v>
      </c>
      <c r="C20" s="485">
        <f t="shared" si="1"/>
        <v>6542.2351100000014</v>
      </c>
      <c r="D20" s="486">
        <f t="shared" si="1"/>
        <v>6462.8552600000012</v>
      </c>
      <c r="E20" s="484">
        <f t="shared" si="1"/>
        <v>6312.8559899999982</v>
      </c>
      <c r="F20" s="355">
        <f>+IF(E20=0,"",D20/E20-1)</f>
        <v>2.376092060988122E-2</v>
      </c>
      <c r="G20" s="484">
        <f>+G14-G18</f>
        <v>6710.6748599999983</v>
      </c>
      <c r="H20" s="484">
        <f>+H14-H18</f>
        <v>6595.5793399999975</v>
      </c>
      <c r="I20" s="355">
        <f>+IF(H20=0,"",G20/H20-1)</f>
        <v>1.7450403378818313E-2</v>
      </c>
      <c r="J20" s="484">
        <f>+J14-J18</f>
        <v>6444.9075200000007</v>
      </c>
      <c r="K20" s="663">
        <f t="shared" si="0"/>
        <v>2.3378430106627324E-2</v>
      </c>
      <c r="L20" s="15"/>
    </row>
    <row r="21" spans="1:12" ht="11.25" customHeight="1">
      <c r="A21" s="330" t="s">
        <v>520</v>
      </c>
      <c r="B21" s="138"/>
      <c r="C21" s="138"/>
      <c r="D21" s="138"/>
      <c r="E21" s="138"/>
      <c r="F21" s="138"/>
      <c r="G21" s="138"/>
      <c r="H21" s="138"/>
      <c r="I21" s="138"/>
      <c r="J21" s="138"/>
      <c r="K21" s="138"/>
      <c r="L21" s="16"/>
    </row>
    <row r="22" spans="1:12" ht="17.25" customHeight="1">
      <c r="A22" s="816" t="s">
        <v>513</v>
      </c>
      <c r="B22" s="816"/>
      <c r="C22" s="816"/>
      <c r="D22" s="816"/>
      <c r="E22" s="816"/>
      <c r="F22" s="816"/>
      <c r="G22" s="816"/>
      <c r="H22" s="816"/>
      <c r="I22" s="816"/>
      <c r="J22" s="816"/>
      <c r="K22" s="816"/>
      <c r="L22" s="15"/>
    </row>
    <row r="23" spans="1:12" ht="11.25" customHeight="1">
      <c r="A23" s="164"/>
      <c r="B23" s="164"/>
      <c r="C23" s="164"/>
      <c r="D23" s="164"/>
      <c r="E23" s="164"/>
      <c r="F23" s="164"/>
      <c r="G23" s="164"/>
      <c r="H23" s="164"/>
      <c r="I23" s="164"/>
      <c r="J23" s="164"/>
      <c r="K23" s="164"/>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65"/>
      <c r="B52" s="165"/>
      <c r="C52" s="165"/>
      <c r="D52" s="165"/>
      <c r="E52" s="165"/>
      <c r="F52" s="165"/>
      <c r="G52" s="165"/>
      <c r="H52" s="165"/>
      <c r="I52" s="165"/>
      <c r="J52" s="165"/>
      <c r="K52" s="165"/>
      <c r="L52" s="15"/>
    </row>
    <row r="53" spans="1:12" ht="11.25" customHeight="1">
      <c r="L53" s="11"/>
    </row>
    <row r="54" spans="1:12" ht="11.25" customHeight="1">
      <c r="A54" s="166"/>
      <c r="B54" s="138"/>
      <c r="C54" s="138"/>
      <c r="D54" s="138"/>
      <c r="E54" s="138"/>
      <c r="F54" s="138"/>
      <c r="G54" s="138"/>
      <c r="H54" s="138"/>
      <c r="I54" s="138"/>
      <c r="J54" s="138"/>
      <c r="K54" s="138"/>
      <c r="L54" s="11"/>
    </row>
    <row r="55" spans="1:12" ht="11.25" customHeight="1">
      <c r="A55" s="166"/>
      <c r="B55" s="167"/>
      <c r="C55" s="167"/>
      <c r="D55" s="167"/>
      <c r="E55" s="167"/>
      <c r="F55" s="167"/>
      <c r="G55" s="138"/>
      <c r="H55" s="138"/>
      <c r="I55" s="138"/>
      <c r="J55" s="138"/>
      <c r="K55" s="138"/>
      <c r="L55" s="11"/>
    </row>
    <row r="56" spans="1:12" ht="11.25" customHeight="1">
      <c r="A56" s="132"/>
      <c r="B56" s="168"/>
      <c r="C56" s="168"/>
      <c r="D56" s="169"/>
      <c r="E56" s="169"/>
      <c r="F56" s="169"/>
      <c r="G56" s="138"/>
      <c r="H56" s="138"/>
      <c r="I56" s="138"/>
      <c r="J56" s="138"/>
      <c r="K56" s="138"/>
      <c r="L56" s="11"/>
    </row>
    <row r="57" spans="1:12" ht="11.25" customHeight="1">
      <c r="L57" s="11"/>
    </row>
    <row r="58" spans="1:12" ht="11.4">
      <c r="A58" s="817" t="str">
        <f>"Gráfico N° 11: Comparación de la máxima potencia coincidente de potencia (MW) por tipo de generación en el SEIN en "&amp;'1. Resumen'!Q4</f>
        <v>Gráfico N° 11: Comparación de la máxima potencia coincidente de potencia (MW) por tipo de generación en el SEIN en julio</v>
      </c>
      <c r="B58" s="817"/>
      <c r="C58" s="817"/>
      <c r="D58" s="817"/>
      <c r="E58" s="817"/>
      <c r="F58" s="817"/>
      <c r="G58" s="817"/>
      <c r="H58" s="817"/>
      <c r="I58" s="817"/>
      <c r="J58" s="817"/>
      <c r="K58" s="817"/>
      <c r="L58" s="11"/>
    </row>
    <row r="59" spans="1:12" ht="11.4">
      <c r="A59" s="132"/>
      <c r="B59" s="168"/>
      <c r="C59" s="168"/>
      <c r="D59" s="169"/>
      <c r="E59" s="169"/>
      <c r="F59" s="169"/>
      <c r="G59" s="138"/>
      <c r="H59" s="138"/>
      <c r="I59" s="138"/>
      <c r="J59" s="138"/>
      <c r="K59" s="138"/>
      <c r="L59" s="11"/>
    </row>
    <row r="60" spans="1:12" ht="13.2">
      <c r="A60" s="17"/>
      <c r="B60" s="158"/>
      <c r="C60" s="158"/>
      <c r="D60" s="159"/>
      <c r="E60" s="159"/>
      <c r="F60" s="159"/>
      <c r="G60" s="73"/>
      <c r="H60" s="73"/>
      <c r="I60" s="73"/>
      <c r="J60" s="73"/>
      <c r="K60" s="73"/>
      <c r="L60" s="11"/>
    </row>
    <row r="61" spans="1:12" ht="13.2">
      <c r="A61" s="17"/>
      <c r="B61" s="158"/>
      <c r="C61" s="158"/>
      <c r="D61" s="159"/>
      <c r="E61" s="159"/>
      <c r="F61" s="159"/>
      <c r="G61" s="73"/>
      <c r="H61" s="73"/>
      <c r="I61" s="73"/>
      <c r="J61" s="73"/>
      <c r="K61" s="73"/>
    </row>
  </sheetData>
  <mergeCells count="11">
    <mergeCell ref="A22:K22"/>
    <mergeCell ref="A58:K58"/>
    <mergeCell ref="A2:K2"/>
    <mergeCell ref="A4:K4"/>
    <mergeCell ref="B6:D6"/>
    <mergeCell ref="E6:F6"/>
    <mergeCell ref="G6:K6"/>
    <mergeCell ref="F7:F9"/>
    <mergeCell ref="I7:I9"/>
    <mergeCell ref="K7:K9"/>
    <mergeCell ref="A6:A9"/>
  </mergeCells>
  <pageMargins left="0.7" right="0.59782608695652173" top="0.86956521739130432" bottom="0.61458333333333337" header="0.3" footer="0.3"/>
  <pageSetup scale="96" orientation="portrait" r:id="rId1"/>
  <headerFooter>
    <oddHeader>&amp;R&amp;7Informe de la Operación Mensual - Julio 2018
INFSGI-MES-07-2018
14/08/2018
Versión: 01</oddHeader>
    <oddFooter>&amp;L&amp;7COES SINAC, 2018
&amp;C8&amp;R&amp;7Dirección Ejecutiva
Sub Dirección de Gestión de Información</oddFooter>
  </headerFooter>
  <rowBreaks count="1" manualBreakCount="1">
    <brk id="59"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B5BA-1DD1-41DB-B49C-3B532BCE1B90}">
  <sheetPr>
    <tabColor theme="4"/>
  </sheetPr>
  <dimension ref="A1:O73"/>
  <sheetViews>
    <sheetView showGridLines="0" view="pageBreakPreview" topLeftCell="A56" zoomScale="145" zoomScaleNormal="100" zoomScaleSheetLayoutView="145" zoomScalePageLayoutView="145" workbookViewId="0">
      <selection activeCell="Q29" sqref="Q29"/>
    </sheetView>
  </sheetViews>
  <sheetFormatPr baseColWidth="10" defaultColWidth="9.28515625" defaultRowHeight="10.199999999999999"/>
  <cols>
    <col min="1" max="1" width="26.42578125" customWidth="1"/>
    <col min="2" max="2" width="11.28515625" customWidth="1"/>
    <col min="3" max="3" width="10.85546875" customWidth="1"/>
    <col min="4" max="4" width="8.7109375" customWidth="1"/>
    <col min="10" max="10" width="11.85546875" customWidth="1"/>
    <col min="11" max="11" width="9.28515625" customWidth="1"/>
    <col min="12" max="12" width="27.85546875" customWidth="1"/>
  </cols>
  <sheetData>
    <row r="1" spans="1:15" ht="11.25" customHeight="1">
      <c r="A1" s="824" t="s">
        <v>288</v>
      </c>
      <c r="B1" s="824"/>
      <c r="C1" s="824"/>
      <c r="D1" s="824"/>
      <c r="E1" s="824"/>
      <c r="F1" s="824"/>
      <c r="G1" s="824"/>
      <c r="H1" s="824"/>
      <c r="I1" s="824"/>
      <c r="J1" s="824"/>
    </row>
    <row r="2" spans="1:15" ht="7.5" customHeight="1">
      <c r="A2" s="74"/>
      <c r="B2" s="73"/>
      <c r="C2" s="73"/>
      <c r="D2" s="73"/>
      <c r="E2" s="73"/>
      <c r="F2" s="73"/>
      <c r="G2" s="73"/>
      <c r="H2" s="73"/>
      <c r="I2" s="73"/>
      <c r="J2" s="73"/>
      <c r="K2" s="36"/>
      <c r="L2" s="36"/>
    </row>
    <row r="3" spans="1:15" ht="11.25" customHeight="1">
      <c r="A3" s="825" t="s">
        <v>131</v>
      </c>
      <c r="B3" s="827" t="str">
        <f>+'1. Resumen'!Q4</f>
        <v>julio</v>
      </c>
      <c r="C3" s="828"/>
      <c r="D3" s="829"/>
      <c r="E3" s="138"/>
      <c r="F3" s="138"/>
      <c r="G3" s="830" t="s">
        <v>287</v>
      </c>
      <c r="H3" s="830"/>
      <c r="I3" s="830"/>
      <c r="J3" s="138"/>
      <c r="K3" s="153"/>
      <c r="L3" s="153"/>
    </row>
    <row r="4" spans="1:15" ht="11.25" customHeight="1">
      <c r="A4" s="825"/>
      <c r="B4" s="174">
        <v>2018</v>
      </c>
      <c r="C4" s="175">
        <v>2017</v>
      </c>
      <c r="D4" s="829" t="s">
        <v>35</v>
      </c>
      <c r="E4" s="138"/>
      <c r="F4" s="138"/>
      <c r="G4" s="138"/>
      <c r="H4" s="138"/>
      <c r="I4" s="138"/>
      <c r="J4" s="138"/>
      <c r="K4" s="24"/>
      <c r="L4" s="131"/>
    </row>
    <row r="5" spans="1:15" ht="11.25" customHeight="1">
      <c r="A5" s="825"/>
      <c r="B5" s="176">
        <f>+'8. Max Potencia'!D8</f>
        <v>43294.791666666664</v>
      </c>
      <c r="C5" s="176">
        <f>+'8. Max Potencia'!E8</f>
        <v>42928.822916666664</v>
      </c>
      <c r="D5" s="829"/>
      <c r="E5" s="138"/>
      <c r="F5" s="138"/>
      <c r="G5" s="138"/>
      <c r="H5" s="138"/>
      <c r="I5" s="138"/>
      <c r="J5" s="138"/>
      <c r="K5" s="24"/>
      <c r="L5" s="19"/>
    </row>
    <row r="6" spans="1:15" ht="11.25" customHeight="1" thickBot="1">
      <c r="A6" s="826"/>
      <c r="B6" s="358">
        <f>+'8. Max Potencia'!D9</f>
        <v>43294.791666666664</v>
      </c>
      <c r="C6" s="358">
        <f>+'8. Max Potencia'!E9</f>
        <v>42898.822916666664</v>
      </c>
      <c r="D6" s="831"/>
      <c r="E6" s="138"/>
      <c r="F6" s="138"/>
      <c r="G6" s="138"/>
      <c r="H6" s="138"/>
      <c r="I6" s="138"/>
      <c r="J6" s="138"/>
      <c r="K6" s="25"/>
      <c r="L6" s="131" t="s">
        <v>286</v>
      </c>
      <c r="M6">
        <v>2018</v>
      </c>
      <c r="N6">
        <v>2017</v>
      </c>
    </row>
    <row r="7" spans="1:15" ht="9.75" customHeight="1">
      <c r="A7" s="589" t="s">
        <v>568</v>
      </c>
      <c r="B7" s="590">
        <v>1198.1839100000002</v>
      </c>
      <c r="C7" s="590">
        <v>386.40255999999999</v>
      </c>
      <c r="D7" s="591">
        <f>IF(C7=0,"",B7/C7-1)</f>
        <v>2.1008694921689965</v>
      </c>
      <c r="E7" s="138"/>
      <c r="F7" s="138"/>
      <c r="G7" s="138"/>
      <c r="H7" s="138"/>
      <c r="I7" s="138"/>
      <c r="J7" s="138"/>
      <c r="K7" s="23"/>
      <c r="L7" s="356" t="s">
        <v>128</v>
      </c>
      <c r="N7">
        <v>0</v>
      </c>
      <c r="O7" s="356"/>
    </row>
    <row r="8" spans="1:15" ht="9.75" customHeight="1">
      <c r="A8" s="592" t="s">
        <v>92</v>
      </c>
      <c r="B8" s="593">
        <v>1000.1083800000001</v>
      </c>
      <c r="C8" s="593">
        <v>1212.5421000000001</v>
      </c>
      <c r="D8" s="594">
        <f t="shared" ref="D8:D63" si="0">IF(C8=0,"",B8/C8-1)</f>
        <v>-0.17519698491293623</v>
      </c>
      <c r="E8" s="138"/>
      <c r="F8" s="138"/>
      <c r="G8" s="138"/>
      <c r="H8" s="138"/>
      <c r="I8" s="138"/>
      <c r="J8" s="138"/>
      <c r="K8" s="26"/>
      <c r="L8" s="356" t="s">
        <v>598</v>
      </c>
      <c r="N8">
        <v>3.0007999999999999</v>
      </c>
      <c r="O8" s="356"/>
    </row>
    <row r="9" spans="1:15" ht="9.75" customHeight="1">
      <c r="A9" s="595" t="s">
        <v>94</v>
      </c>
      <c r="B9" s="596">
        <v>851.62559999999996</v>
      </c>
      <c r="C9" s="596">
        <v>863.18448000000001</v>
      </c>
      <c r="D9" s="597">
        <f t="shared" si="0"/>
        <v>-1.339097292388769E-2</v>
      </c>
      <c r="E9" s="673"/>
      <c r="F9" s="138"/>
      <c r="G9" s="138"/>
      <c r="H9" s="138"/>
      <c r="I9" s="138"/>
      <c r="J9" s="138"/>
      <c r="K9" s="25"/>
      <c r="L9" s="356" t="s">
        <v>569</v>
      </c>
      <c r="N9">
        <v>222.12781000000001</v>
      </c>
      <c r="O9" s="356"/>
    </row>
    <row r="10" spans="1:15" ht="9.75" customHeight="1">
      <c r="A10" s="592" t="s">
        <v>93</v>
      </c>
      <c r="B10" s="593">
        <v>801.48217000000011</v>
      </c>
      <c r="C10" s="593">
        <v>898.59789000000012</v>
      </c>
      <c r="D10" s="594">
        <f t="shared" si="0"/>
        <v>-0.10807472516989769</v>
      </c>
      <c r="E10" s="138"/>
      <c r="F10" s="138"/>
      <c r="G10" s="138"/>
      <c r="H10" s="138"/>
      <c r="I10" s="138"/>
      <c r="J10" s="138"/>
      <c r="K10" s="25"/>
      <c r="L10" s="356" t="s">
        <v>127</v>
      </c>
      <c r="M10" s="357">
        <v>0</v>
      </c>
      <c r="N10" s="357">
        <v>2.1127600000000002</v>
      </c>
      <c r="O10" s="356"/>
    </row>
    <row r="11" spans="1:15" ht="9.75" customHeight="1">
      <c r="A11" s="595" t="s">
        <v>105</v>
      </c>
      <c r="B11" s="596">
        <v>294.18524000000002</v>
      </c>
      <c r="C11" s="596">
        <v>0</v>
      </c>
      <c r="D11" s="597" t="str">
        <f t="shared" si="0"/>
        <v/>
      </c>
      <c r="E11" s="138"/>
      <c r="F11" s="138"/>
      <c r="G11" s="138"/>
      <c r="H11" s="138"/>
      <c r="I11" s="138"/>
      <c r="J11" s="138"/>
      <c r="K11" s="25"/>
      <c r="L11" s="314" t="s">
        <v>269</v>
      </c>
      <c r="M11" s="357">
        <v>0</v>
      </c>
      <c r="N11" s="357">
        <v>0</v>
      </c>
      <c r="O11" s="356"/>
    </row>
    <row r="12" spans="1:15" ht="9.75" customHeight="1">
      <c r="A12" s="592" t="s">
        <v>273</v>
      </c>
      <c r="B12" s="593">
        <v>275.32452999999998</v>
      </c>
      <c r="C12" s="593">
        <v>553.68991000000005</v>
      </c>
      <c r="D12" s="594">
        <f t="shared" si="0"/>
        <v>-0.50274598646740742</v>
      </c>
      <c r="E12" s="138"/>
      <c r="F12" s="138"/>
      <c r="G12" s="138"/>
      <c r="H12" s="138"/>
      <c r="I12" s="138"/>
      <c r="J12" s="138"/>
      <c r="K12" s="23"/>
      <c r="L12" s="356" t="s">
        <v>116</v>
      </c>
      <c r="M12" s="332">
        <v>0</v>
      </c>
      <c r="N12">
        <v>0</v>
      </c>
      <c r="O12" s="356"/>
    </row>
    <row r="13" spans="1:15" ht="9.75" customHeight="1">
      <c r="A13" s="595" t="s">
        <v>95</v>
      </c>
      <c r="B13" s="596">
        <v>248.57145</v>
      </c>
      <c r="C13" s="596">
        <v>207.80803</v>
      </c>
      <c r="D13" s="597">
        <f t="shared" si="0"/>
        <v>0.19615902234384297</v>
      </c>
      <c r="E13" s="138"/>
      <c r="F13" s="138"/>
      <c r="G13" s="138"/>
      <c r="H13" s="138"/>
      <c r="I13" s="138"/>
      <c r="J13" s="138"/>
      <c r="K13" s="26"/>
      <c r="L13" s="314" t="s">
        <v>117</v>
      </c>
      <c r="M13" s="357">
        <v>0</v>
      </c>
      <c r="N13" s="357">
        <v>0</v>
      </c>
      <c r="O13" s="356"/>
    </row>
    <row r="14" spans="1:15" ht="9.75" customHeight="1">
      <c r="A14" s="592" t="s">
        <v>270</v>
      </c>
      <c r="B14" s="593">
        <v>235.94978999999998</v>
      </c>
      <c r="C14" s="593">
        <v>149.42865999999998</v>
      </c>
      <c r="D14" s="594">
        <f t="shared" si="0"/>
        <v>0.57901295507836315</v>
      </c>
      <c r="E14" s="138"/>
      <c r="F14" s="138"/>
      <c r="G14" s="138"/>
      <c r="H14" s="138"/>
      <c r="I14" s="138"/>
      <c r="J14" s="138"/>
      <c r="K14" s="26"/>
      <c r="L14" s="314" t="s">
        <v>123</v>
      </c>
      <c r="M14" s="357">
        <v>0</v>
      </c>
      <c r="N14" s="357">
        <v>0</v>
      </c>
      <c r="O14" s="356"/>
    </row>
    <row r="15" spans="1:15" ht="9.75" customHeight="1">
      <c r="A15" s="595" t="s">
        <v>99</v>
      </c>
      <c r="B15" s="596">
        <v>180.89832999999999</v>
      </c>
      <c r="C15" s="596">
        <v>216.52627999999999</v>
      </c>
      <c r="D15" s="597">
        <f t="shared" si="0"/>
        <v>-0.16454330624439673</v>
      </c>
      <c r="E15" s="138"/>
      <c r="F15" s="138"/>
      <c r="G15" s="138"/>
      <c r="H15" s="138"/>
      <c r="I15" s="138"/>
      <c r="J15" s="138"/>
      <c r="K15" s="26"/>
      <c r="L15" s="314" t="s">
        <v>115</v>
      </c>
      <c r="M15" s="357">
        <v>0</v>
      </c>
      <c r="N15" s="357">
        <v>0</v>
      </c>
      <c r="O15" s="356"/>
    </row>
    <row r="16" spans="1:15" ht="9.75" customHeight="1">
      <c r="A16" s="592" t="s">
        <v>96</v>
      </c>
      <c r="B16" s="593">
        <v>158.89804999999998</v>
      </c>
      <c r="C16" s="593">
        <v>233.13151000000002</v>
      </c>
      <c r="D16" s="594">
        <f t="shared" si="0"/>
        <v>-0.31841881863159571</v>
      </c>
      <c r="E16" s="138"/>
      <c r="F16" s="138"/>
      <c r="G16" s="138"/>
      <c r="H16" s="138"/>
      <c r="I16" s="138"/>
      <c r="J16" s="138"/>
      <c r="K16" s="26"/>
      <c r="L16" s="356" t="s">
        <v>112</v>
      </c>
      <c r="M16" s="357">
        <v>0</v>
      </c>
      <c r="N16" s="357">
        <v>0</v>
      </c>
      <c r="O16" s="356"/>
    </row>
    <row r="17" spans="1:15" ht="9.75" customHeight="1">
      <c r="A17" s="595" t="s">
        <v>275</v>
      </c>
      <c r="B17" s="596">
        <v>137.49227000000002</v>
      </c>
      <c r="C17" s="596">
        <v>187.40258000000003</v>
      </c>
      <c r="D17" s="597">
        <f t="shared" si="0"/>
        <v>-0.26632669624932592</v>
      </c>
      <c r="E17" s="138"/>
      <c r="F17" s="138"/>
      <c r="G17" s="138"/>
      <c r="H17" s="138"/>
      <c r="I17" s="138"/>
      <c r="J17" s="138"/>
      <c r="K17" s="26"/>
      <c r="L17" s="356" t="s">
        <v>277</v>
      </c>
      <c r="M17">
        <v>0</v>
      </c>
      <c r="N17">
        <v>0</v>
      </c>
      <c r="O17" s="356"/>
    </row>
    <row r="18" spans="1:15" ht="9.75" customHeight="1">
      <c r="A18" s="592" t="s">
        <v>98</v>
      </c>
      <c r="B18" s="593">
        <v>124.50915999999999</v>
      </c>
      <c r="C18" s="593">
        <v>135.65933000000001</v>
      </c>
      <c r="D18" s="594">
        <f t="shared" si="0"/>
        <v>-8.2192430111515447E-2</v>
      </c>
      <c r="E18" s="138"/>
      <c r="F18" s="138"/>
      <c r="G18" s="138"/>
      <c r="H18" s="138"/>
      <c r="I18" s="138"/>
      <c r="J18" s="138"/>
      <c r="K18" s="26"/>
      <c r="L18" s="356" t="s">
        <v>278</v>
      </c>
      <c r="M18" s="357">
        <v>0</v>
      </c>
      <c r="N18" s="357">
        <v>299.68656999999996</v>
      </c>
      <c r="O18" s="356"/>
    </row>
    <row r="19" spans="1:15" ht="9.75" customHeight="1">
      <c r="A19" s="595" t="s">
        <v>97</v>
      </c>
      <c r="B19" s="596">
        <v>115.89467</v>
      </c>
      <c r="C19" s="596">
        <v>95.912599999999998</v>
      </c>
      <c r="D19" s="597">
        <f t="shared" si="0"/>
        <v>0.20833623528087042</v>
      </c>
      <c r="E19" s="138"/>
      <c r="F19" s="138"/>
      <c r="G19" s="138"/>
      <c r="H19" s="138"/>
      <c r="I19" s="138"/>
      <c r="J19" s="138"/>
      <c r="K19" s="26"/>
      <c r="L19" s="356" t="s">
        <v>125</v>
      </c>
      <c r="M19" s="357">
        <v>0</v>
      </c>
      <c r="N19" s="357">
        <v>0</v>
      </c>
      <c r="O19" s="356"/>
    </row>
    <row r="20" spans="1:15" ht="9.75" customHeight="1">
      <c r="A20" s="592" t="s">
        <v>271</v>
      </c>
      <c r="B20" s="593">
        <v>93.694500000000005</v>
      </c>
      <c r="C20" s="593">
        <v>93.816519999999997</v>
      </c>
      <c r="D20" s="594">
        <f t="shared" si="0"/>
        <v>-1.3006238133752568E-3</v>
      </c>
      <c r="E20" s="138"/>
      <c r="F20" s="138"/>
      <c r="G20" s="138"/>
      <c r="H20" s="138"/>
      <c r="I20" s="138"/>
      <c r="J20" s="138"/>
      <c r="K20" s="29"/>
      <c r="L20" s="356" t="s">
        <v>114</v>
      </c>
      <c r="M20" s="357">
        <v>0</v>
      </c>
      <c r="N20" s="357">
        <v>0</v>
      </c>
      <c r="O20" s="356"/>
    </row>
    <row r="21" spans="1:15" ht="9.75" customHeight="1">
      <c r="A21" s="595" t="s">
        <v>103</v>
      </c>
      <c r="B21" s="596">
        <v>91.487089999999995</v>
      </c>
      <c r="C21" s="596"/>
      <c r="D21" s="597" t="str">
        <f t="shared" si="0"/>
        <v/>
      </c>
      <c r="E21" s="138"/>
      <c r="F21" s="138"/>
      <c r="G21" s="138"/>
      <c r="H21" s="138"/>
      <c r="I21" s="138"/>
      <c r="J21" s="138"/>
      <c r="K21" s="26"/>
      <c r="L21" s="356" t="s">
        <v>124</v>
      </c>
      <c r="M21">
        <v>0.30986999999999998</v>
      </c>
      <c r="N21">
        <v>0.58531</v>
      </c>
      <c r="O21" s="356"/>
    </row>
    <row r="22" spans="1:15" ht="9.75" customHeight="1">
      <c r="A22" s="592" t="s">
        <v>110</v>
      </c>
      <c r="B22" s="593">
        <v>86.796319999999994</v>
      </c>
      <c r="C22" s="593">
        <v>0</v>
      </c>
      <c r="D22" s="594" t="str">
        <f t="shared" si="0"/>
        <v/>
      </c>
      <c r="E22" s="138"/>
      <c r="F22" s="138"/>
      <c r="G22" s="138"/>
      <c r="H22" s="138"/>
      <c r="I22" s="138"/>
      <c r="J22" s="138"/>
      <c r="K22" s="26"/>
      <c r="L22" s="356" t="s">
        <v>122</v>
      </c>
      <c r="M22">
        <v>1.857</v>
      </c>
      <c r="N22">
        <v>3.3959999999999999</v>
      </c>
      <c r="O22" s="356"/>
    </row>
    <row r="23" spans="1:15" ht="9.75" customHeight="1">
      <c r="A23" s="595" t="s">
        <v>101</v>
      </c>
      <c r="B23" s="596">
        <v>80.24427</v>
      </c>
      <c r="C23" s="596">
        <v>130.45782</v>
      </c>
      <c r="D23" s="597">
        <f t="shared" si="0"/>
        <v>-0.38490256850835003</v>
      </c>
      <c r="E23" s="138"/>
      <c r="F23" s="138"/>
      <c r="G23" s="138"/>
      <c r="H23" s="138"/>
      <c r="I23" s="138"/>
      <c r="J23" s="138"/>
      <c r="K23" s="26"/>
      <c r="L23" s="356" t="s">
        <v>119</v>
      </c>
      <c r="M23" s="357">
        <v>2.1800000000000002</v>
      </c>
      <c r="N23" s="357">
        <v>1.81</v>
      </c>
      <c r="O23" s="356"/>
    </row>
    <row r="24" spans="1:15" ht="9.75" customHeight="1">
      <c r="A24" s="592" t="s">
        <v>100</v>
      </c>
      <c r="B24" s="593">
        <v>76.185190000000006</v>
      </c>
      <c r="C24" s="593">
        <v>67.215320000000006</v>
      </c>
      <c r="D24" s="594">
        <f t="shared" si="0"/>
        <v>0.13344978495973825</v>
      </c>
      <c r="E24" s="138"/>
      <c r="F24" s="138"/>
      <c r="G24" s="138"/>
      <c r="H24" s="138"/>
      <c r="I24" s="138"/>
      <c r="J24" s="138"/>
      <c r="K24" s="29"/>
      <c r="L24" s="356" t="s">
        <v>120</v>
      </c>
      <c r="M24" s="357">
        <v>2.46305</v>
      </c>
      <c r="N24" s="357">
        <v>3.7462499999999999</v>
      </c>
      <c r="O24" s="356"/>
    </row>
    <row r="25" spans="1:15" ht="9.75" customHeight="1">
      <c r="A25" s="595" t="s">
        <v>595</v>
      </c>
      <c r="B25" s="596">
        <v>60.503439999999998</v>
      </c>
      <c r="C25" s="596">
        <v>50.859630000000003</v>
      </c>
      <c r="D25" s="597">
        <f t="shared" si="0"/>
        <v>0.18961620444348481</v>
      </c>
      <c r="E25" s="138"/>
      <c r="F25" s="138"/>
      <c r="G25" s="138"/>
      <c r="H25" s="138"/>
      <c r="I25" s="138"/>
      <c r="J25" s="138"/>
      <c r="K25" s="26"/>
      <c r="L25" s="356" t="s">
        <v>121</v>
      </c>
      <c r="M25" s="332">
        <v>3.2</v>
      </c>
      <c r="N25">
        <v>3.6</v>
      </c>
      <c r="O25" s="356"/>
    </row>
    <row r="26" spans="1:15" ht="9.75" customHeight="1">
      <c r="A26" s="592" t="s">
        <v>104</v>
      </c>
      <c r="B26" s="593">
        <v>53.820979999999999</v>
      </c>
      <c r="C26" s="593">
        <v>55.829160000000002</v>
      </c>
      <c r="D26" s="594">
        <f t="shared" si="0"/>
        <v>-3.5970091615206146E-2</v>
      </c>
      <c r="E26" s="138"/>
      <c r="F26" s="138"/>
      <c r="G26" s="138"/>
      <c r="H26" s="138"/>
      <c r="I26" s="138"/>
      <c r="J26" s="138"/>
      <c r="K26" s="26"/>
      <c r="L26" s="356" t="s">
        <v>126</v>
      </c>
      <c r="M26" s="357">
        <v>4.2273899999999998</v>
      </c>
      <c r="N26" s="357">
        <v>1.26932</v>
      </c>
      <c r="O26" s="356"/>
    </row>
    <row r="27" spans="1:15" ht="9.75" customHeight="1">
      <c r="A27" s="595" t="s">
        <v>106</v>
      </c>
      <c r="B27" s="596">
        <v>46.913179999999997</v>
      </c>
      <c r="C27" s="596">
        <v>48.406909999999996</v>
      </c>
      <c r="D27" s="597">
        <f t="shared" si="0"/>
        <v>-3.0857784560096913E-2</v>
      </c>
      <c r="E27" s="138"/>
      <c r="F27" s="138"/>
      <c r="G27" s="138"/>
      <c r="H27" s="138"/>
      <c r="I27" s="138"/>
      <c r="J27" s="138"/>
      <c r="K27" s="26"/>
      <c r="L27" s="356" t="s">
        <v>118</v>
      </c>
      <c r="M27" s="357">
        <v>4.2768300000000004</v>
      </c>
      <c r="N27" s="357">
        <v>8.9406099999999995</v>
      </c>
      <c r="O27" s="356"/>
    </row>
    <row r="28" spans="1:15" ht="9.75" customHeight="1">
      <c r="A28" s="592" t="s">
        <v>107</v>
      </c>
      <c r="B28" s="593">
        <v>28.065159999999999</v>
      </c>
      <c r="C28" s="593">
        <v>28.249939999999999</v>
      </c>
      <c r="D28" s="594">
        <f t="shared" si="0"/>
        <v>-6.540898847926746E-3</v>
      </c>
      <c r="E28" s="138"/>
      <c r="F28" s="138"/>
      <c r="G28" s="138"/>
      <c r="H28" s="138"/>
      <c r="I28" s="138"/>
      <c r="J28" s="138"/>
      <c r="K28" s="26"/>
      <c r="L28" s="356" t="s">
        <v>597</v>
      </c>
      <c r="M28" s="357">
        <v>4.3132000000000001</v>
      </c>
      <c r="N28" s="357">
        <v>2.8588</v>
      </c>
      <c r="O28" s="356"/>
    </row>
    <row r="29" spans="1:15" ht="9.75" customHeight="1">
      <c r="A29" s="598" t="s">
        <v>102</v>
      </c>
      <c r="B29" s="599">
        <v>25.263779999999997</v>
      </c>
      <c r="C29" s="599">
        <v>40.282240000000002</v>
      </c>
      <c r="D29" s="600">
        <f t="shared" si="0"/>
        <v>-0.37283080583403516</v>
      </c>
      <c r="E29" s="138"/>
      <c r="F29" s="138"/>
      <c r="G29" s="138"/>
      <c r="H29" s="138"/>
      <c r="I29" s="138"/>
      <c r="J29" s="138"/>
      <c r="K29" s="26"/>
      <c r="L29" s="314" t="s">
        <v>109</v>
      </c>
      <c r="M29" s="357">
        <v>5.1794700000000002</v>
      </c>
      <c r="N29" s="357">
        <v>8.1204599999999996</v>
      </c>
      <c r="O29" s="356"/>
    </row>
    <row r="30" spans="1:15" ht="9.75" customHeight="1">
      <c r="A30" s="601" t="s">
        <v>516</v>
      </c>
      <c r="B30" s="602">
        <v>19.981480000000001</v>
      </c>
      <c r="C30" s="602"/>
      <c r="D30" s="603" t="str">
        <f t="shared" si="0"/>
        <v/>
      </c>
      <c r="E30" s="138"/>
      <c r="F30" s="138"/>
      <c r="G30" s="138"/>
      <c r="H30" s="138"/>
      <c r="I30" s="138"/>
      <c r="J30" s="138"/>
      <c r="K30" s="26"/>
      <c r="L30" s="314" t="s">
        <v>113</v>
      </c>
      <c r="M30" s="357">
        <v>5.2402199999999999</v>
      </c>
      <c r="N30" s="357">
        <v>9.1251700000000007</v>
      </c>
      <c r="O30" s="356"/>
    </row>
    <row r="31" spans="1:15" ht="9.75" customHeight="1">
      <c r="A31" s="604" t="s">
        <v>594</v>
      </c>
      <c r="B31" s="605">
        <v>17.331960000000002</v>
      </c>
      <c r="C31" s="605">
        <v>15.346770000000001</v>
      </c>
      <c r="D31" s="606">
        <f t="shared" si="0"/>
        <v>0.12935555820540756</v>
      </c>
      <c r="E31" s="138"/>
      <c r="F31" s="138"/>
      <c r="G31" s="138"/>
      <c r="H31" s="138"/>
      <c r="I31" s="138"/>
      <c r="J31" s="138"/>
      <c r="K31" s="26"/>
      <c r="L31" s="314" t="s">
        <v>272</v>
      </c>
      <c r="M31" s="357">
        <v>11.62796</v>
      </c>
      <c r="N31" s="357">
        <v>12.606960000000001</v>
      </c>
      <c r="O31" s="356"/>
    </row>
    <row r="32" spans="1:15" ht="9.75" customHeight="1">
      <c r="A32" s="601" t="s">
        <v>108</v>
      </c>
      <c r="B32" s="602">
        <v>17.027999999999999</v>
      </c>
      <c r="C32" s="602">
        <v>16.532</v>
      </c>
      <c r="D32" s="603">
        <f t="shared" si="0"/>
        <v>3.0002419549963522E-2</v>
      </c>
      <c r="E32" s="138"/>
      <c r="F32" s="138"/>
      <c r="G32" s="138"/>
      <c r="H32" s="138"/>
      <c r="I32" s="138"/>
      <c r="J32" s="138"/>
      <c r="K32" s="26"/>
      <c r="L32" s="356" t="s">
        <v>279</v>
      </c>
      <c r="M32" s="357">
        <v>11.733280000000001</v>
      </c>
      <c r="N32" s="357">
        <v>7.7262299999999993</v>
      </c>
      <c r="O32" s="356"/>
    </row>
    <row r="33" spans="1:15" ht="9.75" customHeight="1">
      <c r="A33" s="604" t="s">
        <v>274</v>
      </c>
      <c r="B33" s="605">
        <v>15.15048</v>
      </c>
      <c r="C33" s="605">
        <v>0</v>
      </c>
      <c r="D33" s="606" t="str">
        <f t="shared" si="0"/>
        <v/>
      </c>
      <c r="E33" s="138"/>
      <c r="F33" s="138"/>
      <c r="G33" s="138"/>
      <c r="H33" s="138"/>
      <c r="I33" s="138"/>
      <c r="J33" s="138"/>
      <c r="K33" s="26"/>
      <c r="L33" s="314" t="s">
        <v>111</v>
      </c>
      <c r="M33" s="357">
        <v>13.786569999999999</v>
      </c>
      <c r="N33" s="357">
        <v>14.921329999999999</v>
      </c>
      <c r="O33" s="356"/>
    </row>
    <row r="34" spans="1:15" ht="9.75" customHeight="1">
      <c r="A34" s="601" t="s">
        <v>276</v>
      </c>
      <c r="B34" s="602">
        <v>15.02704</v>
      </c>
      <c r="C34" s="602">
        <v>19.93937</v>
      </c>
      <c r="D34" s="603">
        <f t="shared" si="0"/>
        <v>-0.24636335049703184</v>
      </c>
      <c r="E34" s="138"/>
      <c r="F34" s="138"/>
      <c r="G34" s="138"/>
      <c r="H34" s="138"/>
      <c r="I34" s="138"/>
      <c r="J34" s="138"/>
      <c r="K34" s="26"/>
      <c r="L34" s="356" t="s">
        <v>276</v>
      </c>
      <c r="M34" s="357">
        <v>15.02704</v>
      </c>
      <c r="N34" s="357">
        <v>19.93937</v>
      </c>
      <c r="O34" s="356"/>
    </row>
    <row r="35" spans="1:15" ht="9.75" customHeight="1">
      <c r="A35" s="604" t="s">
        <v>111</v>
      </c>
      <c r="B35" s="605">
        <v>13.786569999999999</v>
      </c>
      <c r="C35" s="605">
        <v>14.921329999999999</v>
      </c>
      <c r="D35" s="606">
        <f t="shared" si="0"/>
        <v>-7.6049521054758484E-2</v>
      </c>
      <c r="E35" s="138"/>
      <c r="F35" s="138"/>
      <c r="G35" s="138"/>
      <c r="H35" s="138"/>
      <c r="I35" s="138"/>
      <c r="J35" s="138"/>
      <c r="K35" s="26"/>
      <c r="L35" s="314" t="s">
        <v>274</v>
      </c>
      <c r="M35" s="357">
        <v>15.15048</v>
      </c>
      <c r="N35" s="357">
        <v>0</v>
      </c>
      <c r="O35" s="356"/>
    </row>
    <row r="36" spans="1:15" ht="9.75" customHeight="1">
      <c r="A36" s="601" t="s">
        <v>279</v>
      </c>
      <c r="B36" s="602">
        <v>11.733280000000001</v>
      </c>
      <c r="C36" s="602">
        <v>7.7262299999999993</v>
      </c>
      <c r="D36" s="603">
        <f t="shared" si="0"/>
        <v>0.51862939622558502</v>
      </c>
      <c r="E36" s="138"/>
      <c r="F36" s="138"/>
      <c r="G36" s="138"/>
      <c r="H36" s="138"/>
      <c r="I36" s="138"/>
      <c r="J36" s="138"/>
      <c r="K36" s="34"/>
      <c r="L36" s="314" t="s">
        <v>108</v>
      </c>
      <c r="M36" s="357">
        <v>17.027999999999999</v>
      </c>
      <c r="N36" s="357">
        <v>16.532</v>
      </c>
      <c r="O36" s="356"/>
    </row>
    <row r="37" spans="1:15" ht="9.75" customHeight="1">
      <c r="A37" s="604" t="s">
        <v>272</v>
      </c>
      <c r="B37" s="605">
        <v>11.62796</v>
      </c>
      <c r="C37" s="605">
        <v>12.606960000000001</v>
      </c>
      <c r="D37" s="606">
        <f t="shared" si="0"/>
        <v>-7.7655517269825669E-2</v>
      </c>
      <c r="E37" s="138"/>
      <c r="F37" s="138"/>
      <c r="G37" s="138"/>
      <c r="H37" s="138"/>
      <c r="I37" s="138"/>
      <c r="J37" s="138"/>
      <c r="K37" s="34"/>
      <c r="L37" s="356" t="s">
        <v>594</v>
      </c>
      <c r="M37" s="332">
        <v>17.331960000000002</v>
      </c>
      <c r="N37">
        <v>15.346770000000001</v>
      </c>
      <c r="O37" s="356"/>
    </row>
    <row r="38" spans="1:15" ht="9.75" customHeight="1">
      <c r="A38" s="601" t="s">
        <v>113</v>
      </c>
      <c r="B38" s="602">
        <v>5.2402199999999999</v>
      </c>
      <c r="C38" s="602">
        <v>9.1251700000000007</v>
      </c>
      <c r="D38" s="603">
        <f t="shared" si="0"/>
        <v>-0.42574001361070535</v>
      </c>
      <c r="E38" s="138"/>
      <c r="F38" s="138"/>
      <c r="G38" s="138"/>
      <c r="H38" s="138"/>
      <c r="I38" s="138"/>
      <c r="J38" s="138"/>
      <c r="K38" s="29"/>
      <c r="L38" s="314" t="s">
        <v>516</v>
      </c>
      <c r="M38" s="357">
        <v>19.981480000000001</v>
      </c>
      <c r="N38" s="357"/>
      <c r="O38" s="356"/>
    </row>
    <row r="39" spans="1:15" ht="9.75" customHeight="1">
      <c r="A39" s="604" t="s">
        <v>109</v>
      </c>
      <c r="B39" s="605">
        <v>5.1794700000000002</v>
      </c>
      <c r="C39" s="605">
        <v>8.1204599999999996</v>
      </c>
      <c r="D39" s="606">
        <f t="shared" si="0"/>
        <v>-0.36217036965886162</v>
      </c>
      <c r="E39" s="138"/>
      <c r="F39" s="138"/>
      <c r="G39" s="138"/>
      <c r="H39" s="138"/>
      <c r="I39" s="138"/>
      <c r="J39" s="138"/>
      <c r="K39" s="29"/>
      <c r="L39" s="314" t="s">
        <v>102</v>
      </c>
      <c r="M39" s="357">
        <v>25.263779999999997</v>
      </c>
      <c r="N39" s="357">
        <v>40.282240000000002</v>
      </c>
      <c r="O39" s="356"/>
    </row>
    <row r="40" spans="1:15" ht="9.75" customHeight="1">
      <c r="A40" s="601" t="s">
        <v>597</v>
      </c>
      <c r="B40" s="602">
        <v>4.3132000000000001</v>
      </c>
      <c r="C40" s="602">
        <v>2.8588</v>
      </c>
      <c r="D40" s="603">
        <f t="shared" si="0"/>
        <v>0.50874492794179371</v>
      </c>
      <c r="E40" s="138"/>
      <c r="F40" s="138"/>
      <c r="G40" s="138"/>
      <c r="H40" s="138"/>
      <c r="I40" s="138"/>
      <c r="J40" s="138"/>
      <c r="K40" s="29"/>
      <c r="L40" s="314" t="s">
        <v>107</v>
      </c>
      <c r="M40" s="357">
        <v>28.065159999999999</v>
      </c>
      <c r="N40" s="357">
        <v>28.249939999999999</v>
      </c>
      <c r="O40" s="356"/>
    </row>
    <row r="41" spans="1:15" ht="9.75" customHeight="1">
      <c r="A41" s="604" t="s">
        <v>118</v>
      </c>
      <c r="B41" s="605">
        <v>4.2768300000000004</v>
      </c>
      <c r="C41" s="605">
        <v>8.9406099999999995</v>
      </c>
      <c r="D41" s="606">
        <f t="shared" si="0"/>
        <v>-0.52164002232509854</v>
      </c>
      <c r="E41" s="138"/>
      <c r="F41" s="138"/>
      <c r="G41" s="138"/>
      <c r="H41" s="138"/>
      <c r="I41" s="138"/>
      <c r="J41" s="138"/>
      <c r="K41" s="34"/>
      <c r="L41" s="314" t="s">
        <v>106</v>
      </c>
      <c r="M41" s="357">
        <v>46.913179999999997</v>
      </c>
      <c r="N41" s="357">
        <v>48.406909999999996</v>
      </c>
      <c r="O41" s="356"/>
    </row>
    <row r="42" spans="1:15" ht="9.75" customHeight="1">
      <c r="A42" s="601" t="s">
        <v>126</v>
      </c>
      <c r="B42" s="602">
        <v>4.2273899999999998</v>
      </c>
      <c r="C42" s="602">
        <v>1.26932</v>
      </c>
      <c r="D42" s="603">
        <f t="shared" si="0"/>
        <v>2.3304367692937951</v>
      </c>
      <c r="E42" s="138"/>
      <c r="F42" s="138"/>
      <c r="G42" s="138"/>
      <c r="H42" s="138"/>
      <c r="I42" s="138"/>
      <c r="J42" s="138"/>
      <c r="K42" s="34"/>
      <c r="L42" s="356" t="s">
        <v>104</v>
      </c>
      <c r="M42" s="357">
        <v>53.820979999999999</v>
      </c>
      <c r="N42" s="357">
        <v>55.829160000000002</v>
      </c>
      <c r="O42" s="356"/>
    </row>
    <row r="43" spans="1:15" ht="9.75" customHeight="1">
      <c r="A43" s="604" t="s">
        <v>121</v>
      </c>
      <c r="B43" s="605">
        <v>3.2</v>
      </c>
      <c r="C43" s="605">
        <v>3.6</v>
      </c>
      <c r="D43" s="606">
        <f t="shared" si="0"/>
        <v>-0.11111111111111105</v>
      </c>
      <c r="E43" s="138"/>
      <c r="F43" s="138"/>
      <c r="G43" s="138"/>
      <c r="H43" s="138"/>
      <c r="I43" s="138"/>
      <c r="J43" s="138"/>
      <c r="K43" s="34"/>
      <c r="L43" s="314" t="s">
        <v>595</v>
      </c>
      <c r="M43" s="357">
        <v>60.503439999999998</v>
      </c>
      <c r="N43" s="357">
        <v>50.859630000000003</v>
      </c>
      <c r="O43" s="356"/>
    </row>
    <row r="44" spans="1:15" ht="9.75" customHeight="1">
      <c r="A44" s="601" t="s">
        <v>120</v>
      </c>
      <c r="B44" s="602">
        <v>2.46305</v>
      </c>
      <c r="C44" s="602">
        <v>3.7462499999999999</v>
      </c>
      <c r="D44" s="603">
        <f t="shared" si="0"/>
        <v>-0.34252919586252917</v>
      </c>
      <c r="E44" s="138"/>
      <c r="F44" s="138"/>
      <c r="G44" s="138"/>
      <c r="H44" s="138"/>
      <c r="I44" s="138"/>
      <c r="J44" s="138"/>
      <c r="L44" s="314" t="s">
        <v>100</v>
      </c>
      <c r="M44" s="357">
        <v>76.185190000000006</v>
      </c>
      <c r="N44" s="357">
        <v>67.215320000000006</v>
      </c>
      <c r="O44" s="356"/>
    </row>
    <row r="45" spans="1:15" ht="9.75" customHeight="1">
      <c r="A45" s="604" t="s">
        <v>119</v>
      </c>
      <c r="B45" s="605">
        <v>2.1800000000000002</v>
      </c>
      <c r="C45" s="605">
        <v>1.81</v>
      </c>
      <c r="D45" s="606">
        <f t="shared" si="0"/>
        <v>0.20441988950276246</v>
      </c>
      <c r="E45" s="138"/>
      <c r="F45" s="138"/>
      <c r="G45" s="138"/>
      <c r="H45" s="138"/>
      <c r="I45" s="138"/>
      <c r="J45" s="138"/>
      <c r="L45" s="356" t="s">
        <v>101</v>
      </c>
      <c r="M45" s="357">
        <v>80.24427</v>
      </c>
      <c r="N45" s="357">
        <v>130.45782</v>
      </c>
      <c r="O45" s="356"/>
    </row>
    <row r="46" spans="1:15" ht="9.75" customHeight="1">
      <c r="A46" s="601" t="s">
        <v>122</v>
      </c>
      <c r="B46" s="602">
        <v>1.857</v>
      </c>
      <c r="C46" s="602">
        <v>3.3959999999999999</v>
      </c>
      <c r="D46" s="603">
        <f t="shared" si="0"/>
        <v>-0.45318021201413428</v>
      </c>
      <c r="E46" s="138"/>
      <c r="F46" s="138"/>
      <c r="G46" s="138"/>
      <c r="H46" s="138"/>
      <c r="I46" s="138"/>
      <c r="J46" s="138"/>
      <c r="L46" s="356" t="s">
        <v>110</v>
      </c>
      <c r="M46" s="357">
        <v>86.796319999999994</v>
      </c>
      <c r="N46" s="357">
        <v>0</v>
      </c>
      <c r="O46" s="356"/>
    </row>
    <row r="47" spans="1:15" ht="9.75" customHeight="1">
      <c r="A47" s="604" t="s">
        <v>124</v>
      </c>
      <c r="B47" s="605">
        <v>0.30986999999999998</v>
      </c>
      <c r="C47" s="605">
        <v>0.58531</v>
      </c>
      <c r="D47" s="606">
        <f t="shared" si="0"/>
        <v>-0.47058823529411764</v>
      </c>
      <c r="E47" s="138"/>
      <c r="F47" s="138"/>
      <c r="G47" s="138"/>
      <c r="H47" s="138"/>
      <c r="I47" s="138"/>
      <c r="J47" s="138"/>
      <c r="L47" s="356" t="s">
        <v>103</v>
      </c>
      <c r="M47" s="357">
        <v>91.487089999999995</v>
      </c>
      <c r="N47" s="357"/>
      <c r="O47" s="356"/>
    </row>
    <row r="48" spans="1:15" ht="9.75" customHeight="1">
      <c r="A48" s="601" t="s">
        <v>127</v>
      </c>
      <c r="B48" s="602">
        <v>0</v>
      </c>
      <c r="C48" s="602">
        <v>2.1127600000000002</v>
      </c>
      <c r="D48" s="603">
        <f t="shared" si="0"/>
        <v>-1</v>
      </c>
      <c r="E48" s="138"/>
      <c r="F48" s="138"/>
      <c r="G48" s="138"/>
      <c r="H48" s="138"/>
      <c r="I48" s="138"/>
      <c r="J48" s="138"/>
      <c r="L48" s="356" t="s">
        <v>271</v>
      </c>
      <c r="M48" s="357">
        <v>93.694500000000005</v>
      </c>
      <c r="N48" s="357">
        <v>93.816519999999997</v>
      </c>
      <c r="O48" s="356"/>
    </row>
    <row r="49" spans="1:15" ht="9.75" customHeight="1">
      <c r="A49" s="604" t="s">
        <v>269</v>
      </c>
      <c r="B49" s="605">
        <v>0</v>
      </c>
      <c r="C49" s="605">
        <v>0</v>
      </c>
      <c r="D49" s="606" t="str">
        <f t="shared" si="0"/>
        <v/>
      </c>
      <c r="E49" s="138"/>
      <c r="F49" s="138"/>
      <c r="G49" s="138"/>
      <c r="H49" s="138"/>
      <c r="I49" s="138"/>
      <c r="J49" s="138"/>
      <c r="L49" s="314" t="s">
        <v>97</v>
      </c>
      <c r="M49" s="357">
        <v>115.89467</v>
      </c>
      <c r="N49" s="357">
        <v>95.912599999999998</v>
      </c>
      <c r="O49" s="356"/>
    </row>
    <row r="50" spans="1:15" ht="9.75" customHeight="1">
      <c r="A50" s="601" t="s">
        <v>116</v>
      </c>
      <c r="B50" s="602">
        <v>0</v>
      </c>
      <c r="C50" s="602">
        <v>0</v>
      </c>
      <c r="D50" s="603" t="str">
        <f t="shared" si="0"/>
        <v/>
      </c>
      <c r="E50" s="138"/>
      <c r="F50" s="138"/>
      <c r="G50" s="138"/>
      <c r="H50" s="138"/>
      <c r="I50" s="138"/>
      <c r="J50" s="138"/>
      <c r="L50" s="314" t="s">
        <v>98</v>
      </c>
      <c r="M50" s="357">
        <v>124.50915999999999</v>
      </c>
      <c r="N50" s="357">
        <v>135.65933000000001</v>
      </c>
      <c r="O50" s="356"/>
    </row>
    <row r="51" spans="1:15" ht="9.75" customHeight="1">
      <c r="A51" s="604" t="s">
        <v>117</v>
      </c>
      <c r="B51" s="605">
        <v>0</v>
      </c>
      <c r="C51" s="605">
        <v>0</v>
      </c>
      <c r="D51" s="606" t="str">
        <f t="shared" si="0"/>
        <v/>
      </c>
      <c r="E51" s="138"/>
      <c r="F51" s="138"/>
      <c r="G51" s="138"/>
      <c r="H51" s="138"/>
      <c r="I51" s="138"/>
      <c r="J51" s="138"/>
      <c r="L51" s="314" t="s">
        <v>275</v>
      </c>
      <c r="M51" s="357">
        <v>137.49227000000002</v>
      </c>
      <c r="N51" s="357">
        <v>187.40258000000003</v>
      </c>
      <c r="O51" s="356"/>
    </row>
    <row r="52" spans="1:15" ht="9.75" customHeight="1">
      <c r="A52" s="601" t="s">
        <v>123</v>
      </c>
      <c r="B52" s="602">
        <v>0</v>
      </c>
      <c r="C52" s="602">
        <v>0</v>
      </c>
      <c r="D52" s="603" t="str">
        <f t="shared" si="0"/>
        <v/>
      </c>
      <c r="E52" s="138"/>
      <c r="F52" s="138"/>
      <c r="G52" s="138"/>
      <c r="H52" s="138"/>
      <c r="I52" s="138"/>
      <c r="J52" s="138"/>
      <c r="L52" s="314" t="s">
        <v>96</v>
      </c>
      <c r="M52" s="357">
        <v>158.89804999999998</v>
      </c>
      <c r="N52" s="357">
        <v>233.13151000000002</v>
      </c>
      <c r="O52" s="356"/>
    </row>
    <row r="53" spans="1:15" ht="9.75" customHeight="1">
      <c r="A53" s="604" t="s">
        <v>115</v>
      </c>
      <c r="B53" s="605">
        <v>0</v>
      </c>
      <c r="C53" s="605">
        <v>0</v>
      </c>
      <c r="D53" s="606" t="str">
        <f t="shared" si="0"/>
        <v/>
      </c>
      <c r="E53" s="138"/>
      <c r="F53" s="138"/>
      <c r="G53" s="138"/>
      <c r="H53" s="138"/>
      <c r="I53" s="138"/>
      <c r="J53" s="138"/>
      <c r="L53" s="314" t="s">
        <v>99</v>
      </c>
      <c r="M53" s="357">
        <v>180.89832999999999</v>
      </c>
      <c r="N53" s="357">
        <v>216.52627999999999</v>
      </c>
      <c r="O53" s="356"/>
    </row>
    <row r="54" spans="1:15" ht="9.75" customHeight="1">
      <c r="A54" s="601" t="s">
        <v>112</v>
      </c>
      <c r="B54" s="602">
        <v>0</v>
      </c>
      <c r="C54" s="602">
        <v>0</v>
      </c>
      <c r="D54" s="603" t="str">
        <f t="shared" si="0"/>
        <v/>
      </c>
      <c r="E54" s="138"/>
      <c r="F54" s="138"/>
      <c r="G54" s="138"/>
      <c r="H54" s="138"/>
      <c r="I54" s="138"/>
      <c r="J54" s="138"/>
      <c r="L54" s="314" t="s">
        <v>270</v>
      </c>
      <c r="M54" s="357">
        <v>235.94978999999998</v>
      </c>
      <c r="N54" s="357">
        <v>149.42865999999998</v>
      </c>
      <c r="O54" s="356"/>
    </row>
    <row r="55" spans="1:15" ht="9.75" customHeight="1">
      <c r="A55" s="604" t="s">
        <v>277</v>
      </c>
      <c r="B55" s="605">
        <v>0</v>
      </c>
      <c r="C55" s="605">
        <v>0</v>
      </c>
      <c r="D55" s="606" t="str">
        <f t="shared" si="0"/>
        <v/>
      </c>
      <c r="E55" s="138"/>
      <c r="F55" s="138"/>
      <c r="G55" s="138"/>
      <c r="H55" s="138"/>
      <c r="I55" s="138"/>
      <c r="J55" s="138"/>
      <c r="L55" s="314" t="s">
        <v>95</v>
      </c>
      <c r="M55" s="357">
        <v>248.57145</v>
      </c>
      <c r="N55" s="357">
        <v>207.80803</v>
      </c>
      <c r="O55" s="356"/>
    </row>
    <row r="56" spans="1:15" ht="9.75" customHeight="1">
      <c r="A56" s="601" t="s">
        <v>278</v>
      </c>
      <c r="B56" s="602">
        <v>0</v>
      </c>
      <c r="C56" s="602">
        <v>299.68656999999996</v>
      </c>
      <c r="D56" s="603">
        <f t="shared" si="0"/>
        <v>-1</v>
      </c>
      <c r="E56" s="138"/>
      <c r="F56" s="138"/>
      <c r="G56" s="138"/>
      <c r="H56" s="138"/>
      <c r="I56" s="138"/>
      <c r="J56" s="138"/>
      <c r="L56" s="314" t="s">
        <v>273</v>
      </c>
      <c r="M56" s="357">
        <v>275.32452999999998</v>
      </c>
      <c r="N56" s="357">
        <v>553.68991000000005</v>
      </c>
      <c r="O56" s="356"/>
    </row>
    <row r="57" spans="1:15" ht="9.75" customHeight="1">
      <c r="A57" s="604" t="s">
        <v>125</v>
      </c>
      <c r="B57" s="605">
        <v>0</v>
      </c>
      <c r="C57" s="605">
        <v>0</v>
      </c>
      <c r="D57" s="606" t="str">
        <f t="shared" si="0"/>
        <v/>
      </c>
      <c r="E57" s="138"/>
      <c r="F57" s="138"/>
      <c r="G57" s="138"/>
      <c r="H57" s="138"/>
      <c r="I57" s="138"/>
      <c r="J57" s="138"/>
      <c r="L57" s="314" t="s">
        <v>105</v>
      </c>
      <c r="M57" s="357">
        <v>294.18524000000002</v>
      </c>
      <c r="N57" s="357">
        <v>0</v>
      </c>
      <c r="O57" s="356"/>
    </row>
    <row r="58" spans="1:15" ht="9.75" customHeight="1">
      <c r="A58" s="601" t="s">
        <v>114</v>
      </c>
      <c r="B58" s="602">
        <v>0</v>
      </c>
      <c r="C58" s="602">
        <v>0</v>
      </c>
      <c r="D58" s="603" t="str">
        <f t="shared" si="0"/>
        <v/>
      </c>
      <c r="E58" s="138"/>
      <c r="F58" s="138"/>
      <c r="G58" s="138"/>
      <c r="H58" s="138"/>
      <c r="I58" s="138"/>
      <c r="J58" s="138"/>
      <c r="L58" s="314" t="s">
        <v>93</v>
      </c>
      <c r="M58" s="357">
        <v>801.48217000000011</v>
      </c>
      <c r="N58" s="357">
        <v>898.59789000000012</v>
      </c>
      <c r="O58" s="356"/>
    </row>
    <row r="59" spans="1:15" ht="9.75" customHeight="1">
      <c r="A59" s="584" t="s">
        <v>569</v>
      </c>
      <c r="B59" s="585"/>
      <c r="C59" s="585">
        <v>222.12781000000001</v>
      </c>
      <c r="D59" s="606">
        <f t="shared" si="0"/>
        <v>-1</v>
      </c>
      <c r="E59" s="138"/>
      <c r="F59" s="138"/>
      <c r="G59" s="138"/>
      <c r="H59" s="138"/>
      <c r="I59" s="138"/>
      <c r="J59" s="138"/>
      <c r="L59" s="356" t="s">
        <v>94</v>
      </c>
      <c r="M59" s="357">
        <v>851.62559999999996</v>
      </c>
      <c r="N59" s="357">
        <v>863.18448000000001</v>
      </c>
      <c r="O59" s="356"/>
    </row>
    <row r="60" spans="1:15" ht="9.75" customHeight="1">
      <c r="A60" s="607" t="s">
        <v>598</v>
      </c>
      <c r="B60" s="608"/>
      <c r="C60" s="608">
        <v>3.0007999999999999</v>
      </c>
      <c r="D60" s="609">
        <f t="shared" si="0"/>
        <v>-1</v>
      </c>
      <c r="E60" s="138"/>
      <c r="F60" s="138"/>
      <c r="G60" s="138"/>
      <c r="H60" s="138"/>
      <c r="I60" s="138"/>
      <c r="J60" s="138"/>
      <c r="L60" s="314" t="s">
        <v>92</v>
      </c>
      <c r="M60" s="357">
        <v>1000.1083800000001</v>
      </c>
      <c r="N60" s="357">
        <v>1212.5421000000001</v>
      </c>
      <c r="O60" s="356"/>
    </row>
    <row r="61" spans="1:15" ht="9.75" customHeight="1">
      <c r="A61" s="584" t="s">
        <v>128</v>
      </c>
      <c r="B61" s="585"/>
      <c r="C61" s="585">
        <v>0</v>
      </c>
      <c r="D61" s="597" t="str">
        <f t="shared" si="0"/>
        <v/>
      </c>
      <c r="E61" s="138"/>
      <c r="F61" s="138"/>
      <c r="G61" s="138"/>
      <c r="H61" s="138"/>
      <c r="I61" s="138"/>
      <c r="J61" s="138"/>
      <c r="L61" s="314" t="s">
        <v>568</v>
      </c>
      <c r="M61" s="357">
        <v>1198.1839100000002</v>
      </c>
      <c r="N61" s="357">
        <v>386.40255999999999</v>
      </c>
      <c r="O61" s="356"/>
    </row>
    <row r="62" spans="1:15" ht="9.75" hidden="1" customHeight="1">
      <c r="A62" s="592"/>
      <c r="B62" s="593"/>
      <c r="C62" s="593"/>
      <c r="D62" s="594"/>
      <c r="E62" s="138"/>
      <c r="F62" s="138"/>
      <c r="G62" s="138"/>
      <c r="H62" s="138"/>
      <c r="I62" s="138"/>
      <c r="J62" s="138"/>
      <c r="L62" s="314" t="s">
        <v>92</v>
      </c>
      <c r="M62" s="357">
        <v>964.9787399999999</v>
      </c>
      <c r="N62" s="357">
        <v>1059.69</v>
      </c>
      <c r="O62" s="356"/>
    </row>
    <row r="63" spans="1:15" ht="9.75" customHeight="1">
      <c r="A63" s="586" t="s">
        <v>44</v>
      </c>
      <c r="B63" s="587">
        <f>SUM(B7:B62)</f>
        <v>6421.0112600000011</v>
      </c>
      <c r="C63" s="587">
        <f>SUM(C7:C62)</f>
        <v>6312.8559900000009</v>
      </c>
      <c r="D63" s="588">
        <f t="shared" si="0"/>
        <v>1.7132541938438939E-2</v>
      </c>
      <c r="E63" s="132"/>
      <c r="F63" s="132"/>
      <c r="G63" s="132"/>
      <c r="H63" s="177"/>
      <c r="I63" s="177"/>
      <c r="J63" s="177"/>
      <c r="L63" s="314"/>
      <c r="M63" s="357"/>
      <c r="N63" s="357"/>
    </row>
    <row r="64" spans="1:15" ht="32.25" customHeight="1">
      <c r="A64" s="813" t="str">
        <f>"Cuadro N° 8: Participación de las empresas generadoras del COES en la máxima potencia coincidente (MW) en "&amp;'1. Resumen'!Q4</f>
        <v>Cuadro N° 8: Participación de las empresas generadoras del COES en la máxima potencia coincidente (MW) en julio</v>
      </c>
      <c r="B64" s="813"/>
      <c r="C64" s="813"/>
      <c r="D64" s="813"/>
      <c r="E64" s="157"/>
      <c r="F64" s="813" t="str">
        <f>"Gráfico N° 12: Comparación de la máxima potencia coincidente  (MW) de las empresas generadoras del COES en "&amp;'1. Resumen'!Q4</f>
        <v>Gráfico N° 12: Comparación de la máxima potencia coincidente  (MW) de las empresas generadoras del COES en julio</v>
      </c>
      <c r="G64" s="813"/>
      <c r="H64" s="813"/>
      <c r="I64" s="813"/>
      <c r="J64" s="813"/>
    </row>
    <row r="65" spans="1:10" ht="7.5" customHeight="1">
      <c r="A65" s="580"/>
      <c r="B65" s="580"/>
      <c r="C65" s="580"/>
      <c r="D65" s="580"/>
      <c r="E65" s="157"/>
      <c r="F65" s="580"/>
      <c r="G65" s="580"/>
      <c r="H65" s="580"/>
      <c r="I65" s="580"/>
      <c r="J65" s="580"/>
    </row>
    <row r="66" spans="1:10" ht="12.75" customHeight="1">
      <c r="A66" s="815" t="s">
        <v>567</v>
      </c>
      <c r="B66" s="815"/>
      <c r="C66" s="815"/>
      <c r="D66" s="815"/>
      <c r="E66" s="815"/>
      <c r="F66" s="815"/>
      <c r="G66" s="815"/>
      <c r="H66" s="815"/>
      <c r="I66" s="815"/>
      <c r="J66" s="815"/>
    </row>
    <row r="67" spans="1:10" ht="12.75" customHeight="1">
      <c r="A67" s="815" t="s">
        <v>599</v>
      </c>
      <c r="B67" s="815"/>
      <c r="C67" s="815"/>
      <c r="D67" s="815"/>
      <c r="E67" s="815"/>
      <c r="F67" s="815"/>
      <c r="G67" s="815"/>
      <c r="H67" s="815"/>
      <c r="I67" s="815"/>
      <c r="J67" s="815"/>
    </row>
    <row r="68" spans="1:10" ht="12.75" customHeight="1">
      <c r="A68" s="815" t="s">
        <v>592</v>
      </c>
      <c r="B68" s="815"/>
      <c r="C68" s="815"/>
      <c r="D68" s="815"/>
      <c r="E68" s="815"/>
      <c r="F68" s="815"/>
      <c r="G68" s="815"/>
      <c r="H68" s="815"/>
      <c r="I68" s="815"/>
      <c r="J68" s="815"/>
    </row>
    <row r="69" spans="1:10">
      <c r="A69" s="815" t="s">
        <v>593</v>
      </c>
      <c r="B69" s="815"/>
      <c r="C69" s="815"/>
      <c r="D69" s="815"/>
      <c r="E69" s="815"/>
      <c r="F69" s="815"/>
      <c r="G69" s="815"/>
      <c r="H69" s="815"/>
      <c r="I69" s="815"/>
      <c r="J69" s="815"/>
    </row>
    <row r="70" spans="1:10">
      <c r="A70" s="808"/>
      <c r="B70" s="808"/>
      <c r="C70" s="808"/>
      <c r="D70" s="808"/>
      <c r="E70" s="808"/>
      <c r="F70" s="808"/>
      <c r="G70" s="808"/>
      <c r="H70" s="808"/>
      <c r="I70" s="808"/>
      <c r="J70" s="808"/>
    </row>
    <row r="71" spans="1:10">
      <c r="A71" s="807"/>
      <c r="B71" s="807"/>
      <c r="C71" s="807"/>
      <c r="D71" s="807"/>
      <c r="E71" s="807"/>
      <c r="F71" s="807"/>
      <c r="G71" s="807"/>
      <c r="H71" s="807"/>
      <c r="I71" s="807"/>
      <c r="J71" s="807"/>
    </row>
    <row r="72" spans="1:10">
      <c r="A72" s="822"/>
      <c r="B72" s="822"/>
      <c r="C72" s="822"/>
      <c r="D72" s="822"/>
      <c r="E72" s="822"/>
      <c r="F72" s="822"/>
      <c r="G72" s="822"/>
      <c r="H72" s="822"/>
      <c r="I72" s="822"/>
      <c r="J72" s="822"/>
    </row>
    <row r="73" spans="1:10">
      <c r="A73" s="823"/>
      <c r="B73" s="823"/>
      <c r="C73" s="823"/>
      <c r="D73" s="823"/>
      <c r="E73" s="823"/>
      <c r="F73" s="823"/>
      <c r="G73" s="823"/>
      <c r="H73" s="823"/>
      <c r="I73" s="823"/>
      <c r="J73" s="823"/>
    </row>
  </sheetData>
  <autoFilter ref="L6:N62" xr:uid="{51C3E269-94FB-4FDB-993A-26794E6E080A}">
    <sortState xmlns:xlrd2="http://schemas.microsoft.com/office/spreadsheetml/2017/richdata2" ref="L7:N62">
      <sortCondition ref="M6:M62"/>
    </sortState>
  </autoFilter>
  <mergeCells count="15">
    <mergeCell ref="A68:J68"/>
    <mergeCell ref="A66:J66"/>
    <mergeCell ref="A64:D64"/>
    <mergeCell ref="F64:J64"/>
    <mergeCell ref="A1:J1"/>
    <mergeCell ref="A3:A6"/>
    <mergeCell ref="B3:D3"/>
    <mergeCell ref="G3:I3"/>
    <mergeCell ref="D4:D6"/>
    <mergeCell ref="A67:J67"/>
    <mergeCell ref="A69:J69"/>
    <mergeCell ref="A70:J70"/>
    <mergeCell ref="A71:J71"/>
    <mergeCell ref="A72:J72"/>
    <mergeCell ref="A73:J73"/>
  </mergeCells>
  <pageMargins left="0.7" right="0.5892857142857143" top="0.86956521739130432" bottom="0.61458333333333337" header="0.3" footer="0.3"/>
  <pageSetup scale="98" orientation="portrait" r:id="rId1"/>
  <headerFooter>
    <oddHeader>&amp;R&amp;7Informe de la Operación Mensual - Julio 2018
INFSGI-MES-07-2018
14/08/2018
Versión: 01</oddHeader>
    <oddFooter>&amp;L&amp;7COES SINAC, 2018
&amp;C9&amp;R&amp;7Dirección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FFC84-8601-4039-BAF5-E8D89E970AE5}">
  <sheetPr>
    <tabColor theme="4"/>
  </sheetPr>
  <dimension ref="A1:AL65"/>
  <sheetViews>
    <sheetView showGridLines="0" view="pageBreakPreview" zoomScale="130" zoomScaleNormal="100" zoomScaleSheetLayoutView="130" zoomScalePageLayoutView="130" workbookViewId="0">
      <selection activeCell="Q29" sqref="Q29"/>
    </sheetView>
  </sheetViews>
  <sheetFormatPr baseColWidth="10" defaultColWidth="9.28515625" defaultRowHeight="10.199999999999999"/>
  <cols>
    <col min="1" max="1" width="7.7109375" style="46" customWidth="1"/>
    <col min="2" max="2" width="9.85546875" style="46" customWidth="1"/>
    <col min="3" max="3" width="29.7109375" style="46" customWidth="1"/>
    <col min="4" max="5" width="12.7109375" style="46" customWidth="1"/>
    <col min="6" max="6" width="12.140625" style="46" customWidth="1"/>
    <col min="7" max="8" width="9.28515625" style="46"/>
    <col min="9" max="9" width="9.28515625" style="46" customWidth="1"/>
    <col min="10" max="11" width="9.28515625" style="497" customWidth="1"/>
    <col min="12" max="31" width="9.28515625" style="497"/>
    <col min="32" max="16384" width="9.28515625" style="46"/>
  </cols>
  <sheetData>
    <row r="1" spans="1:38" ht="11.25" customHeight="1"/>
    <row r="2" spans="1:38" ht="17.25" customHeight="1">
      <c r="A2" s="818" t="s">
        <v>289</v>
      </c>
      <c r="B2" s="818"/>
      <c r="C2" s="818"/>
      <c r="D2" s="818"/>
      <c r="E2" s="818"/>
      <c r="F2" s="818"/>
      <c r="G2" s="818"/>
      <c r="H2" s="818"/>
    </row>
    <row r="3" spans="1:38" ht="11.25" customHeight="1">
      <c r="A3" s="77"/>
      <c r="B3" s="77"/>
      <c r="C3" s="77"/>
      <c r="D3" s="77"/>
      <c r="E3" s="77"/>
      <c r="F3" s="82"/>
      <c r="G3" s="82"/>
      <c r="H3" s="82"/>
      <c r="I3" s="36"/>
      <c r="J3" s="508"/>
    </row>
    <row r="4" spans="1:38" ht="11.25" customHeight="1">
      <c r="A4" s="832" t="s">
        <v>290</v>
      </c>
      <c r="B4" s="832"/>
      <c r="C4" s="832"/>
      <c r="D4" s="832"/>
      <c r="E4" s="832"/>
      <c r="F4" s="832"/>
      <c r="G4" s="832"/>
      <c r="H4" s="832"/>
      <c r="I4" s="36"/>
      <c r="J4" s="508"/>
    </row>
    <row r="5" spans="1:38" ht="11.25" customHeight="1">
      <c r="A5" s="77"/>
      <c r="B5" s="183"/>
      <c r="C5" s="79"/>
      <c r="D5" s="79"/>
      <c r="E5" s="80"/>
      <c r="F5" s="76"/>
      <c r="G5" s="76"/>
      <c r="H5" s="81"/>
      <c r="I5" s="184"/>
      <c r="J5" s="509"/>
    </row>
    <row r="6" spans="1:38" ht="42.75" customHeight="1">
      <c r="A6" s="77"/>
      <c r="C6" s="188" t="s">
        <v>132</v>
      </c>
      <c r="D6" s="189" t="s">
        <v>738</v>
      </c>
      <c r="E6" s="189" t="s">
        <v>739</v>
      </c>
      <c r="F6" s="190" t="s">
        <v>133</v>
      </c>
      <c r="G6" s="191"/>
      <c r="H6" s="192"/>
    </row>
    <row r="7" spans="1:38" ht="11.25" customHeight="1">
      <c r="A7" s="77"/>
      <c r="C7" s="193" t="s">
        <v>134</v>
      </c>
      <c r="D7" s="194">
        <v>17.27</v>
      </c>
      <c r="E7" s="194">
        <v>20</v>
      </c>
      <c r="F7" s="195">
        <f>IF(E7=0,"",(D7-E7)/E7)</f>
        <v>-0.13650000000000001</v>
      </c>
      <c r="G7" s="137"/>
      <c r="H7" s="361"/>
    </row>
    <row r="8" spans="1:38" ht="11.25" customHeight="1">
      <c r="A8" s="77"/>
      <c r="C8" s="196" t="s">
        <v>135</v>
      </c>
      <c r="D8" s="197">
        <v>108.45</v>
      </c>
      <c r="E8" s="197">
        <v>106</v>
      </c>
      <c r="F8" s="198">
        <f t="shared" ref="F8:F28" si="0">IF(E8=0,"",(D8-E8)/E8)</f>
        <v>2.3113207547169837E-2</v>
      </c>
      <c r="G8" s="137"/>
      <c r="H8" s="361"/>
    </row>
    <row r="9" spans="1:38" ht="11.25" customHeight="1">
      <c r="A9" s="77"/>
      <c r="C9" s="193" t="s">
        <v>136</v>
      </c>
      <c r="D9" s="194">
        <v>97.644000000000005</v>
      </c>
      <c r="E9" s="194">
        <v>71</v>
      </c>
      <c r="F9" s="195">
        <f t="shared" si="0"/>
        <v>0.3752676056338029</v>
      </c>
      <c r="G9" s="137"/>
      <c r="H9" s="361"/>
      <c r="M9" s="510" t="s">
        <v>297</v>
      </c>
      <c r="N9" s="511"/>
      <c r="O9" s="511"/>
      <c r="P9" s="511"/>
      <c r="Q9" s="511"/>
      <c r="R9" s="511"/>
      <c r="S9" s="511"/>
      <c r="T9" s="511"/>
      <c r="U9" s="511"/>
      <c r="V9" s="511"/>
      <c r="W9" s="511"/>
      <c r="X9" s="511"/>
      <c r="Y9" s="511"/>
      <c r="Z9" s="511"/>
      <c r="AA9" s="511"/>
      <c r="AB9" s="511"/>
      <c r="AC9" s="511"/>
      <c r="AD9" s="511"/>
      <c r="AE9" s="511"/>
      <c r="AF9" s="266"/>
      <c r="AG9" s="266"/>
      <c r="AH9" s="266"/>
      <c r="AI9" s="266"/>
      <c r="AJ9" s="266"/>
      <c r="AK9" s="266"/>
      <c r="AL9" s="266"/>
    </row>
    <row r="10" spans="1:38" ht="11.25" customHeight="1">
      <c r="A10" s="77"/>
      <c r="C10" s="196" t="s">
        <v>137</v>
      </c>
      <c r="D10" s="197">
        <v>71.995000000000005</v>
      </c>
      <c r="E10" s="197">
        <v>78</v>
      </c>
      <c r="F10" s="198">
        <f t="shared" si="0"/>
        <v>-7.6987179487179425E-2</v>
      </c>
      <c r="G10" s="137"/>
      <c r="H10" s="361"/>
      <c r="M10" s="510" t="s">
        <v>298</v>
      </c>
      <c r="N10" s="511"/>
      <c r="O10" s="511"/>
      <c r="P10" s="511"/>
      <c r="Q10" s="511"/>
      <c r="R10" s="511"/>
      <c r="S10" s="511"/>
      <c r="T10" s="511"/>
      <c r="AD10" s="511"/>
      <c r="AE10" s="511"/>
      <c r="AF10" s="266"/>
      <c r="AG10" s="266"/>
      <c r="AH10" s="266"/>
      <c r="AI10" s="266"/>
      <c r="AJ10" s="266"/>
      <c r="AK10" s="266"/>
      <c r="AL10" s="266"/>
    </row>
    <row r="11" spans="1:38" ht="11.25" customHeight="1">
      <c r="A11" s="77"/>
      <c r="C11" s="193" t="s">
        <v>138</v>
      </c>
      <c r="D11" s="194">
        <v>17.2</v>
      </c>
      <c r="E11" s="194">
        <v>30</v>
      </c>
      <c r="F11" s="195">
        <f>IF(E11=0,"",(D11-E11)/E11)</f>
        <v>-0.42666666666666669</v>
      </c>
      <c r="G11" s="137"/>
      <c r="H11" s="361"/>
      <c r="M11" s="511"/>
      <c r="N11" s="512">
        <v>2016</v>
      </c>
      <c r="O11" s="512">
        <v>2017</v>
      </c>
      <c r="P11" s="512">
        <v>2018</v>
      </c>
      <c r="Q11" s="511"/>
      <c r="R11" s="511"/>
      <c r="S11" s="511"/>
      <c r="T11" s="511"/>
      <c r="AD11" s="511"/>
      <c r="AE11" s="511"/>
      <c r="AF11" s="266"/>
      <c r="AG11" s="266"/>
      <c r="AH11" s="266"/>
      <c r="AI11" s="266"/>
      <c r="AJ11" s="266"/>
      <c r="AK11" s="266"/>
      <c r="AL11" s="266"/>
    </row>
    <row r="12" spans="1:38" ht="11.25" customHeight="1">
      <c r="A12" s="77"/>
      <c r="C12" s="196" t="s">
        <v>139</v>
      </c>
      <c r="D12" s="197">
        <v>25.8</v>
      </c>
      <c r="E12" s="197">
        <v>23</v>
      </c>
      <c r="F12" s="198">
        <f t="shared" si="0"/>
        <v>0.12173913043478264</v>
      </c>
      <c r="G12" s="137"/>
      <c r="H12" s="361"/>
      <c r="M12" s="513">
        <v>1</v>
      </c>
      <c r="N12" s="514">
        <v>138.54</v>
      </c>
      <c r="O12" s="514">
        <v>93.1</v>
      </c>
      <c r="P12" s="514">
        <v>104.46</v>
      </c>
      <c r="Q12" s="511"/>
      <c r="R12" s="511"/>
      <c r="S12" s="511"/>
      <c r="T12" s="511"/>
      <c r="AD12" s="511"/>
      <c r="AE12" s="511"/>
      <c r="AF12" s="266"/>
      <c r="AG12" s="266"/>
      <c r="AH12" s="266"/>
      <c r="AI12" s="266"/>
      <c r="AJ12" s="266"/>
      <c r="AK12" s="266"/>
      <c r="AL12" s="266"/>
    </row>
    <row r="13" spans="1:38" ht="11.25" customHeight="1">
      <c r="A13" s="77"/>
      <c r="C13" s="193" t="s">
        <v>140</v>
      </c>
      <c r="D13" s="194">
        <v>84.18</v>
      </c>
      <c r="E13" s="194">
        <v>88.941001889999995</v>
      </c>
      <c r="F13" s="195">
        <f t="shared" si="0"/>
        <v>-5.3529888227347347E-2</v>
      </c>
      <c r="G13" s="137"/>
      <c r="H13" s="361"/>
      <c r="M13" s="513">
        <v>2</v>
      </c>
      <c r="N13" s="514">
        <v>140.53</v>
      </c>
      <c r="O13" s="514">
        <v>93.1</v>
      </c>
      <c r="P13" s="514">
        <v>103.4720001</v>
      </c>
      <c r="Q13" s="511"/>
      <c r="R13" s="511"/>
      <c r="S13" s="511"/>
      <c r="T13" s="511"/>
      <c r="AD13" s="511"/>
      <c r="AE13" s="511"/>
      <c r="AF13" s="266"/>
      <c r="AG13" s="266"/>
      <c r="AH13" s="266"/>
      <c r="AI13" s="266"/>
      <c r="AJ13" s="266"/>
      <c r="AK13" s="266"/>
      <c r="AL13" s="266"/>
    </row>
    <row r="14" spans="1:38" ht="11.25" customHeight="1">
      <c r="A14" s="77"/>
      <c r="C14" s="196" t="s">
        <v>141</v>
      </c>
      <c r="D14" s="197">
        <v>221.65</v>
      </c>
      <c r="E14" s="197">
        <v>227.60699460000001</v>
      </c>
      <c r="F14" s="198">
        <f t="shared" si="0"/>
        <v>-2.6172282668504607E-2</v>
      </c>
      <c r="G14" s="137"/>
      <c r="H14" s="361"/>
      <c r="M14" s="513">
        <v>3</v>
      </c>
      <c r="N14" s="514">
        <v>140.53</v>
      </c>
      <c r="O14" s="514">
        <v>98.74</v>
      </c>
      <c r="P14" s="514">
        <v>106.08699799999999</v>
      </c>
      <c r="Q14" s="511"/>
      <c r="R14" s="511"/>
      <c r="S14" s="511"/>
      <c r="T14" s="511"/>
      <c r="AD14" s="511"/>
      <c r="AE14" s="511"/>
      <c r="AF14" s="266"/>
      <c r="AG14" s="266"/>
      <c r="AH14" s="266"/>
      <c r="AI14" s="266"/>
      <c r="AJ14" s="266"/>
      <c r="AK14" s="266"/>
      <c r="AL14" s="266"/>
    </row>
    <row r="15" spans="1:38" ht="11.25" customHeight="1">
      <c r="A15" s="77"/>
      <c r="C15" s="193" t="s">
        <v>142</v>
      </c>
      <c r="D15" s="194">
        <v>28.09</v>
      </c>
      <c r="E15" s="194">
        <v>15.93</v>
      </c>
      <c r="F15" s="195">
        <f t="shared" si="0"/>
        <v>0.76333961079723789</v>
      </c>
      <c r="G15" s="137"/>
      <c r="H15" s="361"/>
      <c r="M15" s="513">
        <v>4</v>
      </c>
      <c r="N15" s="514">
        <v>137.43800000000002</v>
      </c>
      <c r="O15" s="514">
        <v>98.74</v>
      </c>
      <c r="P15" s="514">
        <v>112.7200012</v>
      </c>
      <c r="Q15" s="511"/>
      <c r="R15" s="511"/>
      <c r="S15" s="511"/>
      <c r="T15" s="511"/>
      <c r="AD15" s="511"/>
      <c r="AE15" s="511"/>
      <c r="AF15" s="266"/>
      <c r="AG15" s="266"/>
      <c r="AH15" s="266"/>
      <c r="AI15" s="266"/>
      <c r="AJ15" s="266"/>
      <c r="AK15" s="266"/>
      <c r="AL15" s="266"/>
    </row>
    <row r="16" spans="1:38" ht="11.25" customHeight="1">
      <c r="A16" s="77"/>
      <c r="C16" s="196" t="s">
        <v>143</v>
      </c>
      <c r="D16" s="197">
        <v>222.21799999999999</v>
      </c>
      <c r="E16" s="197">
        <v>214.33500670000001</v>
      </c>
      <c r="F16" s="198">
        <f t="shared" si="0"/>
        <v>3.6778841783104678E-2</v>
      </c>
      <c r="G16" s="137"/>
      <c r="H16" s="361"/>
      <c r="M16" s="513">
        <v>5</v>
      </c>
      <c r="N16" s="514">
        <v>137.43800000000002</v>
      </c>
      <c r="O16" s="514">
        <v>125.15</v>
      </c>
      <c r="P16" s="514">
        <v>122.3190002</v>
      </c>
      <c r="Q16" s="511"/>
      <c r="R16" s="511"/>
      <c r="S16" s="511"/>
      <c r="T16" s="511"/>
      <c r="AD16" s="511"/>
      <c r="AE16" s="511"/>
      <c r="AF16" s="266"/>
      <c r="AG16" s="266"/>
      <c r="AH16" s="266"/>
      <c r="AI16" s="266"/>
      <c r="AJ16" s="266"/>
      <c r="AK16" s="266"/>
      <c r="AL16" s="266"/>
    </row>
    <row r="17" spans="1:38" ht="11.25" customHeight="1">
      <c r="A17" s="77"/>
      <c r="C17" s="193" t="s">
        <v>144</v>
      </c>
      <c r="D17" s="194">
        <v>185.94</v>
      </c>
      <c r="E17" s="194">
        <v>202.11000060000001</v>
      </c>
      <c r="F17" s="195">
        <f t="shared" si="0"/>
        <v>-8.0005940092011493E-2</v>
      </c>
      <c r="G17" s="137"/>
      <c r="H17" s="361"/>
      <c r="M17" s="513">
        <v>6</v>
      </c>
      <c r="N17" s="514">
        <v>137.43800000000002</v>
      </c>
      <c r="O17" s="514">
        <v>125.15</v>
      </c>
      <c r="P17" s="514">
        <v>126.1559982</v>
      </c>
      <c r="Q17" s="511"/>
      <c r="R17" s="511"/>
      <c r="S17" s="511"/>
      <c r="T17" s="511"/>
      <c r="AD17" s="511"/>
      <c r="AE17" s="511"/>
      <c r="AF17" s="266"/>
      <c r="AG17" s="266"/>
      <c r="AH17" s="266"/>
      <c r="AI17" s="266"/>
      <c r="AJ17" s="266"/>
      <c r="AK17" s="266"/>
      <c r="AL17" s="266"/>
    </row>
    <row r="18" spans="1:38" ht="11.25" customHeight="1">
      <c r="A18" s="77"/>
      <c r="C18" s="196" t="s">
        <v>145</v>
      </c>
      <c r="D18" s="197">
        <v>19.829999999999998</v>
      </c>
      <c r="E18" s="197">
        <v>13.619999890000001</v>
      </c>
      <c r="F18" s="198">
        <f t="shared" si="0"/>
        <v>0.45594714832262728</v>
      </c>
      <c r="G18" s="137"/>
      <c r="H18" s="361"/>
      <c r="M18" s="513">
        <v>7</v>
      </c>
      <c r="N18" s="514">
        <v>151.05499267578099</v>
      </c>
      <c r="O18" s="514">
        <v>142.99</v>
      </c>
      <c r="P18" s="514">
        <v>142.9900055</v>
      </c>
      <c r="Q18" s="511"/>
      <c r="R18" s="511"/>
      <c r="S18" s="511"/>
      <c r="T18" s="511"/>
      <c r="AD18" s="511"/>
      <c r="AE18" s="511"/>
      <c r="AF18" s="266"/>
      <c r="AG18" s="266"/>
      <c r="AH18" s="266"/>
      <c r="AI18" s="266"/>
      <c r="AJ18" s="266"/>
      <c r="AK18" s="266"/>
      <c r="AL18" s="266"/>
    </row>
    <row r="19" spans="1:38" ht="11.25" customHeight="1">
      <c r="A19" s="77"/>
      <c r="C19" s="193" t="s">
        <v>146</v>
      </c>
      <c r="D19" s="194">
        <v>44.150440000000003</v>
      </c>
      <c r="E19" s="194">
        <v>37.21091843</v>
      </c>
      <c r="F19" s="195">
        <f t="shared" si="0"/>
        <v>0.18649154234272428</v>
      </c>
      <c r="G19" s="137"/>
      <c r="H19" s="361"/>
      <c r="M19" s="513">
        <v>8</v>
      </c>
      <c r="N19" s="514">
        <v>151.05499267578099</v>
      </c>
      <c r="O19" s="514">
        <v>142.99</v>
      </c>
      <c r="P19" s="514">
        <v>134.13600159999999</v>
      </c>
      <c r="Q19" s="511"/>
      <c r="R19" s="511"/>
      <c r="S19" s="511"/>
      <c r="T19" s="511"/>
      <c r="AD19" s="511"/>
      <c r="AE19" s="511"/>
      <c r="AF19" s="266"/>
      <c r="AG19" s="266"/>
      <c r="AH19" s="266"/>
      <c r="AI19" s="266"/>
      <c r="AJ19" s="266"/>
      <c r="AK19" s="266"/>
      <c r="AL19" s="266"/>
    </row>
    <row r="20" spans="1:38" ht="11.25" customHeight="1">
      <c r="A20" s="77"/>
      <c r="C20" s="196" t="s">
        <v>147</v>
      </c>
      <c r="D20" s="197">
        <v>21.749310000000001</v>
      </c>
      <c r="E20" s="197">
        <v>18.205820079999999</v>
      </c>
      <c r="F20" s="198">
        <f t="shared" si="0"/>
        <v>0.194635007070772</v>
      </c>
      <c r="G20" s="137"/>
      <c r="H20" s="361"/>
      <c r="M20" s="513">
        <v>9</v>
      </c>
      <c r="N20" s="514">
        <v>165.00500489999999</v>
      </c>
      <c r="O20" s="514">
        <v>159.53</v>
      </c>
      <c r="P20" s="514">
        <v>153.34500120000001</v>
      </c>
      <c r="Q20" s="511"/>
      <c r="R20" s="511"/>
      <c r="S20" s="511"/>
      <c r="T20" s="511"/>
      <c r="AD20" s="511"/>
      <c r="AE20" s="511"/>
      <c r="AF20" s="266"/>
      <c r="AG20" s="266"/>
      <c r="AH20" s="266"/>
      <c r="AI20" s="266"/>
      <c r="AJ20" s="266"/>
      <c r="AK20" s="266"/>
      <c r="AL20" s="266"/>
    </row>
    <row r="21" spans="1:38" ht="11.25" customHeight="1">
      <c r="A21" s="77"/>
      <c r="C21" s="193" t="s">
        <v>148</v>
      </c>
      <c r="D21" s="369" t="s">
        <v>314</v>
      </c>
      <c r="E21" s="369" t="s">
        <v>314</v>
      </c>
      <c r="F21" s="195"/>
      <c r="G21" s="137"/>
      <c r="H21" s="361"/>
      <c r="M21" s="513">
        <v>10</v>
      </c>
      <c r="N21" s="514">
        <v>165.00500489999999</v>
      </c>
      <c r="O21" s="514">
        <v>159.53</v>
      </c>
      <c r="P21" s="514">
        <v>153.0590057</v>
      </c>
      <c r="Q21" s="511"/>
      <c r="R21" s="511"/>
      <c r="S21" s="511"/>
      <c r="T21" s="511"/>
      <c r="AD21" s="511"/>
      <c r="AE21" s="511"/>
      <c r="AF21" s="266"/>
      <c r="AG21" s="266"/>
      <c r="AH21" s="266"/>
      <c r="AI21" s="266"/>
      <c r="AJ21" s="266"/>
      <c r="AK21" s="266"/>
      <c r="AL21" s="266"/>
    </row>
    <row r="22" spans="1:38" ht="11.25" customHeight="1">
      <c r="A22" s="77"/>
      <c r="C22" s="196" t="s">
        <v>149</v>
      </c>
      <c r="D22" s="197">
        <v>3.8759999999999999</v>
      </c>
      <c r="E22" s="197">
        <v>7.5659999850000004</v>
      </c>
      <c r="F22" s="198">
        <f t="shared" si="0"/>
        <v>-0.48770816710489329</v>
      </c>
      <c r="G22" s="137"/>
      <c r="H22" s="361"/>
      <c r="M22" s="513">
        <v>11</v>
      </c>
      <c r="N22" s="514">
        <v>186.45199584960901</v>
      </c>
      <c r="O22" s="514">
        <v>184.94</v>
      </c>
      <c r="P22" s="514">
        <v>162.93200680000001</v>
      </c>
      <c r="AF22" s="362"/>
      <c r="AG22" s="362"/>
      <c r="AH22" s="362"/>
      <c r="AI22" s="362"/>
      <c r="AJ22" s="362"/>
      <c r="AK22" s="362"/>
      <c r="AL22" s="362"/>
    </row>
    <row r="23" spans="1:38" ht="11.25" customHeight="1">
      <c r="A23" s="77"/>
      <c r="C23" s="193" t="s">
        <v>150</v>
      </c>
      <c r="D23" s="194">
        <v>5.4359999999999999</v>
      </c>
      <c r="E23" s="194">
        <v>8.043999672</v>
      </c>
      <c r="F23" s="195">
        <f t="shared" si="0"/>
        <v>-0.32421678000287218</v>
      </c>
      <c r="G23" s="137"/>
      <c r="H23" s="361"/>
      <c r="M23" s="513">
        <v>12</v>
      </c>
      <c r="N23" s="514">
        <v>186.45199584960901</v>
      </c>
      <c r="O23" s="514">
        <v>184.94</v>
      </c>
      <c r="P23" s="514">
        <v>172.76199339999999</v>
      </c>
      <c r="AF23" s="362"/>
      <c r="AG23" s="362"/>
      <c r="AH23" s="362"/>
      <c r="AI23" s="362"/>
      <c r="AJ23" s="362"/>
      <c r="AK23" s="362"/>
      <c r="AL23" s="362"/>
    </row>
    <row r="24" spans="1:38" ht="11.25" customHeight="1">
      <c r="A24" s="77"/>
      <c r="C24" s="196" t="s">
        <v>291</v>
      </c>
      <c r="D24" s="197">
        <v>0.129</v>
      </c>
      <c r="E24" s="197">
        <v>10.928000450000001</v>
      </c>
      <c r="F24" s="198">
        <f t="shared" si="0"/>
        <v>-0.98819546168668038</v>
      </c>
      <c r="G24" s="137"/>
      <c r="H24" s="361"/>
      <c r="M24" s="513">
        <v>13</v>
      </c>
      <c r="N24" s="514">
        <v>195.64999389648401</v>
      </c>
      <c r="O24" s="514">
        <v>203.73</v>
      </c>
      <c r="P24" s="514">
        <v>182.13900760000001</v>
      </c>
      <c r="AF24" s="362"/>
      <c r="AG24" s="362"/>
      <c r="AH24" s="362"/>
      <c r="AI24" s="362"/>
      <c r="AJ24" s="362"/>
      <c r="AK24" s="362"/>
      <c r="AL24" s="362"/>
    </row>
    <row r="25" spans="1:38" ht="11.25" customHeight="1">
      <c r="A25" s="77"/>
      <c r="C25" s="193" t="s">
        <v>151</v>
      </c>
      <c r="D25" s="194">
        <v>190.53199999999998</v>
      </c>
      <c r="E25" s="194">
        <v>216.24</v>
      </c>
      <c r="F25" s="195">
        <f t="shared" si="0"/>
        <v>-0.11888642249352584</v>
      </c>
      <c r="G25" s="137"/>
      <c r="H25" s="361"/>
      <c r="M25" s="513">
        <v>14</v>
      </c>
      <c r="N25" s="514">
        <v>195.64999389648401</v>
      </c>
      <c r="O25" s="514">
        <v>203.73</v>
      </c>
      <c r="P25" s="514">
        <v>191.4750061</v>
      </c>
      <c r="AF25" s="362"/>
      <c r="AG25" s="362"/>
      <c r="AH25" s="362"/>
      <c r="AI25" s="362"/>
      <c r="AJ25" s="362"/>
      <c r="AK25" s="362"/>
      <c r="AL25" s="362"/>
    </row>
    <row r="26" spans="1:38" ht="11.25" customHeight="1">
      <c r="A26" s="77"/>
      <c r="C26" s="196" t="s">
        <v>152</v>
      </c>
      <c r="D26" s="197">
        <v>40.25</v>
      </c>
      <c r="E26" s="197">
        <v>45.64</v>
      </c>
      <c r="F26" s="198">
        <f t="shared" si="0"/>
        <v>-0.11809815950920247</v>
      </c>
      <c r="G26" s="137"/>
      <c r="H26" s="137"/>
      <c r="M26" s="513">
        <v>15</v>
      </c>
      <c r="N26" s="514">
        <v>201.93600463867099</v>
      </c>
      <c r="O26" s="514">
        <v>203.73</v>
      </c>
      <c r="P26" s="514">
        <v>198.43899540000001</v>
      </c>
      <c r="AF26" s="362"/>
      <c r="AG26" s="362"/>
      <c r="AH26" s="362"/>
      <c r="AI26" s="362"/>
      <c r="AJ26" s="362"/>
      <c r="AK26" s="362"/>
      <c r="AL26" s="362"/>
    </row>
    <row r="27" spans="1:38" ht="11.25" customHeight="1">
      <c r="A27" s="77"/>
      <c r="C27" s="193" t="s">
        <v>153</v>
      </c>
      <c r="D27" s="194">
        <v>45.917999999999999</v>
      </c>
      <c r="E27" s="194">
        <v>65.090999999999994</v>
      </c>
      <c r="F27" s="195">
        <f t="shared" si="0"/>
        <v>-0.29455685117758212</v>
      </c>
      <c r="G27" s="137"/>
      <c r="H27" s="137"/>
      <c r="M27" s="513">
        <v>16</v>
      </c>
      <c r="N27" s="514">
        <v>201.93600463867099</v>
      </c>
      <c r="O27" s="514">
        <v>222.8</v>
      </c>
      <c r="P27" s="514">
        <v>201.52999879999999</v>
      </c>
      <c r="AF27" s="362"/>
      <c r="AG27" s="362"/>
      <c r="AH27" s="362"/>
      <c r="AI27" s="362"/>
      <c r="AJ27" s="362"/>
      <c r="AK27" s="362"/>
      <c r="AL27" s="362"/>
    </row>
    <row r="28" spans="1:38" ht="11.25" customHeight="1">
      <c r="A28" s="77"/>
      <c r="C28" s="196" t="s">
        <v>154</v>
      </c>
      <c r="D28" s="197">
        <v>365.24299999999999</v>
      </c>
      <c r="E28" s="197">
        <v>373.22399899999999</v>
      </c>
      <c r="F28" s="198">
        <f t="shared" si="0"/>
        <v>-2.1383938389235246E-2</v>
      </c>
      <c r="G28" s="137"/>
      <c r="H28" s="137"/>
      <c r="M28" s="513">
        <v>17</v>
      </c>
      <c r="N28" s="514">
        <v>201.93600463867099</v>
      </c>
      <c r="O28" s="514">
        <v>222.8</v>
      </c>
      <c r="P28" s="514">
        <v>206.03700259999999</v>
      </c>
      <c r="AF28" s="362"/>
      <c r="AG28" s="362"/>
      <c r="AH28" s="362"/>
      <c r="AI28" s="362"/>
      <c r="AJ28" s="362"/>
      <c r="AK28" s="362"/>
      <c r="AL28" s="362"/>
    </row>
    <row r="29" spans="1:38" ht="35.25" customHeight="1">
      <c r="A29" s="75"/>
      <c r="C29" s="833" t="str">
        <f>"Cuadro N°9: Volúmen útil de los principales embalses y lagunas del SEIN al término del periodo mensual ("&amp;'1. Resumen'!Q7&amp;" de "&amp;'1. Resumen'!Q4&amp;") "</f>
        <v xml:space="preserve">Cuadro N°9: Volúmen útil de los principales embalses y lagunas del SEIN al término del periodo mensual (31 de julio) </v>
      </c>
      <c r="D29" s="833"/>
      <c r="E29" s="833"/>
      <c r="F29" s="833"/>
      <c r="G29" s="137"/>
      <c r="H29" s="137"/>
      <c r="I29" s="186"/>
      <c r="J29" s="515"/>
      <c r="M29" s="513">
        <v>18</v>
      </c>
      <c r="N29" s="514">
        <v>207.58900451660099</v>
      </c>
      <c r="O29" s="514">
        <v>225.58</v>
      </c>
      <c r="P29" s="514">
        <v>213.67399599999999</v>
      </c>
      <c r="AF29" s="362"/>
      <c r="AG29" s="362"/>
      <c r="AH29" s="362"/>
      <c r="AI29" s="362"/>
      <c r="AJ29" s="362"/>
      <c r="AK29" s="362"/>
      <c r="AL29" s="362"/>
    </row>
    <row r="30" spans="1:38" ht="11.25" customHeight="1">
      <c r="A30" s="75"/>
      <c r="B30" s="201"/>
      <c r="C30" s="201" t="s">
        <v>315</v>
      </c>
      <c r="D30" s="201"/>
      <c r="E30" s="201"/>
      <c r="F30" s="199"/>
      <c r="G30" s="137"/>
      <c r="H30" s="137"/>
      <c r="M30" s="513">
        <v>19</v>
      </c>
      <c r="N30" s="514">
        <v>207.58900451660099</v>
      </c>
      <c r="O30" s="514">
        <v>225.58</v>
      </c>
      <c r="P30" s="514">
        <v>216.75700380000001</v>
      </c>
      <c r="AF30" s="362"/>
      <c r="AG30" s="362"/>
      <c r="AH30" s="362"/>
      <c r="AI30" s="362"/>
      <c r="AJ30" s="362"/>
      <c r="AK30" s="362"/>
      <c r="AL30" s="362"/>
    </row>
    <row r="31" spans="1:38" ht="11.25" customHeight="1">
      <c r="A31" s="75"/>
      <c r="B31" s="201"/>
      <c r="C31" s="201"/>
      <c r="D31" s="201"/>
      <c r="E31" s="201"/>
      <c r="F31" s="199"/>
      <c r="G31" s="199"/>
      <c r="H31" s="199"/>
      <c r="I31" s="186"/>
      <c r="J31" s="515"/>
      <c r="M31" s="513">
        <v>20</v>
      </c>
      <c r="N31" s="514">
        <v>205.7</v>
      </c>
      <c r="O31" s="514">
        <v>226.61</v>
      </c>
      <c r="P31" s="514">
        <v>217.29400630000001</v>
      </c>
      <c r="AF31" s="362"/>
      <c r="AG31" s="362"/>
      <c r="AH31" s="362"/>
      <c r="AI31" s="362"/>
      <c r="AJ31" s="362"/>
      <c r="AK31" s="362"/>
      <c r="AL31" s="362"/>
    </row>
    <row r="32" spans="1:38" ht="11.25" customHeight="1">
      <c r="A32" s="832" t="s">
        <v>492</v>
      </c>
      <c r="B32" s="832"/>
      <c r="C32" s="832"/>
      <c r="D32" s="832"/>
      <c r="E32" s="832"/>
      <c r="F32" s="832"/>
      <c r="G32" s="832"/>
      <c r="H32" s="832"/>
      <c r="I32" s="56"/>
      <c r="J32" s="515"/>
      <c r="M32" s="513">
        <v>21</v>
      </c>
      <c r="N32" s="514">
        <v>205.7</v>
      </c>
      <c r="O32" s="514">
        <v>226.61</v>
      </c>
      <c r="P32" s="514">
        <v>218.3190002</v>
      </c>
      <c r="AF32" s="362"/>
      <c r="AG32" s="362"/>
      <c r="AH32" s="362"/>
      <c r="AI32" s="362"/>
      <c r="AJ32" s="362"/>
      <c r="AK32" s="362"/>
      <c r="AL32" s="362"/>
    </row>
    <row r="33" spans="1:38" ht="11.25" customHeight="1">
      <c r="A33" s="75"/>
      <c r="B33" s="82"/>
      <c r="C33" s="82"/>
      <c r="D33" s="82"/>
      <c r="E33" s="82"/>
      <c r="F33" s="82"/>
      <c r="G33" s="82"/>
      <c r="H33" s="82"/>
      <c r="I33" s="56"/>
      <c r="J33" s="515"/>
      <c r="M33" s="513">
        <v>22</v>
      </c>
      <c r="N33" s="514">
        <v>204.65</v>
      </c>
      <c r="O33" s="514">
        <v>227.42</v>
      </c>
      <c r="P33" s="514">
        <v>218.79899599999999</v>
      </c>
      <c r="AF33" s="362"/>
      <c r="AG33" s="362"/>
      <c r="AH33" s="362"/>
      <c r="AI33" s="362"/>
      <c r="AJ33" s="362"/>
      <c r="AK33" s="362"/>
      <c r="AL33" s="362"/>
    </row>
    <row r="34" spans="1:38" ht="11.25" customHeight="1">
      <c r="A34" s="75"/>
      <c r="B34" s="82"/>
      <c r="C34" s="82"/>
      <c r="D34" s="82"/>
      <c r="E34" s="82"/>
      <c r="F34" s="82"/>
      <c r="G34" s="82"/>
      <c r="H34" s="82"/>
      <c r="I34" s="56"/>
      <c r="J34" s="515"/>
      <c r="M34" s="513">
        <v>23</v>
      </c>
      <c r="N34" s="514">
        <v>204.65</v>
      </c>
      <c r="O34" s="514">
        <v>227.42</v>
      </c>
      <c r="P34" s="514">
        <v>217.8880005</v>
      </c>
      <c r="AF34" s="362"/>
      <c r="AG34" s="362"/>
      <c r="AH34" s="362"/>
      <c r="AI34" s="362"/>
      <c r="AJ34" s="362"/>
      <c r="AK34" s="362"/>
      <c r="AL34" s="362"/>
    </row>
    <row r="35" spans="1:38" ht="11.25" customHeight="1">
      <c r="A35" s="75"/>
      <c r="B35" s="82"/>
      <c r="C35" s="82"/>
      <c r="D35" s="82"/>
      <c r="E35" s="82"/>
      <c r="F35" s="82"/>
      <c r="G35" s="82"/>
      <c r="H35" s="82"/>
      <c r="I35" s="187"/>
      <c r="J35" s="515"/>
      <c r="M35" s="513">
        <v>24</v>
      </c>
      <c r="N35" s="514">
        <v>200.38</v>
      </c>
      <c r="O35" s="514">
        <v>227.45</v>
      </c>
      <c r="P35" s="514">
        <v>216.04899599999999</v>
      </c>
      <c r="AF35" s="362"/>
      <c r="AG35" s="362"/>
      <c r="AH35" s="362"/>
      <c r="AI35" s="362"/>
      <c r="AJ35" s="362"/>
      <c r="AK35" s="362"/>
      <c r="AL35" s="362"/>
    </row>
    <row r="36" spans="1:38" ht="11.25" customHeight="1">
      <c r="A36" s="75"/>
      <c r="B36" s="82"/>
      <c r="C36" s="82"/>
      <c r="D36" s="82"/>
      <c r="E36" s="82"/>
      <c r="F36" s="82"/>
      <c r="G36" s="82"/>
      <c r="H36" s="82"/>
      <c r="I36" s="56"/>
      <c r="J36" s="515"/>
      <c r="M36" s="513">
        <v>25</v>
      </c>
      <c r="N36" s="514">
        <v>200.38</v>
      </c>
      <c r="O36" s="514">
        <v>227.45</v>
      </c>
      <c r="P36" s="514">
        <v>212.24600219999999</v>
      </c>
      <c r="AF36" s="362"/>
      <c r="AG36" s="362"/>
      <c r="AH36" s="362"/>
      <c r="AI36" s="362"/>
      <c r="AJ36" s="362"/>
      <c r="AK36" s="362"/>
      <c r="AL36" s="362"/>
    </row>
    <row r="37" spans="1:38" ht="11.25" customHeight="1">
      <c r="A37" s="75"/>
      <c r="B37" s="82"/>
      <c r="C37" s="82"/>
      <c r="D37" s="82"/>
      <c r="E37" s="82"/>
      <c r="F37" s="82"/>
      <c r="G37" s="82"/>
      <c r="H37" s="82"/>
      <c r="I37" s="56"/>
      <c r="J37" s="516"/>
      <c r="M37" s="513">
        <v>26</v>
      </c>
      <c r="N37" s="514">
        <v>193.55099487304599</v>
      </c>
      <c r="O37" s="514">
        <v>225.56</v>
      </c>
      <c r="P37" s="514">
        <v>210.22099299999999</v>
      </c>
      <c r="AF37" s="362"/>
      <c r="AG37" s="362"/>
      <c r="AH37" s="362"/>
      <c r="AI37" s="362"/>
      <c r="AJ37" s="362"/>
      <c r="AK37" s="362"/>
      <c r="AL37" s="362"/>
    </row>
    <row r="38" spans="1:38" ht="11.25" customHeight="1">
      <c r="A38" s="75"/>
      <c r="B38" s="82"/>
      <c r="C38" s="82"/>
      <c r="D38" s="82"/>
      <c r="E38" s="82"/>
      <c r="F38" s="82"/>
      <c r="G38" s="82"/>
      <c r="H38" s="82"/>
      <c r="I38" s="56"/>
      <c r="J38" s="516"/>
      <c r="M38" s="513">
        <v>27</v>
      </c>
      <c r="N38" s="514">
        <v>193.55099487304599</v>
      </c>
      <c r="O38" s="514">
        <v>225.56</v>
      </c>
      <c r="P38" s="514">
        <v>209.85200499999999</v>
      </c>
      <c r="AF38" s="362"/>
      <c r="AG38" s="362"/>
      <c r="AH38" s="362"/>
      <c r="AI38" s="362"/>
      <c r="AJ38" s="362"/>
      <c r="AK38" s="362"/>
      <c r="AL38" s="362"/>
    </row>
    <row r="39" spans="1:38" ht="11.25" customHeight="1">
      <c r="A39" s="75"/>
      <c r="B39" s="82"/>
      <c r="C39" s="82"/>
      <c r="D39" s="82"/>
      <c r="E39" s="82"/>
      <c r="F39" s="82"/>
      <c r="G39" s="82"/>
      <c r="H39" s="82"/>
      <c r="I39" s="56"/>
      <c r="J39" s="517"/>
      <c r="M39" s="513">
        <v>28</v>
      </c>
      <c r="N39" s="514">
        <v>186.01199339999999</v>
      </c>
      <c r="O39" s="518">
        <v>225.56</v>
      </c>
      <c r="P39" s="518">
        <v>203.92900090000001</v>
      </c>
      <c r="AF39" s="362"/>
      <c r="AG39" s="362"/>
      <c r="AH39" s="362"/>
      <c r="AI39" s="362"/>
      <c r="AJ39" s="362"/>
      <c r="AK39" s="362"/>
      <c r="AL39" s="362"/>
    </row>
    <row r="40" spans="1:38" ht="11.25" customHeight="1">
      <c r="A40" s="75"/>
      <c r="B40" s="82"/>
      <c r="C40" s="82"/>
      <c r="D40" s="82"/>
      <c r="E40" s="82"/>
      <c r="F40" s="82"/>
      <c r="G40" s="82"/>
      <c r="H40" s="82"/>
      <c r="I40" s="56"/>
      <c r="J40" s="517"/>
      <c r="M40" s="513">
        <v>29</v>
      </c>
      <c r="N40" s="514">
        <v>186.01199339999999</v>
      </c>
      <c r="O40" s="514">
        <v>222.04</v>
      </c>
      <c r="P40" s="514">
        <v>200.56300350000001</v>
      </c>
      <c r="AF40" s="362"/>
      <c r="AG40" s="362"/>
      <c r="AH40" s="362"/>
      <c r="AI40" s="362"/>
      <c r="AJ40" s="362"/>
      <c r="AK40" s="362"/>
      <c r="AL40" s="362"/>
    </row>
    <row r="41" spans="1:38" ht="11.25" customHeight="1">
      <c r="A41" s="75"/>
      <c r="B41" s="82"/>
      <c r="C41" s="82"/>
      <c r="D41" s="82"/>
      <c r="E41" s="82"/>
      <c r="F41" s="82"/>
      <c r="G41" s="82"/>
      <c r="H41" s="82"/>
      <c r="I41" s="56"/>
      <c r="J41" s="517"/>
      <c r="M41" s="513">
        <v>30</v>
      </c>
      <c r="N41" s="514">
        <v>186.01199339999999</v>
      </c>
      <c r="O41" s="514">
        <v>222.04</v>
      </c>
      <c r="P41" s="514">
        <v>194.94900509999999</v>
      </c>
      <c r="AF41" s="362"/>
      <c r="AG41" s="362"/>
      <c r="AH41" s="362"/>
      <c r="AI41" s="362"/>
      <c r="AJ41" s="362"/>
      <c r="AK41" s="362"/>
      <c r="AL41" s="362"/>
    </row>
    <row r="42" spans="1:38" ht="11.25" customHeight="1">
      <c r="A42" s="75"/>
      <c r="B42" s="82"/>
      <c r="C42" s="82"/>
      <c r="D42" s="82"/>
      <c r="E42" s="82"/>
      <c r="F42" s="82"/>
      <c r="G42" s="82"/>
      <c r="H42" s="82"/>
      <c r="I42" s="187"/>
      <c r="J42" s="516"/>
      <c r="M42" s="513">
        <v>31</v>
      </c>
      <c r="N42" s="514">
        <v>178.58200070000001</v>
      </c>
      <c r="O42" s="514">
        <v>213.13</v>
      </c>
      <c r="P42" s="514">
        <v>188.386</v>
      </c>
      <c r="AF42" s="362"/>
      <c r="AG42" s="362"/>
      <c r="AH42" s="362"/>
      <c r="AI42" s="362"/>
      <c r="AJ42" s="362"/>
      <c r="AK42" s="362"/>
      <c r="AL42" s="362"/>
    </row>
    <row r="43" spans="1:38" ht="11.25" customHeight="1">
      <c r="A43" s="75"/>
      <c r="B43" s="82"/>
      <c r="C43" s="82"/>
      <c r="D43" s="82"/>
      <c r="E43" s="82"/>
      <c r="F43" s="82"/>
      <c r="G43" s="82"/>
      <c r="H43" s="82"/>
      <c r="I43" s="56"/>
      <c r="J43" s="516"/>
      <c r="M43" s="513">
        <v>32</v>
      </c>
      <c r="N43" s="514">
        <v>178.58200070000001</v>
      </c>
      <c r="O43" s="514">
        <v>213.13</v>
      </c>
      <c r="P43" s="514"/>
      <c r="AF43" s="362"/>
      <c r="AG43" s="362"/>
      <c r="AH43" s="362"/>
      <c r="AI43" s="362"/>
      <c r="AJ43" s="362"/>
      <c r="AK43" s="362"/>
      <c r="AL43" s="362"/>
    </row>
    <row r="44" spans="1:38" ht="11.25" customHeight="1">
      <c r="A44" s="75"/>
      <c r="B44" s="82"/>
      <c r="C44" s="82"/>
      <c r="D44" s="82"/>
      <c r="E44" s="82"/>
      <c r="F44" s="82"/>
      <c r="G44" s="82"/>
      <c r="H44" s="82"/>
      <c r="I44" s="56"/>
      <c r="J44" s="516"/>
      <c r="M44" s="513">
        <v>33</v>
      </c>
      <c r="N44" s="514">
        <v>169.01100159999999</v>
      </c>
      <c r="O44" s="514">
        <v>205.97</v>
      </c>
      <c r="P44" s="514"/>
      <c r="AF44" s="362"/>
      <c r="AG44" s="362"/>
      <c r="AH44" s="362"/>
      <c r="AI44" s="362"/>
      <c r="AJ44" s="362"/>
      <c r="AK44" s="362"/>
      <c r="AL44" s="362"/>
    </row>
    <row r="45" spans="1:38" ht="11.25" customHeight="1">
      <c r="A45" s="75"/>
      <c r="B45" s="82"/>
      <c r="C45" s="82"/>
      <c r="D45" s="82"/>
      <c r="E45" s="82"/>
      <c r="F45" s="82"/>
      <c r="G45" s="82"/>
      <c r="H45" s="82"/>
      <c r="I45" s="59"/>
      <c r="J45" s="519"/>
      <c r="M45" s="513">
        <v>34</v>
      </c>
      <c r="N45" s="514">
        <v>169.01100159999999</v>
      </c>
      <c r="O45" s="514">
        <v>199.49</v>
      </c>
      <c r="P45" s="514"/>
      <c r="AF45" s="362"/>
      <c r="AG45" s="362"/>
      <c r="AH45" s="362"/>
      <c r="AI45" s="362"/>
      <c r="AJ45" s="362"/>
      <c r="AK45" s="362"/>
      <c r="AL45" s="362"/>
    </row>
    <row r="46" spans="1:38" ht="11.25" customHeight="1">
      <c r="A46" s="75"/>
      <c r="B46" s="82"/>
      <c r="C46" s="82"/>
      <c r="D46" s="82"/>
      <c r="E46" s="82"/>
      <c r="F46" s="82"/>
      <c r="G46" s="82"/>
      <c r="H46" s="82"/>
      <c r="I46" s="59"/>
      <c r="J46" s="519"/>
      <c r="M46" s="513">
        <v>35</v>
      </c>
      <c r="N46" s="520">
        <v>158.09199523925699</v>
      </c>
      <c r="O46" s="514">
        <v>193.4</v>
      </c>
      <c r="P46" s="514"/>
      <c r="AF46" s="362"/>
      <c r="AG46" s="362"/>
      <c r="AH46" s="362"/>
      <c r="AI46" s="362"/>
      <c r="AJ46" s="362"/>
      <c r="AK46" s="362"/>
      <c r="AL46" s="362"/>
    </row>
    <row r="47" spans="1:38" ht="11.25" customHeight="1">
      <c r="A47" s="75"/>
      <c r="B47" s="82"/>
      <c r="C47" s="82"/>
      <c r="D47" s="82"/>
      <c r="E47" s="82"/>
      <c r="F47" s="82"/>
      <c r="G47" s="82"/>
      <c r="H47" s="82"/>
      <c r="I47" s="59"/>
      <c r="J47" s="519"/>
      <c r="M47" s="513">
        <v>36</v>
      </c>
      <c r="N47" s="520">
        <v>158.09199523925699</v>
      </c>
      <c r="O47" s="514">
        <v>187.93</v>
      </c>
      <c r="P47" s="514"/>
      <c r="AF47" s="362"/>
      <c r="AG47" s="362"/>
      <c r="AH47" s="362"/>
      <c r="AI47" s="362"/>
      <c r="AJ47" s="362"/>
      <c r="AK47" s="362"/>
      <c r="AL47" s="362"/>
    </row>
    <row r="48" spans="1:38" ht="11.25" customHeight="1">
      <c r="A48" s="75"/>
      <c r="B48" s="82"/>
      <c r="C48" s="82"/>
      <c r="D48" s="82"/>
      <c r="E48" s="82"/>
      <c r="F48" s="82"/>
      <c r="G48" s="82"/>
      <c r="H48" s="82"/>
      <c r="I48" s="59"/>
      <c r="J48" s="519"/>
      <c r="M48" s="513">
        <v>37</v>
      </c>
      <c r="N48" s="514">
        <v>147.0650024</v>
      </c>
      <c r="O48" s="514">
        <v>182.85</v>
      </c>
      <c r="P48" s="514"/>
      <c r="AF48" s="362"/>
      <c r="AG48" s="362"/>
      <c r="AH48" s="362"/>
      <c r="AI48" s="362"/>
      <c r="AJ48" s="362"/>
      <c r="AK48" s="362"/>
      <c r="AL48" s="362"/>
    </row>
    <row r="49" spans="1:38" ht="11.25" customHeight="1">
      <c r="A49" s="75"/>
      <c r="B49" s="82"/>
      <c r="C49" s="82"/>
      <c r="D49" s="82"/>
      <c r="E49" s="82"/>
      <c r="F49" s="82"/>
      <c r="G49" s="82"/>
      <c r="H49" s="82"/>
      <c r="I49" s="59"/>
      <c r="J49" s="519"/>
      <c r="M49" s="513">
        <v>38</v>
      </c>
      <c r="N49" s="514">
        <v>147.0650024</v>
      </c>
      <c r="O49" s="514">
        <v>179.77</v>
      </c>
      <c r="P49" s="514"/>
      <c r="AF49" s="362"/>
      <c r="AG49" s="362"/>
      <c r="AH49" s="362"/>
      <c r="AI49" s="362"/>
      <c r="AJ49" s="362"/>
      <c r="AK49" s="362"/>
      <c r="AL49" s="362"/>
    </row>
    <row r="50" spans="1:38" ht="13.2">
      <c r="A50" s="75"/>
      <c r="B50" s="82"/>
      <c r="C50" s="82"/>
      <c r="D50" s="82"/>
      <c r="E50" s="82"/>
      <c r="F50" s="82"/>
      <c r="G50" s="82"/>
      <c r="H50" s="82"/>
      <c r="I50" s="59"/>
      <c r="J50" s="519"/>
      <c r="M50" s="513">
        <v>39</v>
      </c>
      <c r="N50" s="514">
        <v>139.11000060000001</v>
      </c>
      <c r="O50" s="514">
        <v>173.62</v>
      </c>
      <c r="P50" s="514"/>
      <c r="AF50" s="362"/>
      <c r="AG50" s="362"/>
      <c r="AH50" s="362"/>
      <c r="AI50" s="362"/>
      <c r="AJ50" s="362"/>
      <c r="AK50" s="362"/>
      <c r="AL50" s="362"/>
    </row>
    <row r="51" spans="1:38" ht="13.2">
      <c r="A51" s="75"/>
      <c r="B51" s="82"/>
      <c r="C51" s="82"/>
      <c r="D51" s="82"/>
      <c r="E51" s="82"/>
      <c r="F51" s="82"/>
      <c r="G51" s="82"/>
      <c r="H51" s="82"/>
      <c r="I51" s="59"/>
      <c r="J51" s="519"/>
      <c r="M51" s="513">
        <v>40</v>
      </c>
      <c r="N51" s="514">
        <v>139.11000060000001</v>
      </c>
      <c r="O51" s="514">
        <v>163</v>
      </c>
      <c r="P51" s="514"/>
      <c r="AF51" s="362"/>
      <c r="AG51" s="362"/>
      <c r="AH51" s="362"/>
      <c r="AI51" s="362"/>
      <c r="AJ51" s="362"/>
      <c r="AK51" s="362"/>
      <c r="AL51" s="362"/>
    </row>
    <row r="52" spans="1:38" ht="13.2">
      <c r="A52" s="75"/>
      <c r="B52" s="82"/>
      <c r="C52" s="82"/>
      <c r="D52" s="82"/>
      <c r="E52" s="82"/>
      <c r="F52" s="82"/>
      <c r="G52" s="82"/>
      <c r="H52" s="82"/>
      <c r="I52" s="59"/>
      <c r="J52" s="519"/>
      <c r="M52" s="513">
        <v>41</v>
      </c>
      <c r="N52" s="514">
        <v>139.11000060000001</v>
      </c>
      <c r="O52" s="514">
        <v>156.5</v>
      </c>
      <c r="P52" s="514"/>
      <c r="AF52" s="362"/>
      <c r="AG52" s="362"/>
      <c r="AH52" s="362"/>
      <c r="AI52" s="362"/>
      <c r="AJ52" s="362"/>
      <c r="AK52" s="362"/>
      <c r="AL52" s="362"/>
    </row>
    <row r="53" spans="1:38" ht="13.2">
      <c r="A53" s="75"/>
      <c r="B53" s="82"/>
      <c r="C53" s="82"/>
      <c r="D53" s="82"/>
      <c r="E53" s="82"/>
      <c r="F53" s="82"/>
      <c r="G53" s="82"/>
      <c r="H53" s="82"/>
      <c r="I53" s="59"/>
      <c r="J53" s="519"/>
      <c r="M53" s="513">
        <v>42</v>
      </c>
      <c r="N53" s="514">
        <v>128.34500120000001</v>
      </c>
      <c r="O53" s="514">
        <v>152.78</v>
      </c>
      <c r="P53" s="514"/>
      <c r="AF53" s="362"/>
      <c r="AG53" s="362"/>
      <c r="AH53" s="362"/>
      <c r="AI53" s="362"/>
      <c r="AJ53" s="362"/>
      <c r="AK53" s="362"/>
      <c r="AL53" s="362"/>
    </row>
    <row r="54" spans="1:38" ht="13.2">
      <c r="A54" s="75"/>
      <c r="B54" s="82"/>
      <c r="C54" s="82"/>
      <c r="D54" s="82"/>
      <c r="E54" s="82"/>
      <c r="F54" s="82"/>
      <c r="G54" s="82"/>
      <c r="H54" s="82"/>
      <c r="I54" s="59"/>
      <c r="J54" s="519"/>
      <c r="M54" s="513">
        <v>43</v>
      </c>
      <c r="N54" s="514">
        <v>128.34500120000001</v>
      </c>
      <c r="O54" s="514">
        <v>148.63</v>
      </c>
      <c r="P54" s="514"/>
      <c r="AF54" s="362"/>
      <c r="AG54" s="362"/>
      <c r="AH54" s="362"/>
      <c r="AI54" s="362"/>
      <c r="AJ54" s="362"/>
      <c r="AK54" s="362"/>
      <c r="AL54" s="362"/>
    </row>
    <row r="55" spans="1:38" ht="13.2">
      <c r="A55" s="75"/>
      <c r="B55" s="82"/>
      <c r="C55" s="82"/>
      <c r="D55" s="82"/>
      <c r="E55" s="82"/>
      <c r="F55" s="82"/>
      <c r="G55" s="82"/>
      <c r="H55" s="82"/>
      <c r="I55" s="59"/>
      <c r="J55" s="519"/>
      <c r="M55" s="513">
        <v>44</v>
      </c>
      <c r="N55" s="514">
        <v>121.20099639999999</v>
      </c>
      <c r="O55" s="514">
        <v>142.91</v>
      </c>
      <c r="P55" s="514"/>
      <c r="AF55" s="362"/>
      <c r="AG55" s="362"/>
      <c r="AH55" s="362"/>
      <c r="AI55" s="362"/>
      <c r="AJ55" s="362"/>
      <c r="AK55" s="362"/>
      <c r="AL55" s="362"/>
    </row>
    <row r="56" spans="1:38" ht="13.2">
      <c r="A56" s="75"/>
      <c r="B56" s="82"/>
      <c r="C56" s="82"/>
      <c r="D56" s="82"/>
      <c r="E56" s="82"/>
      <c r="F56" s="82"/>
      <c r="G56" s="82"/>
      <c r="H56" s="82"/>
      <c r="I56" s="59"/>
      <c r="J56" s="519"/>
      <c r="M56" s="513">
        <v>45</v>
      </c>
      <c r="N56" s="514">
        <v>121.20099639999999</v>
      </c>
      <c r="O56" s="514">
        <v>137.04</v>
      </c>
      <c r="P56" s="514"/>
      <c r="AF56" s="362"/>
      <c r="AG56" s="362"/>
      <c r="AH56" s="362"/>
      <c r="AI56" s="362"/>
      <c r="AJ56" s="362"/>
      <c r="AK56" s="362"/>
      <c r="AL56" s="362"/>
    </row>
    <row r="57" spans="1:38" ht="13.2">
      <c r="A57" s="75"/>
      <c r="B57" s="82"/>
      <c r="C57" s="82"/>
      <c r="D57" s="82"/>
      <c r="E57" s="82"/>
      <c r="F57" s="82"/>
      <c r="G57" s="82"/>
      <c r="H57" s="82"/>
      <c r="M57" s="513">
        <v>46</v>
      </c>
      <c r="N57" s="514">
        <v>112.1429977</v>
      </c>
      <c r="O57" s="514">
        <v>131.22999999999999</v>
      </c>
      <c r="P57" s="514"/>
      <c r="AF57" s="362"/>
      <c r="AG57" s="362"/>
      <c r="AH57" s="362"/>
      <c r="AI57" s="362"/>
      <c r="AJ57" s="362"/>
      <c r="AK57" s="362"/>
      <c r="AL57" s="362"/>
    </row>
    <row r="58" spans="1:38" ht="13.2">
      <c r="A58" s="75"/>
      <c r="B58" s="82"/>
      <c r="C58" s="82"/>
      <c r="D58" s="82"/>
      <c r="E58" s="82"/>
      <c r="F58" s="82"/>
      <c r="G58" s="82"/>
      <c r="H58" s="82"/>
      <c r="M58" s="513">
        <v>47</v>
      </c>
      <c r="N58" s="514">
        <v>112.1429977</v>
      </c>
      <c r="O58" s="514">
        <v>125.5</v>
      </c>
      <c r="P58" s="514"/>
      <c r="AF58" s="362"/>
      <c r="AG58" s="362"/>
      <c r="AH58" s="362"/>
      <c r="AI58" s="362"/>
      <c r="AJ58" s="362"/>
      <c r="AK58" s="362"/>
      <c r="AL58" s="362"/>
    </row>
    <row r="59" spans="1:38" ht="13.2">
      <c r="A59" s="359" t="s">
        <v>546</v>
      </c>
      <c r="B59" s="82"/>
      <c r="C59" s="82"/>
      <c r="D59" s="82"/>
      <c r="E59" s="82"/>
      <c r="F59" s="82"/>
      <c r="G59" s="82"/>
      <c r="H59" s="82"/>
      <c r="M59" s="513">
        <v>48</v>
      </c>
      <c r="N59" s="514">
        <v>101.13500209999999</v>
      </c>
      <c r="O59" s="514">
        <v>120.41</v>
      </c>
      <c r="P59" s="514"/>
      <c r="AF59" s="362"/>
      <c r="AG59" s="362"/>
      <c r="AH59" s="362"/>
      <c r="AI59" s="362"/>
      <c r="AJ59" s="362"/>
      <c r="AK59" s="362"/>
      <c r="AL59" s="362"/>
    </row>
    <row r="60" spans="1:38" ht="13.2">
      <c r="A60" s="54"/>
      <c r="B60" s="82"/>
      <c r="C60" s="82"/>
      <c r="D60" s="82"/>
      <c r="E60" s="82"/>
      <c r="F60" s="82"/>
      <c r="G60" s="82"/>
      <c r="H60" s="82"/>
      <c r="M60" s="513">
        <v>49</v>
      </c>
      <c r="N60" s="514">
        <v>101.13500209999999</v>
      </c>
      <c r="O60" s="514">
        <v>115.91300200000001</v>
      </c>
      <c r="P60" s="514"/>
      <c r="AF60" s="362"/>
      <c r="AG60" s="362"/>
      <c r="AH60" s="362"/>
      <c r="AI60" s="362"/>
      <c r="AJ60" s="362"/>
      <c r="AK60" s="362"/>
      <c r="AL60" s="362"/>
    </row>
    <row r="61" spans="1:38" ht="10.8">
      <c r="M61" s="513">
        <v>50</v>
      </c>
      <c r="N61" s="514">
        <v>96.752998349999999</v>
      </c>
      <c r="O61" s="514">
        <v>110.0599976</v>
      </c>
      <c r="P61" s="514"/>
      <c r="AD61" s="511"/>
      <c r="AE61" s="511"/>
      <c r="AF61" s="266"/>
      <c r="AG61" s="266"/>
      <c r="AH61" s="266"/>
      <c r="AI61" s="266"/>
      <c r="AJ61" s="266"/>
      <c r="AK61" s="266"/>
      <c r="AL61" s="266"/>
    </row>
    <row r="62" spans="1:38" ht="10.8">
      <c r="M62" s="513">
        <v>51</v>
      </c>
      <c r="N62" s="514">
        <v>96.752998349999999</v>
      </c>
      <c r="O62" s="514">
        <v>107.5970001</v>
      </c>
      <c r="P62" s="514"/>
      <c r="AD62" s="511"/>
      <c r="AE62" s="511"/>
      <c r="AF62" s="266"/>
      <c r="AG62" s="266"/>
      <c r="AH62" s="266"/>
      <c r="AI62" s="266"/>
      <c r="AJ62" s="266"/>
      <c r="AK62" s="266"/>
      <c r="AL62" s="266"/>
    </row>
    <row r="63" spans="1:38" ht="10.8">
      <c r="M63" s="513">
        <v>52</v>
      </c>
      <c r="N63" s="514">
        <v>96.752998349999999</v>
      </c>
      <c r="O63" s="514">
        <v>104.4029999</v>
      </c>
      <c r="P63" s="514"/>
      <c r="AD63" s="511"/>
      <c r="AE63" s="511"/>
      <c r="AF63" s="266"/>
      <c r="AG63" s="266"/>
      <c r="AH63" s="266"/>
      <c r="AI63" s="266"/>
      <c r="AJ63" s="266"/>
      <c r="AK63" s="266"/>
      <c r="AL63" s="266"/>
    </row>
    <row r="64" spans="1:38" ht="10.8">
      <c r="M64" s="513">
        <v>53</v>
      </c>
      <c r="N64" s="514"/>
      <c r="O64" s="514"/>
      <c r="P64" s="521"/>
      <c r="AD64" s="511"/>
      <c r="AE64" s="511"/>
      <c r="AF64" s="266"/>
      <c r="AG64" s="266"/>
      <c r="AH64" s="266"/>
      <c r="AI64" s="266"/>
      <c r="AJ64" s="266"/>
      <c r="AK64" s="266"/>
      <c r="AL64" s="266"/>
    </row>
    <row r="65" spans="13:38">
      <c r="M65" s="511"/>
      <c r="N65" s="511"/>
      <c r="O65" s="511"/>
      <c r="P65" s="511"/>
      <c r="Q65" s="511"/>
      <c r="R65" s="511"/>
      <c r="S65" s="511"/>
      <c r="T65" s="511"/>
      <c r="AD65" s="511"/>
      <c r="AE65" s="511"/>
      <c r="AF65" s="266"/>
      <c r="AG65" s="266"/>
      <c r="AH65" s="266"/>
      <c r="AI65" s="266"/>
      <c r="AJ65" s="266"/>
      <c r="AK65" s="266"/>
      <c r="AL65" s="266"/>
    </row>
  </sheetData>
  <mergeCells count="4">
    <mergeCell ref="A2:H2"/>
    <mergeCell ref="A4:H4"/>
    <mergeCell ref="C29:F29"/>
    <mergeCell ref="A32:H32"/>
  </mergeCells>
  <pageMargins left="0.7" right="0.7" top="0.86956521739130432" bottom="0.61458333333333337" header="0.3" footer="0.3"/>
  <pageSetup scale="90" orientation="portrait" r:id="rId1"/>
  <headerFooter>
    <oddHeader>&amp;R&amp;7Informe de la Operación Mensual - Julio 2018
INFSGI-MES-07-2018
14/08/2018
Versión: 01</oddHeader>
    <oddFooter>&amp;L&amp;7COES SINAC, 2018
&amp;C10&amp;R&amp;7Dirección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190F-AA2D-4885-84D3-7562B601C81E}">
  <sheetPr>
    <tabColor theme="4"/>
  </sheetPr>
  <dimension ref="A1:AE63"/>
  <sheetViews>
    <sheetView showGridLines="0" view="pageBreakPreview" zoomScale="130" zoomScaleNormal="100" zoomScaleSheetLayoutView="130" zoomScalePageLayoutView="115" workbookViewId="0">
      <selection activeCell="M60" sqref="M60"/>
    </sheetView>
  </sheetViews>
  <sheetFormatPr baseColWidth="10" defaultColWidth="9.28515625" defaultRowHeight="10.199999999999999"/>
  <cols>
    <col min="10" max="11" width="9.28515625" customWidth="1"/>
    <col min="14" max="28" width="9.28515625" style="739"/>
    <col min="29" max="31" width="9.28515625" style="709"/>
  </cols>
  <sheetData>
    <row r="1" spans="1:22" ht="11.25" customHeight="1"/>
    <row r="2" spans="1:22" ht="11.25" customHeight="1">
      <c r="A2" s="487"/>
      <c r="B2" s="494"/>
      <c r="C2" s="494"/>
      <c r="D2" s="494"/>
      <c r="E2" s="494"/>
      <c r="F2" s="494"/>
      <c r="G2" s="495"/>
      <c r="H2" s="495"/>
      <c r="I2" s="17"/>
    </row>
    <row r="3" spans="1:22" ht="11.25" customHeight="1">
      <c r="A3" s="17"/>
      <c r="B3" s="17"/>
      <c r="C3" s="17"/>
      <c r="D3" s="17"/>
      <c r="E3" s="17"/>
      <c r="F3" s="17"/>
      <c r="G3" s="73"/>
      <c r="H3" s="73"/>
      <c r="I3" s="73"/>
      <c r="J3" s="36"/>
      <c r="K3" s="36"/>
      <c r="L3" s="36"/>
    </row>
    <row r="4" spans="1:22" ht="11.25" customHeight="1">
      <c r="A4" s="17"/>
      <c r="B4" s="17"/>
      <c r="C4" s="17"/>
      <c r="D4" s="17"/>
      <c r="E4" s="17"/>
      <c r="F4" s="17"/>
      <c r="G4" s="73"/>
      <c r="H4" s="73"/>
      <c r="I4" s="73"/>
      <c r="J4" s="36"/>
      <c r="K4" s="36"/>
      <c r="L4" s="36"/>
      <c r="N4" s="742" t="s">
        <v>299</v>
      </c>
      <c r="T4" s="743" t="s">
        <v>300</v>
      </c>
    </row>
    <row r="5" spans="1:22" ht="11.25" customHeight="1">
      <c r="A5" s="834"/>
      <c r="B5" s="834"/>
      <c r="C5" s="834"/>
      <c r="D5" s="834"/>
      <c r="E5" s="834"/>
      <c r="F5" s="834"/>
      <c r="G5" s="834"/>
      <c r="H5" s="834"/>
      <c r="I5" s="834"/>
      <c r="J5" s="12"/>
      <c r="K5" s="12"/>
      <c r="L5" s="8"/>
      <c r="O5" s="744">
        <v>2016</v>
      </c>
      <c r="P5" s="744">
        <v>2017</v>
      </c>
      <c r="Q5" s="744">
        <v>2018</v>
      </c>
      <c r="T5" s="744">
        <v>2016</v>
      </c>
      <c r="U5" s="744">
        <v>2017</v>
      </c>
      <c r="V5" s="744">
        <v>2018</v>
      </c>
    </row>
    <row r="6" spans="1:22" ht="11.25" customHeight="1">
      <c r="A6" s="17"/>
      <c r="B6" s="178"/>
      <c r="C6" s="68"/>
      <c r="D6" s="69"/>
      <c r="E6" s="69"/>
      <c r="F6" s="70"/>
      <c r="G6" s="66"/>
      <c r="H6" s="66"/>
      <c r="I6" s="71"/>
      <c r="J6" s="12"/>
      <c r="K6" s="12"/>
      <c r="L6" s="5"/>
      <c r="N6" s="745">
        <v>1</v>
      </c>
      <c r="O6" s="746">
        <v>119.86</v>
      </c>
      <c r="P6" s="746">
        <v>27.559000019999999</v>
      </c>
      <c r="Q6" s="747">
        <v>34.76</v>
      </c>
      <c r="S6" s="745">
        <v>1</v>
      </c>
      <c r="T6" s="746">
        <v>150.22999999999999</v>
      </c>
      <c r="U6" s="746">
        <v>122.19600180599998</v>
      </c>
      <c r="V6" s="747">
        <v>210.20000000000002</v>
      </c>
    </row>
    <row r="7" spans="1:22" ht="11.25" customHeight="1">
      <c r="A7" s="17"/>
      <c r="B7" s="835"/>
      <c r="C7" s="835"/>
      <c r="D7" s="179"/>
      <c r="E7" s="179"/>
      <c r="F7" s="70"/>
      <c r="G7" s="66"/>
      <c r="H7" s="66"/>
      <c r="I7" s="71"/>
      <c r="J7" s="3"/>
      <c r="K7" s="3"/>
      <c r="L7" s="15"/>
      <c r="N7" s="745">
        <v>2</v>
      </c>
      <c r="O7" s="746">
        <v>113.21</v>
      </c>
      <c r="P7" s="746">
        <v>36.5890007</v>
      </c>
      <c r="Q7" s="747">
        <v>47.749000549999998</v>
      </c>
      <c r="S7" s="745">
        <v>2</v>
      </c>
      <c r="T7" s="746">
        <v>145.21</v>
      </c>
      <c r="U7" s="746">
        <v>136.535000822</v>
      </c>
      <c r="V7" s="747">
        <v>216.70300435500002</v>
      </c>
    </row>
    <row r="8" spans="1:22" ht="11.25" customHeight="1">
      <c r="A8" s="17"/>
      <c r="B8" s="180"/>
      <c r="C8" s="39"/>
      <c r="D8" s="181"/>
      <c r="E8" s="181"/>
      <c r="F8" s="70"/>
      <c r="G8" s="66"/>
      <c r="H8" s="66"/>
      <c r="I8" s="71"/>
      <c r="J8" s="4"/>
      <c r="K8" s="4"/>
      <c r="L8" s="12"/>
      <c r="N8" s="745">
        <v>3</v>
      </c>
      <c r="O8" s="746">
        <v>117.64</v>
      </c>
      <c r="P8" s="746">
        <v>63.17599869</v>
      </c>
      <c r="Q8" s="747">
        <v>67.130996699999997</v>
      </c>
      <c r="S8" s="745">
        <v>3</v>
      </c>
      <c r="T8" s="746">
        <v>143.88</v>
      </c>
      <c r="U8" s="746">
        <v>170.80799961000002</v>
      </c>
      <c r="V8" s="747">
        <v>232.83600043999999</v>
      </c>
    </row>
    <row r="9" spans="1:22" ht="11.25" customHeight="1">
      <c r="A9" s="17"/>
      <c r="B9" s="180"/>
      <c r="C9" s="39"/>
      <c r="D9" s="181"/>
      <c r="E9" s="181"/>
      <c r="F9" s="70"/>
      <c r="G9" s="66"/>
      <c r="H9" s="66"/>
      <c r="I9" s="71"/>
      <c r="J9" s="3"/>
      <c r="K9" s="6"/>
      <c r="L9" s="15"/>
      <c r="N9" s="745">
        <v>4</v>
      </c>
      <c r="O9" s="746">
        <v>117.64</v>
      </c>
      <c r="P9" s="746">
        <v>113.2139969</v>
      </c>
      <c r="Q9" s="747">
        <v>93.789001459999994</v>
      </c>
      <c r="S9" s="745">
        <v>4</v>
      </c>
      <c r="T9" s="746">
        <v>139.38200000000001</v>
      </c>
      <c r="U9" s="746">
        <v>186.385000214</v>
      </c>
      <c r="V9" s="747">
        <v>271.78000545999998</v>
      </c>
    </row>
    <row r="10" spans="1:22" ht="11.25" customHeight="1">
      <c r="A10" s="17"/>
      <c r="B10" s="180"/>
      <c r="C10" s="39"/>
      <c r="D10" s="181"/>
      <c r="E10" s="181"/>
      <c r="F10" s="70"/>
      <c r="G10" s="66"/>
      <c r="H10" s="66"/>
      <c r="I10" s="71"/>
      <c r="J10" s="3"/>
      <c r="K10" s="3"/>
      <c r="L10" s="15"/>
      <c r="N10" s="745">
        <v>5</v>
      </c>
      <c r="O10" s="746">
        <v>133.43</v>
      </c>
      <c r="P10" s="746">
        <v>156.8220062</v>
      </c>
      <c r="Q10" s="747">
        <v>111.01599880000001</v>
      </c>
      <c r="S10" s="745">
        <v>5</v>
      </c>
      <c r="T10" s="746">
        <v>135.79099490000002</v>
      </c>
      <c r="U10" s="746">
        <v>204.80799868699998</v>
      </c>
      <c r="V10" s="747">
        <v>269.07999802</v>
      </c>
    </row>
    <row r="11" spans="1:22" ht="11.25" customHeight="1">
      <c r="A11" s="17"/>
      <c r="B11" s="181"/>
      <c r="C11" s="39"/>
      <c r="D11" s="181"/>
      <c r="E11" s="181"/>
      <c r="F11" s="70"/>
      <c r="G11" s="66"/>
      <c r="H11" s="66"/>
      <c r="I11" s="71"/>
      <c r="J11" s="3"/>
      <c r="K11" s="3"/>
      <c r="L11" s="15"/>
      <c r="N11" s="745">
        <v>6</v>
      </c>
      <c r="O11" s="746">
        <v>159.2149963</v>
      </c>
      <c r="P11" s="746">
        <v>168.8840027</v>
      </c>
      <c r="Q11" s="747">
        <v>126.6029968</v>
      </c>
      <c r="S11" s="745">
        <v>6</v>
      </c>
      <c r="T11" s="746">
        <v>150.04800029899999</v>
      </c>
      <c r="U11" s="746">
        <v>201.82999366799999</v>
      </c>
      <c r="V11" s="747">
        <v>273.52000047000001</v>
      </c>
    </row>
    <row r="12" spans="1:22" ht="11.25" customHeight="1">
      <c r="A12" s="17"/>
      <c r="B12" s="181"/>
      <c r="C12" s="39"/>
      <c r="D12" s="181"/>
      <c r="E12" s="181"/>
      <c r="F12" s="70"/>
      <c r="G12" s="66"/>
      <c r="H12" s="66"/>
      <c r="I12" s="71"/>
      <c r="J12" s="3"/>
      <c r="K12" s="3"/>
      <c r="L12" s="15"/>
      <c r="N12" s="745">
        <v>7</v>
      </c>
      <c r="O12" s="746">
        <v>186.18299870000001</v>
      </c>
      <c r="P12" s="746">
        <v>196.28300479999999</v>
      </c>
      <c r="Q12" s="747">
        <v>135.7250061</v>
      </c>
      <c r="S12" s="745">
        <v>7</v>
      </c>
      <c r="T12" s="746">
        <v>174.31999966699999</v>
      </c>
      <c r="U12" s="746">
        <v>199.59600258</v>
      </c>
      <c r="V12" s="747">
        <v>302.63299941999998</v>
      </c>
    </row>
    <row r="13" spans="1:22" ht="11.25" customHeight="1">
      <c r="A13" s="17"/>
      <c r="B13" s="181"/>
      <c r="C13" s="39"/>
      <c r="D13" s="181"/>
      <c r="E13" s="181"/>
      <c r="F13" s="70"/>
      <c r="G13" s="66"/>
      <c r="H13" s="66"/>
      <c r="I13" s="71"/>
      <c r="J13" s="4"/>
      <c r="K13" s="4"/>
      <c r="L13" s="12"/>
      <c r="N13" s="745">
        <v>8</v>
      </c>
      <c r="O13" s="746">
        <v>206.53900150000001</v>
      </c>
      <c r="P13" s="746">
        <v>230.18899540000001</v>
      </c>
      <c r="Q13" s="747">
        <v>159.2149963</v>
      </c>
      <c r="S13" s="745">
        <v>8</v>
      </c>
      <c r="T13" s="746">
        <v>262.93500039999998</v>
      </c>
      <c r="U13" s="746">
        <v>214.34299659800001</v>
      </c>
      <c r="V13" s="747">
        <v>328.23703</v>
      </c>
    </row>
    <row r="14" spans="1:22" ht="11.25" customHeight="1">
      <c r="A14" s="17"/>
      <c r="B14" s="181"/>
      <c r="C14" s="39"/>
      <c r="D14" s="181"/>
      <c r="E14" s="181"/>
      <c r="F14" s="70"/>
      <c r="G14" s="66"/>
      <c r="H14" s="66"/>
      <c r="I14" s="71"/>
      <c r="J14" s="3"/>
      <c r="K14" s="6"/>
      <c r="L14" s="15"/>
      <c r="N14" s="745">
        <v>9</v>
      </c>
      <c r="O14" s="746">
        <v>240.9539948</v>
      </c>
      <c r="P14" s="746">
        <v>249.13000489999999</v>
      </c>
      <c r="Q14" s="747">
        <v>186.18299870000001</v>
      </c>
      <c r="S14" s="745">
        <v>9</v>
      </c>
      <c r="T14" s="746">
        <v>279.08800121000002</v>
      </c>
      <c r="U14" s="746">
        <v>250.89400288000002</v>
      </c>
      <c r="V14" s="747">
        <v>343.54049999999995</v>
      </c>
    </row>
    <row r="15" spans="1:22" ht="11.25" customHeight="1">
      <c r="A15" s="17"/>
      <c r="B15" s="181"/>
      <c r="C15" s="39"/>
      <c r="D15" s="181"/>
      <c r="E15" s="181"/>
      <c r="F15" s="70"/>
      <c r="G15" s="66"/>
      <c r="H15" s="66"/>
      <c r="I15" s="71"/>
      <c r="J15" s="3"/>
      <c r="K15" s="6"/>
      <c r="L15" s="15"/>
      <c r="N15" s="745">
        <v>10</v>
      </c>
      <c r="O15" s="746">
        <v>279.86401369999999</v>
      </c>
      <c r="P15" s="746">
        <v>311.77999999999997</v>
      </c>
      <c r="Q15" s="747">
        <v>203.96099849999999</v>
      </c>
      <c r="S15" s="745">
        <v>10</v>
      </c>
      <c r="T15" s="746">
        <v>283.79400062561007</v>
      </c>
      <c r="U15" s="746">
        <v>298.99899296000001</v>
      </c>
      <c r="V15" s="747">
        <v>371.29100467000001</v>
      </c>
    </row>
    <row r="16" spans="1:22" ht="11.25" customHeight="1">
      <c r="A16" s="17"/>
      <c r="B16" s="181"/>
      <c r="C16" s="39"/>
      <c r="D16" s="181"/>
      <c r="E16" s="181"/>
      <c r="F16" s="70"/>
      <c r="G16" s="66"/>
      <c r="H16" s="66"/>
      <c r="I16" s="71"/>
      <c r="J16" s="3"/>
      <c r="K16" s="6"/>
      <c r="L16" s="15"/>
      <c r="N16" s="745">
        <v>11</v>
      </c>
      <c r="O16" s="746">
        <v>308.83</v>
      </c>
      <c r="P16" s="746">
        <v>332.70800000000003</v>
      </c>
      <c r="Q16" s="747">
        <v>230.18899540000001</v>
      </c>
      <c r="R16" s="748"/>
      <c r="S16" s="745">
        <v>11</v>
      </c>
      <c r="T16" s="746">
        <v>286.24</v>
      </c>
      <c r="U16" s="746">
        <v>321.03300188000003</v>
      </c>
      <c r="V16" s="747">
        <v>390.38299555999998</v>
      </c>
    </row>
    <row r="17" spans="1:22" ht="11.25" customHeight="1">
      <c r="A17" s="17"/>
      <c r="B17" s="181"/>
      <c r="C17" s="39"/>
      <c r="D17" s="181"/>
      <c r="E17" s="181"/>
      <c r="F17" s="70"/>
      <c r="G17" s="66"/>
      <c r="H17" s="66"/>
      <c r="I17" s="71"/>
      <c r="J17" s="3"/>
      <c r="K17" s="6"/>
      <c r="L17" s="15"/>
      <c r="N17" s="745">
        <v>12</v>
      </c>
      <c r="O17" s="746">
        <v>308.829986572265</v>
      </c>
      <c r="P17" s="746">
        <v>344.881012</v>
      </c>
      <c r="Q17" s="747">
        <v>282.71701050000001</v>
      </c>
      <c r="R17" s="748"/>
      <c r="S17" s="745">
        <v>12</v>
      </c>
      <c r="T17" s="746">
        <v>285.01299476623473</v>
      </c>
      <c r="U17" s="746">
        <v>332.34900279999999</v>
      </c>
      <c r="V17" s="747">
        <v>412.41217171999995</v>
      </c>
    </row>
    <row r="18" spans="1:22" ht="11.25" customHeight="1">
      <c r="A18" s="17"/>
      <c r="B18" s="181"/>
      <c r="C18" s="39"/>
      <c r="D18" s="181"/>
      <c r="E18" s="181"/>
      <c r="F18" s="70"/>
      <c r="G18" s="66"/>
      <c r="H18" s="66"/>
      <c r="I18" s="71"/>
      <c r="J18" s="3"/>
      <c r="K18" s="6"/>
      <c r="L18" s="15"/>
      <c r="N18" s="745">
        <v>13</v>
      </c>
      <c r="O18" s="746">
        <v>308.829986572265</v>
      </c>
      <c r="P18" s="746">
        <v>338.77499390000003</v>
      </c>
      <c r="Q18" s="747">
        <v>329.68899540000001</v>
      </c>
      <c r="R18" s="748"/>
      <c r="S18" s="745">
        <v>13</v>
      </c>
      <c r="T18" s="746">
        <v>279.96900081634436</v>
      </c>
      <c r="U18" s="746">
        <v>366.02899361000004</v>
      </c>
      <c r="V18" s="747">
        <v>410.83199501000001</v>
      </c>
    </row>
    <row r="19" spans="1:22" ht="11.25" customHeight="1">
      <c r="A19" s="17"/>
      <c r="B19" s="181"/>
      <c r="C19" s="39"/>
      <c r="D19" s="181"/>
      <c r="E19" s="181"/>
      <c r="F19" s="70"/>
      <c r="G19" s="66"/>
      <c r="H19" s="66"/>
      <c r="I19" s="71"/>
      <c r="J19" s="3"/>
      <c r="K19" s="6"/>
      <c r="L19" s="15"/>
      <c r="N19" s="745">
        <v>14</v>
      </c>
      <c r="O19" s="746">
        <v>302.95901489257801</v>
      </c>
      <c r="P19" s="746">
        <v>338.77999390000002</v>
      </c>
      <c r="Q19" s="747">
        <v>329.68899540000001</v>
      </c>
      <c r="R19" s="748"/>
      <c r="S19" s="745">
        <v>14</v>
      </c>
      <c r="T19" s="746">
        <v>286.54100227355917</v>
      </c>
      <c r="U19" s="746">
        <v>382.58400344</v>
      </c>
      <c r="V19" s="747">
        <v>403.70400233999999</v>
      </c>
    </row>
    <row r="20" spans="1:22" ht="11.25" customHeight="1">
      <c r="A20" s="17"/>
      <c r="B20" s="181"/>
      <c r="C20" s="39"/>
      <c r="D20" s="181"/>
      <c r="E20" s="181"/>
      <c r="F20" s="70"/>
      <c r="G20" s="66"/>
      <c r="H20" s="66"/>
      <c r="I20" s="71"/>
      <c r="J20" s="3"/>
      <c r="K20" s="6"/>
      <c r="L20" s="15"/>
      <c r="N20" s="745">
        <v>15</v>
      </c>
      <c r="O20" s="746">
        <v>311.781005859375</v>
      </c>
      <c r="P20" s="746">
        <v>347.94900510000002</v>
      </c>
      <c r="Q20" s="747">
        <v>326.67999270000001</v>
      </c>
      <c r="R20" s="748"/>
      <c r="S20" s="745">
        <v>15</v>
      </c>
      <c r="T20" s="746">
        <v>288.78499984741165</v>
      </c>
      <c r="U20" s="746">
        <v>385.29699126999998</v>
      </c>
      <c r="V20" s="747">
        <v>399.27400204999998</v>
      </c>
    </row>
    <row r="21" spans="1:22" ht="11.25" customHeight="1">
      <c r="A21" s="17"/>
      <c r="B21" s="181"/>
      <c r="C21" s="39"/>
      <c r="D21" s="181"/>
      <c r="E21" s="181"/>
      <c r="F21" s="70"/>
      <c r="G21" s="66"/>
      <c r="H21" s="66"/>
      <c r="I21" s="71"/>
      <c r="J21" s="3"/>
      <c r="K21" s="7"/>
      <c r="L21" s="16"/>
      <c r="N21" s="745">
        <v>16</v>
      </c>
      <c r="O21" s="746">
        <v>320.69100952148398</v>
      </c>
      <c r="P21" s="746">
        <v>354.11401369999999</v>
      </c>
      <c r="Q21" s="747">
        <v>314.7409973</v>
      </c>
      <c r="R21" s="748"/>
      <c r="S21" s="745">
        <v>16</v>
      </c>
      <c r="T21" s="746">
        <v>293.26400000000001</v>
      </c>
      <c r="U21" s="746">
        <v>384.95899003</v>
      </c>
      <c r="V21" s="747">
        <v>394.58499913000003</v>
      </c>
    </row>
    <row r="22" spans="1:22" ht="11.25" customHeight="1">
      <c r="A22" s="77"/>
      <c r="B22" s="181"/>
      <c r="C22" s="39"/>
      <c r="D22" s="181"/>
      <c r="E22" s="181"/>
      <c r="F22" s="70"/>
      <c r="G22" s="66"/>
      <c r="H22" s="66"/>
      <c r="I22" s="71"/>
      <c r="J22" s="3"/>
      <c r="K22" s="6"/>
      <c r="L22" s="15"/>
      <c r="N22" s="745">
        <v>17</v>
      </c>
      <c r="O22" s="746">
        <v>326.67999267578102</v>
      </c>
      <c r="P22" s="746">
        <v>351.02700809999999</v>
      </c>
      <c r="Q22" s="747">
        <v>305.89001459999997</v>
      </c>
      <c r="R22" s="748"/>
      <c r="S22" s="745">
        <v>17</v>
      </c>
      <c r="T22" s="746">
        <v>292.87300071716299</v>
      </c>
      <c r="U22" s="746">
        <v>381.86699488000005</v>
      </c>
      <c r="V22" s="747">
        <v>392.29800030000007</v>
      </c>
    </row>
    <row r="23" spans="1:22" ht="11.25" customHeight="1">
      <c r="A23" s="77"/>
      <c r="B23" s="181"/>
      <c r="C23" s="39"/>
      <c r="D23" s="181"/>
      <c r="E23" s="181"/>
      <c r="F23" s="70"/>
      <c r="G23" s="66"/>
      <c r="H23" s="66"/>
      <c r="I23" s="71"/>
      <c r="J23" s="3"/>
      <c r="K23" s="6"/>
      <c r="L23" s="15"/>
      <c r="N23" s="745">
        <v>18</v>
      </c>
      <c r="O23" s="746">
        <v>314.74099731445301</v>
      </c>
      <c r="P23" s="746">
        <v>354.11401369999999</v>
      </c>
      <c r="Q23" s="747">
        <v>314.7409973</v>
      </c>
      <c r="R23" s="748"/>
      <c r="S23" s="745">
        <v>18</v>
      </c>
      <c r="T23" s="746">
        <v>289.06400012969908</v>
      </c>
      <c r="U23" s="746">
        <v>382.77999115</v>
      </c>
      <c r="V23" s="747">
        <v>390.15600400999995</v>
      </c>
    </row>
    <row r="24" spans="1:22" ht="11.25" customHeight="1">
      <c r="A24" s="77"/>
      <c r="B24" s="181"/>
      <c r="C24" s="39"/>
      <c r="D24" s="181"/>
      <c r="E24" s="181"/>
      <c r="F24" s="70"/>
      <c r="G24" s="66"/>
      <c r="H24" s="66"/>
      <c r="I24" s="71"/>
      <c r="J24" s="6"/>
      <c r="K24" s="6"/>
      <c r="L24" s="15"/>
      <c r="N24" s="745">
        <v>19</v>
      </c>
      <c r="O24" s="746">
        <v>308.829986572265</v>
      </c>
      <c r="P24" s="746">
        <v>363.43499759999997</v>
      </c>
      <c r="Q24" s="747">
        <v>314.7409973</v>
      </c>
      <c r="R24" s="748"/>
      <c r="S24" s="745">
        <v>19</v>
      </c>
      <c r="T24" s="746">
        <v>283.7310012817382</v>
      </c>
      <c r="U24" s="746">
        <v>381.91700169999996</v>
      </c>
      <c r="V24" s="747">
        <v>386.47099490999994</v>
      </c>
    </row>
    <row r="25" spans="1:22" ht="11.25" customHeight="1">
      <c r="A25" s="360" t="s">
        <v>547</v>
      </c>
      <c r="B25" s="181"/>
      <c r="C25" s="39"/>
      <c r="D25" s="181"/>
      <c r="E25" s="181"/>
      <c r="F25" s="70"/>
      <c r="G25" s="66"/>
      <c r="H25" s="66"/>
      <c r="I25" s="71"/>
      <c r="J25" s="3"/>
      <c r="K25" s="7"/>
      <c r="L25" s="16"/>
      <c r="N25" s="745">
        <v>20</v>
      </c>
      <c r="O25" s="746">
        <v>308.8</v>
      </c>
      <c r="P25" s="746">
        <v>366.56100459999999</v>
      </c>
      <c r="Q25" s="747">
        <v>314.7409973</v>
      </c>
      <c r="R25" s="748"/>
      <c r="S25" s="745">
        <v>20</v>
      </c>
      <c r="T25" s="746">
        <v>278.90000000000003</v>
      </c>
      <c r="U25" s="746">
        <v>379.35699083999998</v>
      </c>
      <c r="V25" s="747">
        <v>382.00799562999993</v>
      </c>
    </row>
    <row r="26" spans="1:22" ht="11.25" customHeight="1">
      <c r="A26" s="54"/>
      <c r="B26" s="181"/>
      <c r="C26" s="39"/>
      <c r="D26" s="181"/>
      <c r="E26" s="181"/>
      <c r="F26" s="70"/>
      <c r="G26" s="66"/>
      <c r="H26" s="66"/>
      <c r="I26" s="71"/>
      <c r="J26" s="4"/>
      <c r="K26" s="6"/>
      <c r="L26" s="15"/>
      <c r="N26" s="745">
        <v>21</v>
      </c>
      <c r="O26" s="746">
        <v>311.781005859375</v>
      </c>
      <c r="P26" s="746">
        <v>357.21099850000002</v>
      </c>
      <c r="Q26" s="747">
        <v>314.7409973</v>
      </c>
      <c r="R26" s="748"/>
      <c r="S26" s="745">
        <v>21</v>
      </c>
      <c r="T26" s="746">
        <v>274.65599975585928</v>
      </c>
      <c r="U26" s="746">
        <v>375.59600258</v>
      </c>
      <c r="V26" s="747">
        <v>378.52099610999994</v>
      </c>
    </row>
    <row r="27" spans="1:22" ht="11.25" customHeight="1">
      <c r="A27" s="77"/>
      <c r="B27" s="181"/>
      <c r="C27" s="39"/>
      <c r="D27" s="181"/>
      <c r="E27" s="181"/>
      <c r="F27" s="73"/>
      <c r="G27" s="73"/>
      <c r="H27" s="73"/>
      <c r="I27" s="73"/>
      <c r="J27" s="4"/>
      <c r="K27" s="6"/>
      <c r="L27" s="15"/>
      <c r="N27" s="745">
        <v>22</v>
      </c>
      <c r="O27" s="746">
        <v>314.74</v>
      </c>
      <c r="P27" s="746">
        <v>341.82</v>
      </c>
      <c r="Q27" s="747">
        <v>311.78100590000003</v>
      </c>
      <c r="R27" s="748"/>
      <c r="S27" s="745">
        <v>22</v>
      </c>
      <c r="T27" s="746">
        <v>269.74</v>
      </c>
      <c r="U27" s="746">
        <v>373.52000000000004</v>
      </c>
      <c r="V27" s="747">
        <v>375.20999716</v>
      </c>
    </row>
    <row r="28" spans="1:22" ht="11.25" customHeight="1">
      <c r="A28" s="77"/>
      <c r="B28" s="181"/>
      <c r="C28" s="39"/>
      <c r="D28" s="181"/>
      <c r="E28" s="181"/>
      <c r="F28" s="73"/>
      <c r="G28" s="73"/>
      <c r="H28" s="73"/>
      <c r="I28" s="73"/>
      <c r="J28" s="4"/>
      <c r="K28" s="6"/>
      <c r="L28" s="15"/>
      <c r="N28" s="745">
        <v>23</v>
      </c>
      <c r="O28" s="746">
        <v>308.83</v>
      </c>
      <c r="P28" s="746">
        <v>326.67999270000001</v>
      </c>
      <c r="Q28" s="747">
        <v>308.82998659999998</v>
      </c>
      <c r="R28" s="748"/>
      <c r="S28" s="745">
        <v>23</v>
      </c>
      <c r="T28" s="746">
        <v>265.4609997</v>
      </c>
      <c r="U28" s="746">
        <v>369.22100255000004</v>
      </c>
      <c r="V28" s="747">
        <v>374.07600211999994</v>
      </c>
    </row>
    <row r="29" spans="1:22" ht="11.25" customHeight="1">
      <c r="A29" s="77"/>
      <c r="B29" s="181"/>
      <c r="C29" s="39"/>
      <c r="D29" s="181"/>
      <c r="E29" s="181"/>
      <c r="F29" s="73"/>
      <c r="G29" s="73"/>
      <c r="H29" s="73"/>
      <c r="I29" s="73"/>
      <c r="J29" s="4"/>
      <c r="K29" s="6"/>
      <c r="L29" s="15"/>
      <c r="N29" s="745">
        <v>24</v>
      </c>
      <c r="O29" s="746">
        <v>300.04000000000002</v>
      </c>
      <c r="P29" s="746">
        <v>308.82998659999998</v>
      </c>
      <c r="Q29" s="747">
        <v>300.0379944</v>
      </c>
      <c r="R29" s="748"/>
      <c r="S29" s="745">
        <v>24</v>
      </c>
      <c r="T29" s="746">
        <v>261.10000000000002</v>
      </c>
      <c r="U29" s="746">
        <v>364.44200138999997</v>
      </c>
      <c r="V29" s="747">
        <v>370.89200402</v>
      </c>
    </row>
    <row r="30" spans="1:22" ht="11.25" customHeight="1">
      <c r="A30" s="74"/>
      <c r="B30" s="73"/>
      <c r="C30" s="73"/>
      <c r="D30" s="73"/>
      <c r="E30" s="73"/>
      <c r="F30" s="73"/>
      <c r="G30" s="73"/>
      <c r="H30" s="73"/>
      <c r="I30" s="73"/>
      <c r="J30" s="3"/>
      <c r="K30" s="6"/>
      <c r="L30" s="15"/>
      <c r="N30" s="745">
        <v>25</v>
      </c>
      <c r="O30" s="746">
        <v>282.71701050000001</v>
      </c>
      <c r="P30" s="746">
        <v>291.33300780000002</v>
      </c>
      <c r="Q30" s="747">
        <v>294.22500609999997</v>
      </c>
      <c r="R30" s="748"/>
      <c r="S30" s="745">
        <v>25</v>
      </c>
      <c r="T30" s="746">
        <v>256.25999989000002</v>
      </c>
      <c r="U30" s="746">
        <v>359.61999897999999</v>
      </c>
      <c r="V30" s="747">
        <v>366.71700096999996</v>
      </c>
    </row>
    <row r="31" spans="1:22" ht="11.25" customHeight="1">
      <c r="A31" s="74"/>
      <c r="B31" s="73"/>
      <c r="C31" s="73"/>
      <c r="D31" s="73"/>
      <c r="E31" s="73"/>
      <c r="F31" s="73"/>
      <c r="G31" s="73"/>
      <c r="H31" s="73"/>
      <c r="I31" s="73"/>
      <c r="J31" s="3"/>
      <c r="K31" s="6"/>
      <c r="L31" s="15"/>
      <c r="N31" s="745">
        <v>26</v>
      </c>
      <c r="O31" s="746">
        <v>262.95300292968699</v>
      </c>
      <c r="P31" s="746">
        <v>268.55099489999998</v>
      </c>
      <c r="Q31" s="747">
        <v>282.71701050000001</v>
      </c>
      <c r="R31" s="748"/>
      <c r="S31" s="745">
        <v>26</v>
      </c>
      <c r="T31" s="746">
        <v>252.54899978637627</v>
      </c>
      <c r="U31" s="746">
        <v>354.77499773999995</v>
      </c>
      <c r="V31" s="747">
        <v>361.43599508999995</v>
      </c>
    </row>
    <row r="32" spans="1:22" ht="11.25" customHeight="1">
      <c r="A32" s="74"/>
      <c r="B32" s="73"/>
      <c r="C32" s="73"/>
      <c r="D32" s="73"/>
      <c r="E32" s="73"/>
      <c r="F32" s="73"/>
      <c r="G32" s="73"/>
      <c r="H32" s="73"/>
      <c r="I32" s="73"/>
      <c r="J32" s="3"/>
      <c r="K32" s="6"/>
      <c r="L32" s="15"/>
      <c r="N32" s="745">
        <v>27</v>
      </c>
      <c r="O32" s="746">
        <v>254.63000489999999</v>
      </c>
      <c r="P32" s="746">
        <v>265.7470093</v>
      </c>
      <c r="Q32" s="747">
        <v>271.36</v>
      </c>
      <c r="R32" s="748"/>
      <c r="S32" s="745">
        <v>27</v>
      </c>
      <c r="T32" s="746">
        <v>248.26700022</v>
      </c>
      <c r="U32" s="746">
        <v>349.77999684000002</v>
      </c>
      <c r="V32" s="747">
        <v>355.34</v>
      </c>
    </row>
    <row r="33" spans="1:22" ht="11.25" customHeight="1">
      <c r="A33" s="74"/>
      <c r="B33" s="73"/>
      <c r="C33" s="73"/>
      <c r="D33" s="73"/>
      <c r="E33" s="73"/>
      <c r="F33" s="73"/>
      <c r="G33" s="73"/>
      <c r="H33" s="73"/>
      <c r="I33" s="73"/>
      <c r="J33" s="3"/>
      <c r="K33" s="6"/>
      <c r="L33" s="15"/>
      <c r="N33" s="745">
        <v>28</v>
      </c>
      <c r="O33" s="746">
        <v>240.9539948</v>
      </c>
      <c r="P33" s="749">
        <v>243.66999820000001</v>
      </c>
      <c r="Q33" s="747">
        <v>260.16900629999998</v>
      </c>
      <c r="R33" s="748"/>
      <c r="S33" s="745">
        <v>28</v>
      </c>
      <c r="T33" s="746">
        <v>243.86400222</v>
      </c>
      <c r="U33" s="746">
        <v>344.32400322999996</v>
      </c>
      <c r="V33" s="747">
        <v>349.01599981000004</v>
      </c>
    </row>
    <row r="34" spans="1:22" ht="11.25" customHeight="1">
      <c r="A34" s="74"/>
      <c r="B34" s="73"/>
      <c r="C34" s="73"/>
      <c r="D34" s="73"/>
      <c r="E34" s="73"/>
      <c r="F34" s="73"/>
      <c r="G34" s="73"/>
      <c r="H34" s="73"/>
      <c r="I34" s="73"/>
      <c r="J34" s="3"/>
      <c r="K34" s="6"/>
      <c r="L34" s="15"/>
      <c r="N34" s="745">
        <v>29</v>
      </c>
      <c r="O34" s="746">
        <v>227.5220032</v>
      </c>
      <c r="P34" s="746">
        <v>227.5220032</v>
      </c>
      <c r="Q34" s="747">
        <v>251.88</v>
      </c>
      <c r="R34" s="748"/>
      <c r="S34" s="745">
        <v>29</v>
      </c>
      <c r="T34" s="746">
        <v>239.07999988</v>
      </c>
      <c r="U34" s="746">
        <v>338.60699847999996</v>
      </c>
      <c r="V34" s="747">
        <v>343.97999999999996</v>
      </c>
    </row>
    <row r="35" spans="1:22" ht="11.25" customHeight="1">
      <c r="A35" s="74"/>
      <c r="B35" s="73"/>
      <c r="C35" s="73"/>
      <c r="D35" s="73"/>
      <c r="E35" s="73"/>
      <c r="F35" s="73"/>
      <c r="G35" s="73"/>
      <c r="H35" s="73"/>
      <c r="I35" s="73"/>
      <c r="J35" s="6"/>
      <c r="K35" s="6"/>
      <c r="L35" s="15"/>
      <c r="N35" s="745">
        <v>30</v>
      </c>
      <c r="O35" s="746">
        <v>216.95199584960901</v>
      </c>
      <c r="P35" s="746">
        <v>216.95199579999999</v>
      </c>
      <c r="Q35" s="747">
        <v>232.8650055</v>
      </c>
      <c r="R35" s="748"/>
      <c r="S35" s="745">
        <v>30</v>
      </c>
      <c r="T35" s="746">
        <v>234.2539968490598</v>
      </c>
      <c r="U35" s="746">
        <v>332.49400331000004</v>
      </c>
      <c r="V35" s="747">
        <v>342.06599807739167</v>
      </c>
    </row>
    <row r="36" spans="1:22" ht="11.25" customHeight="1">
      <c r="A36" s="74"/>
      <c r="B36" s="73"/>
      <c r="C36" s="73"/>
      <c r="D36" s="73"/>
      <c r="E36" s="73"/>
      <c r="F36" s="73"/>
      <c r="G36" s="73"/>
      <c r="H36" s="73"/>
      <c r="I36" s="73"/>
      <c r="J36" s="3"/>
      <c r="K36" s="6"/>
      <c r="L36" s="15"/>
      <c r="N36" s="745">
        <v>31</v>
      </c>
      <c r="O36" s="746">
        <v>216.95199579999999</v>
      </c>
      <c r="P36" s="746">
        <v>209.128006</v>
      </c>
      <c r="Q36" s="747">
        <v>211.726</v>
      </c>
      <c r="R36" s="748"/>
      <c r="S36" s="745">
        <v>31</v>
      </c>
      <c r="T36" s="746">
        <v>229.68000125999998</v>
      </c>
      <c r="U36" s="746">
        <v>324</v>
      </c>
      <c r="V36" s="747">
        <v>335.23199999999997</v>
      </c>
    </row>
    <row r="37" spans="1:22" ht="11.25" customHeight="1">
      <c r="A37" s="74"/>
      <c r="B37" s="73"/>
      <c r="C37" s="73"/>
      <c r="D37" s="73"/>
      <c r="E37" s="73"/>
      <c r="F37" s="73"/>
      <c r="G37" s="73"/>
      <c r="H37" s="73"/>
      <c r="I37" s="73"/>
      <c r="J37" s="3"/>
      <c r="K37" s="10"/>
      <c r="L37" s="15"/>
      <c r="N37" s="745">
        <v>32</v>
      </c>
      <c r="O37" s="746">
        <v>201.39199830000001</v>
      </c>
      <c r="P37" s="746">
        <v>198.83200070000001</v>
      </c>
      <c r="Q37" s="747"/>
      <c r="R37" s="748"/>
      <c r="S37" s="745">
        <v>32</v>
      </c>
      <c r="T37" s="746">
        <v>224.73799990999998</v>
      </c>
      <c r="U37" s="746">
        <v>320.73399734000003</v>
      </c>
      <c r="V37" s="747"/>
    </row>
    <row r="38" spans="1:22" ht="11.25" customHeight="1">
      <c r="A38" s="74"/>
      <c r="B38" s="73"/>
      <c r="C38" s="73"/>
      <c r="D38" s="73"/>
      <c r="E38" s="73"/>
      <c r="F38" s="73"/>
      <c r="G38" s="73"/>
      <c r="H38" s="73"/>
      <c r="I38" s="73"/>
      <c r="J38" s="3"/>
      <c r="K38" s="10"/>
      <c r="L38" s="38"/>
      <c r="N38" s="745">
        <v>33</v>
      </c>
      <c r="O38" s="746">
        <v>193.74299621582</v>
      </c>
      <c r="P38" s="746">
        <v>188.69299319999999</v>
      </c>
      <c r="Q38" s="747"/>
      <c r="R38" s="748"/>
      <c r="S38" s="745">
        <v>33</v>
      </c>
      <c r="T38" s="746">
        <v>219.00299835205058</v>
      </c>
      <c r="U38" s="746">
        <v>314.19900131999998</v>
      </c>
      <c r="V38" s="747"/>
    </row>
    <row r="39" spans="1:22" ht="11.25" customHeight="1">
      <c r="A39" s="74"/>
      <c r="B39" s="73"/>
      <c r="C39" s="73"/>
      <c r="D39" s="73"/>
      <c r="E39" s="73"/>
      <c r="F39" s="73"/>
      <c r="G39" s="73"/>
      <c r="H39" s="73"/>
      <c r="I39" s="73"/>
      <c r="J39" s="3"/>
      <c r="K39" s="7"/>
      <c r="L39" s="15"/>
      <c r="N39" s="745">
        <v>34</v>
      </c>
      <c r="O39" s="746">
        <v>181.19200129999999</v>
      </c>
      <c r="P39" s="746">
        <v>183.68200680000001</v>
      </c>
      <c r="Q39" s="747"/>
      <c r="R39" s="748"/>
      <c r="S39" s="745">
        <v>34</v>
      </c>
      <c r="T39" s="746">
        <v>214.38699817</v>
      </c>
      <c r="U39" s="746">
        <v>307.85200500000002</v>
      </c>
      <c r="V39" s="747"/>
    </row>
    <row r="40" spans="1:22" ht="11.25" customHeight="1">
      <c r="A40" s="74"/>
      <c r="B40" s="73"/>
      <c r="C40" s="73"/>
      <c r="D40" s="73"/>
      <c r="E40" s="73"/>
      <c r="F40" s="73"/>
      <c r="G40" s="73"/>
      <c r="H40" s="73"/>
      <c r="I40" s="73"/>
      <c r="J40" s="3"/>
      <c r="K40" s="7"/>
      <c r="L40" s="15"/>
      <c r="N40" s="745">
        <v>35</v>
      </c>
      <c r="O40" s="746">
        <v>171.32600400000001</v>
      </c>
      <c r="P40" s="750">
        <v>176.23899840000001</v>
      </c>
      <c r="Q40" s="747"/>
      <c r="R40" s="748"/>
      <c r="S40" s="745">
        <v>35</v>
      </c>
      <c r="T40" s="746">
        <v>208.95000171000001</v>
      </c>
      <c r="U40" s="746">
        <v>300.83900069999999</v>
      </c>
      <c r="V40" s="747"/>
    </row>
    <row r="41" spans="1:22" ht="11.25" customHeight="1">
      <c r="A41" s="74"/>
      <c r="B41" s="73"/>
      <c r="C41" s="73"/>
      <c r="D41" s="73"/>
      <c r="E41" s="73"/>
      <c r="F41" s="73"/>
      <c r="G41" s="73"/>
      <c r="H41" s="73"/>
      <c r="I41" s="73"/>
      <c r="J41" s="3"/>
      <c r="K41" s="7"/>
      <c r="L41" s="15"/>
      <c r="N41" s="745">
        <v>36</v>
      </c>
      <c r="O41" s="746">
        <v>164.02999879999999</v>
      </c>
      <c r="P41" s="750">
        <v>168.8840027</v>
      </c>
      <c r="Q41" s="747"/>
      <c r="R41" s="748"/>
      <c r="S41" s="745">
        <v>36</v>
      </c>
      <c r="T41" s="746">
        <v>202.97300145000003</v>
      </c>
      <c r="U41" s="746">
        <v>293.46100233999999</v>
      </c>
      <c r="V41" s="747"/>
    </row>
    <row r="42" spans="1:22" ht="11.25" customHeight="1">
      <c r="A42" s="74"/>
      <c r="B42" s="73"/>
      <c r="C42" s="73"/>
      <c r="D42" s="73"/>
      <c r="E42" s="73"/>
      <c r="F42" s="73"/>
      <c r="G42" s="73"/>
      <c r="H42" s="73"/>
      <c r="I42" s="73"/>
      <c r="J42" s="6"/>
      <c r="K42" s="10"/>
      <c r="L42" s="15"/>
      <c r="N42" s="745">
        <v>37</v>
      </c>
      <c r="O42" s="746">
        <v>147.34800720000001</v>
      </c>
      <c r="P42" s="750">
        <v>159.2149963</v>
      </c>
      <c r="Q42" s="747"/>
      <c r="R42" s="748"/>
      <c r="S42" s="745">
        <v>37</v>
      </c>
      <c r="T42" s="746">
        <v>196.95000080099999</v>
      </c>
      <c r="U42" s="746">
        <v>287.76599501999999</v>
      </c>
      <c r="V42" s="747"/>
    </row>
    <row r="43" spans="1:22" ht="11.25" customHeight="1">
      <c r="A43" s="74"/>
      <c r="B43" s="73"/>
      <c r="C43" s="73"/>
      <c r="D43" s="73"/>
      <c r="E43" s="73"/>
      <c r="F43" s="73"/>
      <c r="G43" s="73"/>
      <c r="H43" s="73"/>
      <c r="I43" s="73"/>
      <c r="J43" s="3"/>
      <c r="K43" s="10"/>
      <c r="L43" s="15"/>
      <c r="N43" s="745">
        <v>38</v>
      </c>
      <c r="O43" s="746">
        <v>131.14500430000001</v>
      </c>
      <c r="P43" s="750">
        <v>149.70199579999999</v>
      </c>
      <c r="Q43" s="747"/>
      <c r="R43" s="748"/>
      <c r="S43" s="745">
        <v>38</v>
      </c>
      <c r="T43" s="746">
        <v>190.78400421900002</v>
      </c>
      <c r="U43" s="746">
        <v>282.07300377000001</v>
      </c>
      <c r="V43" s="747"/>
    </row>
    <row r="44" spans="1:22" ht="11.25" customHeight="1">
      <c r="A44" s="74"/>
      <c r="B44" s="73"/>
      <c r="C44" s="73"/>
      <c r="D44" s="73"/>
      <c r="E44" s="73"/>
      <c r="F44" s="73"/>
      <c r="G44" s="73"/>
      <c r="H44" s="73"/>
      <c r="I44" s="73"/>
      <c r="J44" s="3"/>
      <c r="K44" s="10"/>
      <c r="L44" s="15"/>
      <c r="N44" s="745">
        <v>39</v>
      </c>
      <c r="O44" s="746">
        <v>119.8639984</v>
      </c>
      <c r="P44" s="750">
        <v>138.02999879999999</v>
      </c>
      <c r="Q44" s="747"/>
      <c r="R44" s="748"/>
      <c r="S44" s="745">
        <v>39</v>
      </c>
      <c r="T44" s="746">
        <v>184.44099947499998</v>
      </c>
      <c r="U44" s="746">
        <v>275.53000069000001</v>
      </c>
      <c r="V44" s="747"/>
    </row>
    <row r="45" spans="1:22" ht="11.25" customHeight="1">
      <c r="A45" s="74"/>
      <c r="B45" s="73"/>
      <c r="C45" s="73"/>
      <c r="D45" s="73"/>
      <c r="E45" s="73"/>
      <c r="F45" s="73"/>
      <c r="G45" s="73"/>
      <c r="H45" s="73"/>
      <c r="I45" s="73"/>
      <c r="J45" s="11"/>
      <c r="K45" s="11"/>
      <c r="L45" s="11"/>
      <c r="N45" s="745">
        <v>40</v>
      </c>
      <c r="O45" s="746">
        <v>119.8639984</v>
      </c>
      <c r="P45" s="746">
        <v>131.14500430000001</v>
      </c>
      <c r="Q45" s="747"/>
      <c r="R45" s="748"/>
      <c r="S45" s="745">
        <v>40</v>
      </c>
      <c r="T45" s="746">
        <v>177.93399906500002</v>
      </c>
      <c r="U45" s="746">
        <v>268.25699615000002</v>
      </c>
      <c r="V45" s="747"/>
    </row>
    <row r="46" spans="1:22" ht="11.25" customHeight="1">
      <c r="A46" s="74"/>
      <c r="B46" s="73"/>
      <c r="C46" s="73"/>
      <c r="D46" s="73"/>
      <c r="E46" s="73"/>
      <c r="F46" s="73"/>
      <c r="G46" s="73"/>
      <c r="H46" s="73"/>
      <c r="I46" s="73"/>
      <c r="J46" s="11"/>
      <c r="K46" s="11"/>
      <c r="L46" s="11"/>
      <c r="N46" s="745">
        <v>41</v>
      </c>
      <c r="O46" s="746">
        <v>113.213996887207</v>
      </c>
      <c r="P46" s="746">
        <v>108.82900239999999</v>
      </c>
      <c r="Q46" s="747"/>
      <c r="R46" s="748"/>
      <c r="S46" s="745">
        <v>41</v>
      </c>
      <c r="T46" s="746">
        <v>171.68900227546672</v>
      </c>
      <c r="U46" s="746">
        <v>261.21399689000003</v>
      </c>
      <c r="V46" s="747"/>
    </row>
    <row r="47" spans="1:22" ht="11.25" customHeight="1">
      <c r="A47" s="74"/>
      <c r="B47" s="73"/>
      <c r="C47" s="73"/>
      <c r="D47" s="73"/>
      <c r="E47" s="73"/>
      <c r="F47" s="73"/>
      <c r="G47" s="73"/>
      <c r="H47" s="73"/>
      <c r="I47" s="73"/>
      <c r="J47" s="11"/>
      <c r="K47" s="11"/>
      <c r="L47" s="11"/>
      <c r="N47" s="745">
        <v>42</v>
      </c>
      <c r="O47" s="746">
        <v>100.1760025</v>
      </c>
      <c r="P47" s="746">
        <v>95.908996579999993</v>
      </c>
      <c r="Q47" s="747"/>
      <c r="R47" s="748"/>
      <c r="S47" s="745">
        <v>42</v>
      </c>
      <c r="T47" s="746">
        <v>165.69499874400003</v>
      </c>
      <c r="U47" s="746">
        <v>255.58900451</v>
      </c>
      <c r="V47" s="747"/>
    </row>
    <row r="48" spans="1:22" ht="11.25" customHeight="1">
      <c r="A48" s="74"/>
      <c r="B48" s="73"/>
      <c r="C48" s="73"/>
      <c r="D48" s="73"/>
      <c r="E48" s="73"/>
      <c r="F48" s="73"/>
      <c r="G48" s="73"/>
      <c r="H48" s="73"/>
      <c r="I48" s="73"/>
      <c r="J48" s="11"/>
      <c r="K48" s="11"/>
      <c r="L48" s="11"/>
      <c r="N48" s="745">
        <v>43</v>
      </c>
      <c r="O48" s="746">
        <v>89.581001279999995</v>
      </c>
      <c r="P48" s="746">
        <v>83.341003420000007</v>
      </c>
      <c r="Q48" s="747"/>
      <c r="R48" s="748"/>
      <c r="S48" s="745">
        <v>43</v>
      </c>
      <c r="T48" s="746">
        <v>160.397996525</v>
      </c>
      <c r="U48" s="746">
        <v>249.85500335</v>
      </c>
      <c r="V48" s="747"/>
    </row>
    <row r="49" spans="1:22" ht="11.25" customHeight="1">
      <c r="A49" s="74"/>
      <c r="B49" s="73"/>
      <c r="C49" s="73"/>
      <c r="D49" s="73"/>
      <c r="E49" s="73"/>
      <c r="F49" s="73"/>
      <c r="G49" s="73"/>
      <c r="H49" s="73"/>
      <c r="I49" s="73"/>
      <c r="J49" s="11"/>
      <c r="K49" s="11"/>
      <c r="L49" s="11"/>
      <c r="N49" s="745">
        <v>44</v>
      </c>
      <c r="O49" s="746">
        <v>75.156997680000003</v>
      </c>
      <c r="P49" s="746">
        <v>75.16</v>
      </c>
      <c r="Q49" s="747"/>
      <c r="R49" s="748"/>
      <c r="S49" s="745">
        <v>44</v>
      </c>
      <c r="T49" s="746">
        <v>154.79199918699999</v>
      </c>
      <c r="U49" s="746">
        <v>242.79000000000002</v>
      </c>
      <c r="V49" s="747"/>
    </row>
    <row r="50" spans="1:22" ht="13.2">
      <c r="A50" s="74"/>
      <c r="B50" s="73"/>
      <c r="C50" s="73"/>
      <c r="D50" s="73"/>
      <c r="E50" s="73"/>
      <c r="F50" s="73"/>
      <c r="G50" s="73"/>
      <c r="H50" s="73"/>
      <c r="I50" s="73"/>
      <c r="J50" s="11"/>
      <c r="K50" s="11"/>
      <c r="L50" s="11"/>
      <c r="N50" s="745">
        <v>45</v>
      </c>
      <c r="O50" s="746">
        <v>61.2140007</v>
      </c>
      <c r="P50" s="746">
        <v>65.149002080000002</v>
      </c>
      <c r="Q50" s="747"/>
      <c r="R50" s="748"/>
      <c r="S50" s="745">
        <v>45</v>
      </c>
      <c r="T50" s="746">
        <v>149.715000041</v>
      </c>
      <c r="U50" s="746">
        <v>235.60499572000001</v>
      </c>
      <c r="V50" s="747"/>
    </row>
    <row r="51" spans="1:22" ht="13.2">
      <c r="A51" s="74"/>
      <c r="B51" s="73"/>
      <c r="C51" s="73"/>
      <c r="D51" s="73"/>
      <c r="E51" s="73"/>
      <c r="F51" s="73"/>
      <c r="G51" s="73"/>
      <c r="H51" s="73"/>
      <c r="I51" s="73"/>
      <c r="J51" s="11"/>
      <c r="K51" s="11"/>
      <c r="L51" s="11"/>
      <c r="N51" s="745">
        <v>46</v>
      </c>
      <c r="O51" s="746">
        <v>43.990001679999999</v>
      </c>
      <c r="P51" s="746">
        <v>47.749000549999998</v>
      </c>
      <c r="Q51" s="747"/>
      <c r="R51" s="748"/>
      <c r="S51" s="745">
        <v>46</v>
      </c>
      <c r="T51" s="746">
        <v>144.11800040400001</v>
      </c>
      <c r="U51" s="746">
        <v>230.54900361099999</v>
      </c>
      <c r="V51" s="747"/>
    </row>
    <row r="52" spans="1:22" ht="13.2">
      <c r="A52" s="74"/>
      <c r="B52" s="73"/>
      <c r="C52" s="73"/>
      <c r="D52" s="73"/>
      <c r="E52" s="73"/>
      <c r="F52" s="73"/>
      <c r="G52" s="73"/>
      <c r="H52" s="73"/>
      <c r="I52" s="73"/>
      <c r="J52" s="11"/>
      <c r="K52" s="11"/>
      <c r="L52" s="11"/>
      <c r="N52" s="745">
        <v>47</v>
      </c>
      <c r="O52" s="746">
        <v>25.781999590000002</v>
      </c>
      <c r="P52" s="746">
        <v>34.763999939999998</v>
      </c>
      <c r="Q52" s="747"/>
      <c r="R52" s="748"/>
      <c r="S52" s="745">
        <v>47</v>
      </c>
      <c r="T52" s="746">
        <v>138.82499813000001</v>
      </c>
      <c r="U52" s="746">
        <v>223.60000467499998</v>
      </c>
      <c r="V52" s="747"/>
    </row>
    <row r="53" spans="1:22" ht="13.2">
      <c r="A53" s="74"/>
      <c r="B53" s="73"/>
      <c r="C53" s="73"/>
      <c r="D53" s="73"/>
      <c r="E53" s="73"/>
      <c r="F53" s="73"/>
      <c r="G53" s="73"/>
      <c r="H53" s="73"/>
      <c r="I53" s="73"/>
      <c r="J53" s="11"/>
      <c r="K53" s="11"/>
      <c r="L53" s="11"/>
      <c r="N53" s="745">
        <v>48</v>
      </c>
      <c r="O53" s="746">
        <v>29.344999309999999</v>
      </c>
      <c r="P53" s="746">
        <v>13.618000029999999</v>
      </c>
      <c r="Q53" s="747"/>
      <c r="R53" s="748"/>
      <c r="S53" s="745">
        <v>48</v>
      </c>
      <c r="T53" s="746">
        <v>133.112998957</v>
      </c>
      <c r="U53" s="746">
        <v>217.17600035300001</v>
      </c>
      <c r="V53" s="747"/>
    </row>
    <row r="54" spans="1:22" ht="13.2">
      <c r="A54" s="74"/>
      <c r="B54" s="73"/>
      <c r="C54" s="73"/>
      <c r="D54" s="73"/>
      <c r="E54" s="73"/>
      <c r="F54" s="73"/>
      <c r="G54" s="73"/>
      <c r="H54" s="73"/>
      <c r="I54" s="73"/>
      <c r="J54" s="11"/>
      <c r="K54" s="11"/>
      <c r="L54" s="11"/>
      <c r="N54" s="745">
        <v>49</v>
      </c>
      <c r="O54" s="751">
        <v>34.763999939999998</v>
      </c>
      <c r="P54" s="746">
        <v>8.5520000459999999</v>
      </c>
      <c r="Q54" s="747"/>
      <c r="R54" s="748"/>
      <c r="S54" s="745">
        <v>49</v>
      </c>
      <c r="T54" s="746">
        <v>128.370002666</v>
      </c>
      <c r="U54" s="746">
        <v>210.45100211699997</v>
      </c>
      <c r="V54" s="747"/>
    </row>
    <row r="55" spans="1:22" ht="13.2">
      <c r="A55" s="74"/>
      <c r="B55" s="73"/>
      <c r="C55" s="73"/>
      <c r="D55" s="73"/>
      <c r="E55" s="73"/>
      <c r="F55" s="73"/>
      <c r="G55" s="73"/>
      <c r="H55" s="73"/>
      <c r="I55" s="73"/>
      <c r="J55" s="11"/>
      <c r="K55" s="11"/>
      <c r="L55" s="11"/>
      <c r="N55" s="745">
        <v>50</v>
      </c>
      <c r="O55" s="746">
        <v>32.948001859999998</v>
      </c>
      <c r="P55" s="746">
        <v>13.618000029999999</v>
      </c>
      <c r="Q55" s="747"/>
      <c r="R55" s="748"/>
      <c r="S55" s="745">
        <v>50</v>
      </c>
      <c r="T55" s="746">
        <v>122.71499820000001</v>
      </c>
      <c r="U55" s="746">
        <v>203.37099885499998</v>
      </c>
      <c r="V55" s="747"/>
    </row>
    <row r="56" spans="1:22" ht="13.2">
      <c r="A56" s="74"/>
      <c r="B56" s="73"/>
      <c r="C56" s="73"/>
      <c r="D56" s="73"/>
      <c r="E56" s="73"/>
      <c r="F56" s="73"/>
      <c r="G56" s="73"/>
      <c r="H56" s="73"/>
      <c r="I56" s="73"/>
      <c r="J56" s="11"/>
      <c r="K56" s="11"/>
      <c r="L56" s="11"/>
      <c r="N56" s="745">
        <v>51</v>
      </c>
      <c r="O56" s="746">
        <v>25.781999590000002</v>
      </c>
      <c r="P56" s="746">
        <v>18.771999359999999</v>
      </c>
      <c r="Q56" s="747"/>
      <c r="R56" s="748"/>
      <c r="S56" s="745">
        <v>51</v>
      </c>
      <c r="T56" s="746">
        <v>120.15600296300001</v>
      </c>
      <c r="U56" s="746">
        <v>202.35899971500001</v>
      </c>
      <c r="V56" s="747"/>
    </row>
    <row r="57" spans="1:22" ht="13.2">
      <c r="A57" s="74"/>
      <c r="B57" s="73"/>
      <c r="C57" s="73"/>
      <c r="D57" s="73"/>
      <c r="E57" s="73"/>
      <c r="F57" s="73"/>
      <c r="G57" s="73"/>
      <c r="H57" s="73"/>
      <c r="I57" s="73"/>
      <c r="N57" s="745">
        <v>52</v>
      </c>
      <c r="O57" s="746">
        <v>22.256999969999999</v>
      </c>
      <c r="P57" s="746">
        <v>25.781999590000002</v>
      </c>
      <c r="Q57" s="747"/>
      <c r="R57" s="748"/>
      <c r="S57" s="745">
        <v>52</v>
      </c>
      <c r="T57" s="746">
        <v>116.12899696700001</v>
      </c>
      <c r="U57" s="746">
        <v>201.25199794899999</v>
      </c>
      <c r="V57" s="747"/>
    </row>
    <row r="58" spans="1:22" ht="13.2">
      <c r="A58" s="74"/>
      <c r="B58" s="73"/>
      <c r="C58" s="73"/>
      <c r="D58" s="73"/>
      <c r="E58" s="73"/>
      <c r="F58" s="73"/>
      <c r="G58" s="73"/>
      <c r="H58" s="73"/>
      <c r="I58" s="73"/>
      <c r="N58" s="745">
        <v>53</v>
      </c>
      <c r="O58" s="748"/>
      <c r="P58" s="748"/>
      <c r="Q58" s="748"/>
      <c r="R58" s="748"/>
      <c r="S58" s="745">
        <v>53</v>
      </c>
      <c r="T58" s="746"/>
      <c r="U58" s="746"/>
      <c r="V58" s="747"/>
    </row>
    <row r="59" spans="1:22" ht="13.2">
      <c r="B59" s="73"/>
      <c r="C59" s="73"/>
      <c r="D59" s="73"/>
      <c r="E59" s="73"/>
      <c r="F59" s="73"/>
      <c r="G59" s="73"/>
      <c r="H59" s="73"/>
      <c r="I59" s="73"/>
    </row>
    <row r="60" spans="1:22" ht="13.2">
      <c r="A60" s="74"/>
      <c r="B60" s="73"/>
      <c r="C60" s="73"/>
      <c r="D60" s="73"/>
      <c r="E60" s="73"/>
      <c r="F60" s="73"/>
      <c r="G60" s="73"/>
      <c r="H60" s="73"/>
      <c r="I60" s="73"/>
    </row>
    <row r="63" spans="1:22">
      <c r="A63" s="360" t="s">
        <v>548</v>
      </c>
    </row>
  </sheetData>
  <mergeCells count="2">
    <mergeCell ref="A5:I5"/>
    <mergeCell ref="B7:C7"/>
  </mergeCells>
  <pageMargins left="0.7" right="0.7" top="0.86956521739130432" bottom="0.61458333333333337" header="0.3" footer="0.3"/>
  <pageSetup scale="94" orientation="portrait" r:id="rId1"/>
  <headerFooter>
    <oddHeader>&amp;R&amp;7Informe de la Operación Mensual - Julio 2018
INFSGI-MES-07-2018
14/08/2018
Versión: 01</oddHeader>
    <oddFooter>&amp;L&amp;7COES SINAC, 2018
&amp;C11&amp;R&amp;7Dirección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5FBB4-F1D1-463D-A28B-736887416DC4}">
  <sheetPr>
    <tabColor theme="4"/>
  </sheetPr>
  <dimension ref="A1:U139"/>
  <sheetViews>
    <sheetView showGridLines="0" view="pageBreakPreview" zoomScale="130" zoomScaleNormal="100" zoomScaleSheetLayoutView="130" zoomScalePageLayoutView="130" workbookViewId="0">
      <selection activeCell="I61" sqref="I61"/>
    </sheetView>
  </sheetViews>
  <sheetFormatPr baseColWidth="10" defaultColWidth="9.28515625" defaultRowHeight="10.199999999999999"/>
  <cols>
    <col min="3" max="3" width="28.42578125" customWidth="1"/>
    <col min="4" max="5" width="12" customWidth="1"/>
    <col min="6" max="6" width="12.28515625" customWidth="1"/>
    <col min="8" max="9" width="9.28515625" customWidth="1"/>
    <col min="10" max="10" width="9.28515625" style="460"/>
    <col min="11" max="11" width="9.28515625" style="739"/>
    <col min="12" max="12" width="3.140625" style="740" bestFit="1" customWidth="1"/>
    <col min="13" max="21" width="9.28515625" style="739"/>
  </cols>
  <sheetData>
    <row r="1" spans="1:15" ht="11.25" customHeight="1"/>
    <row r="2" spans="1:15" ht="11.25" customHeight="1">
      <c r="A2" s="17"/>
      <c r="B2" s="17"/>
      <c r="C2" s="17"/>
      <c r="D2" s="17"/>
      <c r="E2" s="73"/>
      <c r="F2" s="73"/>
      <c r="G2" s="73"/>
    </row>
    <row r="3" spans="1:15" ht="17.25" customHeight="1">
      <c r="A3" s="836" t="s">
        <v>493</v>
      </c>
      <c r="B3" s="836"/>
      <c r="C3" s="836"/>
      <c r="D3" s="836"/>
      <c r="E3" s="836"/>
      <c r="F3" s="836"/>
      <c r="G3" s="836"/>
      <c r="H3" s="36"/>
      <c r="I3" s="36"/>
      <c r="K3" s="739" t="s">
        <v>301</v>
      </c>
      <c r="M3" s="739" t="s">
        <v>302</v>
      </c>
      <c r="N3" s="739" t="s">
        <v>303</v>
      </c>
      <c r="O3" s="739" t="s">
        <v>304</v>
      </c>
    </row>
    <row r="4" spans="1:15" ht="11.25" customHeight="1">
      <c r="A4" s="74"/>
      <c r="B4" s="73"/>
      <c r="C4" s="73"/>
      <c r="D4" s="73"/>
      <c r="E4" s="73"/>
      <c r="F4" s="73"/>
      <c r="G4" s="73"/>
      <c r="H4" s="36"/>
      <c r="I4" s="36"/>
      <c r="J4" s="460">
        <v>2016</v>
      </c>
      <c r="K4" s="739">
        <v>1</v>
      </c>
      <c r="L4" s="740">
        <v>1</v>
      </c>
      <c r="M4" s="741">
        <v>40.61</v>
      </c>
      <c r="N4" s="741">
        <v>96.75</v>
      </c>
      <c r="O4" s="741">
        <v>16.37</v>
      </c>
    </row>
    <row r="5" spans="1:15" ht="11.25" customHeight="1">
      <c r="A5" s="74"/>
      <c r="B5" s="73"/>
      <c r="C5" s="73"/>
      <c r="D5" s="73"/>
      <c r="E5" s="73"/>
      <c r="F5" s="73"/>
      <c r="G5" s="73"/>
      <c r="H5" s="12"/>
      <c r="I5" s="12"/>
      <c r="L5" s="740">
        <v>2</v>
      </c>
      <c r="M5" s="741">
        <v>29.82</v>
      </c>
      <c r="N5" s="741">
        <v>76.510000000000005</v>
      </c>
      <c r="O5" s="741">
        <v>15.9</v>
      </c>
    </row>
    <row r="6" spans="1:15" ht="29.25" customHeight="1">
      <c r="A6" s="136"/>
      <c r="C6" s="188" t="s">
        <v>155</v>
      </c>
      <c r="D6" s="202" t="str">
        <f>UPPER('1. Resumen'!Q4)&amp;"
 "&amp;'1. Resumen'!Q5</f>
        <v>JULIO
 2018</v>
      </c>
      <c r="E6" s="203" t="str">
        <f>UPPER('1. Resumen'!Q4)&amp;"
 "&amp;'1. Resumen'!Q5-1</f>
        <v>JULIO
 2017</v>
      </c>
      <c r="F6" s="204" t="s">
        <v>133</v>
      </c>
      <c r="G6" s="138"/>
      <c r="H6" s="24"/>
      <c r="I6" s="12"/>
      <c r="L6" s="740">
        <v>3</v>
      </c>
      <c r="M6" s="741">
        <v>27.06</v>
      </c>
      <c r="N6" s="741">
        <v>80.096000000000004</v>
      </c>
      <c r="O6" s="741">
        <v>29.21</v>
      </c>
    </row>
    <row r="7" spans="1:15" ht="11.25" customHeight="1">
      <c r="A7" s="205"/>
      <c r="C7" s="211" t="s">
        <v>156</v>
      </c>
      <c r="D7" s="206">
        <v>7.9491290000000001</v>
      </c>
      <c r="E7" s="206">
        <v>6.8395806739999996</v>
      </c>
      <c r="F7" s="207">
        <f>IF(E7=0,"",(D7-E7)/E7)</f>
        <v>0.16222461271899907</v>
      </c>
      <c r="G7" s="138"/>
      <c r="H7" s="25"/>
      <c r="I7" s="3"/>
      <c r="K7" s="739">
        <v>4</v>
      </c>
      <c r="L7" s="740">
        <v>4</v>
      </c>
      <c r="M7" s="741">
        <v>27.93</v>
      </c>
      <c r="N7" s="741">
        <v>77.09</v>
      </c>
      <c r="O7" s="741">
        <v>20.7</v>
      </c>
    </row>
    <row r="8" spans="1:15" ht="11.25" customHeight="1">
      <c r="A8" s="205"/>
      <c r="C8" s="210" t="s">
        <v>162</v>
      </c>
      <c r="D8" s="208">
        <v>10.76735</v>
      </c>
      <c r="E8" s="208">
        <v>8.1942903149999999</v>
      </c>
      <c r="F8" s="209">
        <f t="shared" ref="F8:F30" si="0">IF(E8=0,"",(D8-E8)/E8)</f>
        <v>0.31400641008409286</v>
      </c>
      <c r="G8" s="138"/>
      <c r="H8" s="23"/>
      <c r="I8" s="3"/>
      <c r="L8" s="740">
        <v>5</v>
      </c>
      <c r="M8" s="741">
        <v>49.585999999999999</v>
      </c>
      <c r="N8" s="741">
        <v>140.12</v>
      </c>
      <c r="O8" s="741">
        <v>74.02</v>
      </c>
    </row>
    <row r="9" spans="1:15" ht="11.25" customHeight="1">
      <c r="A9" s="205"/>
      <c r="C9" s="211" t="s">
        <v>163</v>
      </c>
      <c r="D9" s="206">
        <v>46.514740000000003</v>
      </c>
      <c r="E9" s="206">
        <v>38.854903190000002</v>
      </c>
      <c r="F9" s="207">
        <f t="shared" si="0"/>
        <v>0.1971395160230742</v>
      </c>
      <c r="G9" s="138"/>
      <c r="H9" s="25"/>
      <c r="I9" s="3"/>
      <c r="L9" s="740">
        <v>6</v>
      </c>
      <c r="M9" s="741">
        <v>57</v>
      </c>
      <c r="N9" s="741">
        <v>144.66999999999999</v>
      </c>
      <c r="O9" s="741">
        <v>78.08</v>
      </c>
    </row>
    <row r="10" spans="1:15" ht="11.25" customHeight="1">
      <c r="A10" s="205"/>
      <c r="C10" s="210" t="s">
        <v>170</v>
      </c>
      <c r="D10" s="208">
        <v>26.113350000000001</v>
      </c>
      <c r="E10" s="208">
        <v>29.265193450000002</v>
      </c>
      <c r="F10" s="209">
        <f t="shared" si="0"/>
        <v>-0.10769938887931735</v>
      </c>
      <c r="G10" s="138"/>
      <c r="H10" s="25"/>
      <c r="I10" s="3"/>
      <c r="L10" s="740">
        <v>7</v>
      </c>
      <c r="M10" s="741">
        <v>52.31</v>
      </c>
      <c r="N10" s="741">
        <v>117.32</v>
      </c>
      <c r="O10" s="741">
        <v>41.34</v>
      </c>
    </row>
    <row r="11" spans="1:15" ht="11.25" customHeight="1">
      <c r="A11" s="205"/>
      <c r="C11" s="211" t="s">
        <v>171</v>
      </c>
      <c r="D11" s="206">
        <v>9.0715479999999999</v>
      </c>
      <c r="E11" s="206">
        <v>13.026709739999999</v>
      </c>
      <c r="F11" s="207">
        <f t="shared" si="0"/>
        <v>-0.3036193957600225</v>
      </c>
      <c r="G11" s="138"/>
      <c r="H11" s="25"/>
      <c r="I11" s="3"/>
      <c r="K11" s="739">
        <v>8</v>
      </c>
      <c r="L11" s="740">
        <v>8</v>
      </c>
      <c r="M11" s="741">
        <v>57.96</v>
      </c>
      <c r="N11" s="741">
        <v>140.31</v>
      </c>
      <c r="O11" s="741">
        <v>96.52</v>
      </c>
    </row>
    <row r="12" spans="1:15" ht="11.25" customHeight="1">
      <c r="A12" s="205"/>
      <c r="C12" s="210" t="s">
        <v>173</v>
      </c>
      <c r="D12" s="208">
        <v>5.1793230000000001</v>
      </c>
      <c r="E12" s="208">
        <v>7.2177097110000004</v>
      </c>
      <c r="F12" s="209">
        <f t="shared" si="0"/>
        <v>-0.28241461524747102</v>
      </c>
      <c r="G12" s="138"/>
      <c r="H12" s="25"/>
      <c r="I12" s="3"/>
      <c r="L12" s="740">
        <v>9</v>
      </c>
      <c r="M12" s="741">
        <v>100.51885660000001</v>
      </c>
      <c r="N12" s="741">
        <v>268.94750210000001</v>
      </c>
      <c r="O12" s="741">
        <v>150.104332</v>
      </c>
    </row>
    <row r="13" spans="1:15" ht="11.25" customHeight="1">
      <c r="A13" s="205"/>
      <c r="C13" s="211" t="s">
        <v>161</v>
      </c>
      <c r="D13" s="206">
        <v>14.400694444444444</v>
      </c>
      <c r="E13" s="206">
        <v>16.98</v>
      </c>
      <c r="F13" s="207">
        <f t="shared" si="0"/>
        <v>-0.15190256510927896</v>
      </c>
      <c r="G13" s="138"/>
      <c r="H13" s="23"/>
      <c r="I13" s="3"/>
      <c r="L13" s="740">
        <v>10</v>
      </c>
      <c r="M13" s="741">
        <v>75.15657152448378</v>
      </c>
      <c r="N13" s="741">
        <v>243.71150207519463</v>
      </c>
      <c r="O13" s="741">
        <v>181.79733530680286</v>
      </c>
    </row>
    <row r="14" spans="1:15" ht="11.25" customHeight="1">
      <c r="A14" s="205"/>
      <c r="C14" s="210" t="s">
        <v>292</v>
      </c>
      <c r="D14" s="208">
        <v>24.329740000000001</v>
      </c>
      <c r="E14" s="208">
        <v>19.064577100000001</v>
      </c>
      <c r="F14" s="209">
        <f t="shared" si="0"/>
        <v>0.27617517411388054</v>
      </c>
      <c r="G14" s="138"/>
      <c r="H14" s="25"/>
      <c r="I14" s="3"/>
      <c r="L14" s="740">
        <v>11</v>
      </c>
      <c r="M14" s="741">
        <v>52.24</v>
      </c>
      <c r="N14" s="741">
        <v>154.21</v>
      </c>
      <c r="O14" s="741">
        <v>79.12</v>
      </c>
    </row>
    <row r="15" spans="1:15" ht="11.25" customHeight="1">
      <c r="A15" s="205"/>
      <c r="C15" s="211" t="s">
        <v>293</v>
      </c>
      <c r="D15" s="206">
        <v>44.152259999999998</v>
      </c>
      <c r="E15" s="206">
        <v>33.711129470000003</v>
      </c>
      <c r="F15" s="207">
        <f t="shared" si="0"/>
        <v>0.30972354513638295</v>
      </c>
      <c r="G15" s="138"/>
      <c r="H15" s="25"/>
      <c r="I15" s="3"/>
      <c r="K15" s="739">
        <v>12</v>
      </c>
      <c r="L15" s="740">
        <v>12</v>
      </c>
      <c r="M15" s="741">
        <v>44.628571101597331</v>
      </c>
      <c r="N15" s="741">
        <v>116.62271445138057</v>
      </c>
      <c r="O15" s="741">
        <v>41.373285293579045</v>
      </c>
    </row>
    <row r="16" spans="1:15" ht="11.25" customHeight="1">
      <c r="A16" s="205"/>
      <c r="C16" s="210" t="s">
        <v>168</v>
      </c>
      <c r="D16" s="208">
        <v>15.04074</v>
      </c>
      <c r="E16" s="208">
        <v>22.946483799999999</v>
      </c>
      <c r="F16" s="209">
        <f t="shared" si="0"/>
        <v>-0.34452963987449792</v>
      </c>
      <c r="G16" s="138"/>
      <c r="H16" s="25"/>
      <c r="I16" s="3"/>
      <c r="L16" s="740">
        <v>13</v>
      </c>
      <c r="M16" s="741">
        <v>42.599998474121001</v>
      </c>
      <c r="N16" s="741">
        <v>120.78800201416</v>
      </c>
      <c r="O16" s="741">
        <v>93.665000915527301</v>
      </c>
    </row>
    <row r="17" spans="1:15" ht="11.25" customHeight="1">
      <c r="A17" s="205"/>
      <c r="C17" s="211" t="s">
        <v>172</v>
      </c>
      <c r="D17" s="206">
        <v>8.8740000000000006</v>
      </c>
      <c r="E17" s="206">
        <v>9.8422903250000005</v>
      </c>
      <c r="F17" s="207">
        <f t="shared" si="0"/>
        <v>-9.8380589580911379E-2</v>
      </c>
      <c r="G17" s="138"/>
      <c r="H17" s="25"/>
      <c r="I17" s="3"/>
      <c r="L17" s="740">
        <v>14</v>
      </c>
      <c r="M17" s="741">
        <v>49.743000030517535</v>
      </c>
      <c r="N17" s="741">
        <v>125.66285814557708</v>
      </c>
      <c r="O17" s="741">
        <v>131.74585723876913</v>
      </c>
    </row>
    <row r="18" spans="1:15" ht="11.25" customHeight="1">
      <c r="A18" s="205"/>
      <c r="C18" s="210" t="s">
        <v>294</v>
      </c>
      <c r="D18" s="208">
        <v>12.19774</v>
      </c>
      <c r="E18" s="208">
        <v>12.00032259</v>
      </c>
      <c r="F18" s="209">
        <f t="shared" si="0"/>
        <v>1.6451008589094929E-2</v>
      </c>
      <c r="G18" s="138"/>
      <c r="H18" s="25"/>
      <c r="I18" s="3"/>
      <c r="L18" s="740">
        <v>15</v>
      </c>
      <c r="M18" s="741">
        <v>54.414285387311615</v>
      </c>
      <c r="N18" s="741">
        <v>127.68985639299636</v>
      </c>
      <c r="O18" s="741">
        <v>71.706143515450577</v>
      </c>
    </row>
    <row r="19" spans="1:15" ht="11.25" customHeight="1">
      <c r="A19" s="205"/>
      <c r="C19" s="211" t="s">
        <v>295</v>
      </c>
      <c r="D19" s="206">
        <v>15.720761208333347</v>
      </c>
      <c r="E19" s="206">
        <v>15.128</v>
      </c>
      <c r="F19" s="207">
        <f t="shared" si="0"/>
        <v>3.9183051846466581E-2</v>
      </c>
      <c r="G19" s="138"/>
      <c r="H19" s="25"/>
      <c r="I19" s="3"/>
      <c r="K19" s="739">
        <v>16</v>
      </c>
      <c r="L19" s="740">
        <v>16</v>
      </c>
      <c r="M19" s="741">
        <v>47.73</v>
      </c>
      <c r="N19" s="741">
        <v>97.4</v>
      </c>
      <c r="O19" s="741">
        <v>53.49</v>
      </c>
    </row>
    <row r="20" spans="1:15" ht="11.25" customHeight="1">
      <c r="A20" s="205"/>
      <c r="C20" s="210" t="s">
        <v>296</v>
      </c>
      <c r="D20" s="208">
        <v>1.6186130000000001</v>
      </c>
      <c r="E20" s="208">
        <v>0.50899999299999998</v>
      </c>
      <c r="F20" s="209">
        <f t="shared" si="0"/>
        <v>2.1799862912768253</v>
      </c>
      <c r="G20" s="138"/>
      <c r="H20" s="25"/>
      <c r="I20" s="3"/>
      <c r="L20" s="740">
        <v>17</v>
      </c>
      <c r="M20" s="741">
        <v>42.142857687813873</v>
      </c>
      <c r="N20" s="741">
        <v>85.487143380301248</v>
      </c>
      <c r="O20" s="741">
        <v>51.424428122384178</v>
      </c>
    </row>
    <row r="21" spans="1:15" ht="11.25" customHeight="1">
      <c r="A21" s="205"/>
      <c r="C21" s="211" t="s">
        <v>159</v>
      </c>
      <c r="D21" s="206">
        <v>98.542100000000005</v>
      </c>
      <c r="E21" s="206">
        <v>95.903064360000002</v>
      </c>
      <c r="F21" s="207">
        <f t="shared" si="0"/>
        <v>2.7517740518630523E-2</v>
      </c>
      <c r="G21" s="138"/>
      <c r="H21" s="25"/>
      <c r="I21" s="3"/>
      <c r="L21" s="740">
        <v>18</v>
      </c>
      <c r="M21" s="741">
        <v>27.452428545270582</v>
      </c>
      <c r="N21" s="741">
        <v>62.369998931884716</v>
      </c>
      <c r="O21" s="741">
        <v>34.353571755545424</v>
      </c>
    </row>
    <row r="22" spans="1:15" ht="11.25" customHeight="1">
      <c r="A22" s="205"/>
      <c r="C22" s="210" t="s">
        <v>157</v>
      </c>
      <c r="D22" s="208">
        <v>2.2625479999999998</v>
      </c>
      <c r="E22" s="208">
        <v>1.462903219</v>
      </c>
      <c r="F22" s="209">
        <f t="shared" si="0"/>
        <v>0.54661495758182466</v>
      </c>
      <c r="G22" s="138"/>
      <c r="H22" s="25"/>
      <c r="I22" s="3"/>
      <c r="L22" s="740">
        <v>19</v>
      </c>
      <c r="M22" s="741">
        <v>21.857142584664455</v>
      </c>
      <c r="N22" s="741">
        <v>58.684285300118525</v>
      </c>
      <c r="O22" s="741">
        <v>29.207143238612552</v>
      </c>
    </row>
    <row r="23" spans="1:15" ht="11.25" customHeight="1">
      <c r="A23" s="205"/>
      <c r="C23" s="211" t="s">
        <v>158</v>
      </c>
      <c r="D23" s="206">
        <v>30.743739999999999</v>
      </c>
      <c r="E23" s="206">
        <v>22.000741619999999</v>
      </c>
      <c r="F23" s="207">
        <f t="shared" si="0"/>
        <v>0.39739562106634113</v>
      </c>
      <c r="G23" s="138"/>
      <c r="H23" s="25"/>
      <c r="I23" s="3"/>
      <c r="K23" s="739">
        <v>20</v>
      </c>
      <c r="L23" s="740">
        <v>20</v>
      </c>
      <c r="M23" s="741">
        <v>19.5</v>
      </c>
      <c r="N23" s="741">
        <v>54</v>
      </c>
      <c r="O23" s="741">
        <v>22.1</v>
      </c>
    </row>
    <row r="24" spans="1:15" ht="11.25" customHeight="1">
      <c r="A24" s="205"/>
      <c r="C24" s="210" t="s">
        <v>174</v>
      </c>
      <c r="D24" s="208">
        <v>4.0966449999999996</v>
      </c>
      <c r="E24" s="208">
        <v>9.4403226139999994</v>
      </c>
      <c r="F24" s="209">
        <f t="shared" si="0"/>
        <v>-0.56604819903880454</v>
      </c>
      <c r="G24" s="138"/>
      <c r="H24" s="26"/>
      <c r="I24" s="3"/>
      <c r="L24" s="740">
        <v>21</v>
      </c>
      <c r="M24" s="741">
        <v>19.485713958740185</v>
      </c>
      <c r="N24" s="741">
        <v>50.756999969482365</v>
      </c>
      <c r="O24" s="741">
        <v>17.473428726196214</v>
      </c>
    </row>
    <row r="25" spans="1:15" ht="11.25" customHeight="1">
      <c r="A25" s="138"/>
      <c r="C25" s="211" t="s">
        <v>164</v>
      </c>
      <c r="D25" s="206">
        <v>7.6923779999999997</v>
      </c>
      <c r="E25" s="206">
        <v>0</v>
      </c>
      <c r="F25" s="207" t="str">
        <f t="shared" si="0"/>
        <v/>
      </c>
      <c r="G25" s="177"/>
      <c r="H25" s="25"/>
      <c r="I25" s="3"/>
      <c r="L25" s="740">
        <v>22</v>
      </c>
      <c r="M25" s="741">
        <v>16.329999999999998</v>
      </c>
      <c r="N25" s="741">
        <v>46.59</v>
      </c>
      <c r="O25" s="741">
        <v>17.04</v>
      </c>
    </row>
    <row r="26" spans="1:15" ht="11.25" customHeight="1">
      <c r="A26" s="212"/>
      <c r="C26" s="210" t="s">
        <v>165</v>
      </c>
      <c r="D26" s="208">
        <v>10.05429</v>
      </c>
      <c r="E26" s="208">
        <v>7.8353226109999996</v>
      </c>
      <c r="F26" s="209">
        <f t="shared" si="0"/>
        <v>0.28320051377141697</v>
      </c>
      <c r="G26" s="138"/>
      <c r="H26" s="23"/>
      <c r="I26" s="3"/>
      <c r="L26" s="740">
        <v>23</v>
      </c>
      <c r="M26" s="741">
        <v>15.18</v>
      </c>
      <c r="N26" s="741">
        <v>40.29</v>
      </c>
      <c r="O26" s="741">
        <v>22.12</v>
      </c>
    </row>
    <row r="27" spans="1:15" ht="11.25" customHeight="1">
      <c r="A27" s="138"/>
      <c r="C27" s="211" t="s">
        <v>166</v>
      </c>
      <c r="D27" s="206">
        <v>2.3997099999999998</v>
      </c>
      <c r="E27" s="206">
        <v>0.30538710899999999</v>
      </c>
      <c r="F27" s="207">
        <f t="shared" si="0"/>
        <v>6.8579282794808476</v>
      </c>
      <c r="G27" s="138"/>
      <c r="H27" s="23"/>
      <c r="I27" s="3"/>
      <c r="K27" s="739">
        <v>24</v>
      </c>
      <c r="L27" s="740">
        <v>24</v>
      </c>
      <c r="M27" s="741">
        <v>15.1</v>
      </c>
      <c r="N27" s="741">
        <v>35.630000000000003</v>
      </c>
      <c r="O27" s="741">
        <v>13.87</v>
      </c>
    </row>
    <row r="28" spans="1:15" ht="11.25" customHeight="1">
      <c r="A28" s="138"/>
      <c r="C28" s="210" t="s">
        <v>167</v>
      </c>
      <c r="D28" s="208">
        <v>0</v>
      </c>
      <c r="E28" s="208">
        <v>1.1290320000000001E-3</v>
      </c>
      <c r="F28" s="209">
        <f t="shared" si="0"/>
        <v>-1</v>
      </c>
      <c r="G28" s="138"/>
      <c r="H28" s="23"/>
      <c r="I28" s="3"/>
      <c r="L28" s="740">
        <v>25</v>
      </c>
      <c r="M28" s="741">
        <v>18.016999930000001</v>
      </c>
      <c r="N28" s="741">
        <v>34.608428410000002</v>
      </c>
      <c r="O28" s="741">
        <v>10.78285721</v>
      </c>
    </row>
    <row r="29" spans="1:15" ht="11.25" customHeight="1">
      <c r="A29" s="177"/>
      <c r="C29" s="211" t="s">
        <v>169</v>
      </c>
      <c r="D29" s="206">
        <v>2.356948</v>
      </c>
      <c r="E29" s="206">
        <v>2.8650000100000002</v>
      </c>
      <c r="F29" s="207">
        <f t="shared" si="0"/>
        <v>-0.17733054388366304</v>
      </c>
      <c r="G29" s="213"/>
      <c r="H29" s="23"/>
      <c r="I29" s="3"/>
      <c r="L29" s="740">
        <v>26</v>
      </c>
      <c r="M29" s="741">
        <v>16.489714209999999</v>
      </c>
      <c r="N29" s="741">
        <v>34.074285510000003</v>
      </c>
      <c r="O29" s="741">
        <v>9.5958572120000003</v>
      </c>
    </row>
    <row r="30" spans="1:15" ht="11.25" customHeight="1">
      <c r="A30" s="212"/>
      <c r="C30" s="214" t="s">
        <v>160</v>
      </c>
      <c r="D30" s="215">
        <v>7.479166666666667</v>
      </c>
      <c r="E30" s="215">
        <v>1.645</v>
      </c>
      <c r="F30" s="216">
        <f t="shared" si="0"/>
        <v>3.5466058763931101</v>
      </c>
      <c r="G30" s="138"/>
      <c r="H30" s="25"/>
      <c r="I30" s="3"/>
      <c r="L30" s="740">
        <v>27</v>
      </c>
      <c r="M30" s="741">
        <v>16.199999810000001</v>
      </c>
      <c r="N30" s="741">
        <v>29.599571770000001</v>
      </c>
      <c r="O30" s="741">
        <v>7.8892858370000001</v>
      </c>
    </row>
    <row r="31" spans="1:15" ht="11.25" customHeight="1">
      <c r="A31" s="137"/>
      <c r="C31" s="361" t="str">
        <f>"Cuadro N°10: Promedio de caudales en "&amp;'1. Resumen'!Q4</f>
        <v>Cuadro N°10: Promedio de caudales en julio</v>
      </c>
      <c r="D31" s="137"/>
      <c r="E31" s="137"/>
      <c r="F31" s="137"/>
      <c r="G31" s="137"/>
      <c r="H31" s="25"/>
      <c r="I31" s="6"/>
      <c r="K31" s="739">
        <v>28</v>
      </c>
      <c r="L31" s="740">
        <v>28</v>
      </c>
      <c r="M31" s="741">
        <v>12.016285760000001</v>
      </c>
      <c r="N31" s="741">
        <v>29.3955713</v>
      </c>
      <c r="O31" s="741">
        <v>7.2334286140000001</v>
      </c>
    </row>
    <row r="32" spans="1:15" ht="11.25" customHeight="1">
      <c r="A32" s="137"/>
      <c r="B32" s="137"/>
      <c r="C32" s="137"/>
      <c r="D32" s="137"/>
      <c r="E32" s="137"/>
      <c r="F32" s="137"/>
      <c r="G32" s="137"/>
      <c r="H32" s="25"/>
      <c r="I32" s="6"/>
      <c r="L32" s="740">
        <v>29</v>
      </c>
      <c r="M32" s="741">
        <v>10.423571450000001</v>
      </c>
      <c r="N32" s="741">
        <v>32.468857079999999</v>
      </c>
      <c r="O32" s="741">
        <v>6.729428564</v>
      </c>
    </row>
    <row r="33" spans="1:15" ht="11.25" customHeight="1">
      <c r="A33" s="137"/>
      <c r="B33" s="137"/>
      <c r="C33" s="137"/>
      <c r="D33" s="137"/>
      <c r="E33" s="137"/>
      <c r="F33" s="137"/>
      <c r="G33" s="137"/>
      <c r="H33" s="25"/>
      <c r="I33" s="6"/>
      <c r="L33" s="740">
        <v>30</v>
      </c>
      <c r="M33" s="741">
        <v>10.043285640000001</v>
      </c>
      <c r="N33" s="741">
        <v>32.112285890000003</v>
      </c>
      <c r="O33" s="741">
        <v>5.6338571819999999</v>
      </c>
    </row>
    <row r="34" spans="1:15" ht="11.25" customHeight="1">
      <c r="A34" s="137"/>
      <c r="B34" s="137"/>
      <c r="C34" s="137"/>
      <c r="D34" s="137"/>
      <c r="E34" s="137"/>
      <c r="F34" s="137"/>
      <c r="G34" s="137"/>
      <c r="H34" s="25"/>
      <c r="I34" s="6"/>
      <c r="L34" s="740">
        <v>31</v>
      </c>
      <c r="M34" s="741">
        <v>10.086428642272944</v>
      </c>
      <c r="N34" s="741">
        <v>29.132714407784558</v>
      </c>
      <c r="O34" s="741">
        <v>5.181999887738904</v>
      </c>
    </row>
    <row r="35" spans="1:15" ht="11.25" customHeight="1">
      <c r="A35" s="836" t="s">
        <v>494</v>
      </c>
      <c r="B35" s="836"/>
      <c r="C35" s="836"/>
      <c r="D35" s="836"/>
      <c r="E35" s="836"/>
      <c r="F35" s="836"/>
      <c r="G35" s="836"/>
      <c r="H35" s="25"/>
      <c r="I35" s="6"/>
      <c r="K35" s="739">
        <v>32</v>
      </c>
      <c r="L35" s="740">
        <v>32</v>
      </c>
      <c r="M35" s="741">
        <v>12.08228561</v>
      </c>
      <c r="N35" s="741">
        <v>34.150143489999998</v>
      </c>
      <c r="O35" s="741">
        <v>4.8032856669999999</v>
      </c>
    </row>
    <row r="36" spans="1:15" ht="11.25" customHeight="1">
      <c r="A36" s="137"/>
      <c r="B36" s="137"/>
      <c r="C36" s="137"/>
      <c r="D36" s="137"/>
      <c r="E36" s="137"/>
      <c r="F36" s="137"/>
      <c r="G36" s="137"/>
      <c r="H36" s="25"/>
      <c r="I36" s="6"/>
      <c r="L36" s="740">
        <v>33</v>
      </c>
      <c r="M36" s="741">
        <v>11.874000004359614</v>
      </c>
      <c r="N36" s="741">
        <v>35.225571223667643</v>
      </c>
      <c r="O36" s="741">
        <v>4.3821428843906904</v>
      </c>
    </row>
    <row r="37" spans="1:15" ht="11.25" customHeight="1">
      <c r="A37" s="136"/>
      <c r="B37" s="138"/>
      <c r="C37" s="138"/>
      <c r="D37" s="138"/>
      <c r="E37" s="138"/>
      <c r="F37" s="138"/>
      <c r="G37" s="138"/>
      <c r="H37" s="26"/>
      <c r="I37" s="6"/>
      <c r="L37" s="740">
        <v>34</v>
      </c>
      <c r="M37" s="741">
        <v>10.842857090000001</v>
      </c>
      <c r="N37" s="741">
        <v>35.168570930000001</v>
      </c>
      <c r="O37" s="741">
        <v>13.837000059999999</v>
      </c>
    </row>
    <row r="38" spans="1:15" ht="11.25" customHeight="1">
      <c r="A38" s="74"/>
      <c r="B38" s="73"/>
      <c r="C38" s="73"/>
      <c r="D38" s="73"/>
      <c r="E38" s="73"/>
      <c r="F38" s="73"/>
      <c r="G38" s="73"/>
      <c r="H38" s="3"/>
      <c r="I38" s="6"/>
      <c r="L38" s="740">
        <v>35</v>
      </c>
      <c r="M38" s="741">
        <v>10.48142842</v>
      </c>
      <c r="N38" s="741">
        <v>37.824428560000001</v>
      </c>
      <c r="O38" s="741">
        <v>3.922857182</v>
      </c>
    </row>
    <row r="39" spans="1:15" ht="11.25" customHeight="1">
      <c r="A39" s="74"/>
      <c r="B39" s="73"/>
      <c r="C39" s="73"/>
      <c r="D39" s="73"/>
      <c r="E39" s="73"/>
      <c r="F39" s="73"/>
      <c r="G39" s="73"/>
      <c r="H39" s="3"/>
      <c r="I39" s="10"/>
      <c r="K39" s="739">
        <v>36</v>
      </c>
      <c r="L39" s="740">
        <v>36</v>
      </c>
      <c r="M39" s="741">
        <v>11.85</v>
      </c>
      <c r="N39" s="741">
        <v>39.78</v>
      </c>
      <c r="O39" s="741">
        <v>4.9800000000000004</v>
      </c>
    </row>
    <row r="40" spans="1:15" ht="11.25" customHeight="1">
      <c r="A40" s="74"/>
      <c r="B40" s="73"/>
      <c r="C40" s="73"/>
      <c r="D40" s="73"/>
      <c r="E40" s="73"/>
      <c r="F40" s="73"/>
      <c r="G40" s="73"/>
      <c r="H40" s="3"/>
      <c r="I40" s="10"/>
      <c r="L40" s="740">
        <v>37</v>
      </c>
      <c r="M40" s="741">
        <v>12.08</v>
      </c>
      <c r="N40" s="741">
        <v>44.25</v>
      </c>
      <c r="O40" s="741">
        <v>4.92</v>
      </c>
    </row>
    <row r="41" spans="1:15" ht="11.25" customHeight="1">
      <c r="A41" s="74"/>
      <c r="B41" s="73"/>
      <c r="C41" s="73"/>
      <c r="D41" s="73"/>
      <c r="E41" s="73"/>
      <c r="F41" s="73"/>
      <c r="G41" s="73"/>
      <c r="H41" s="3"/>
      <c r="I41" s="7"/>
      <c r="L41" s="740">
        <v>38</v>
      </c>
      <c r="M41" s="741">
        <v>11.88371427</v>
      </c>
      <c r="N41" s="741">
        <v>41.311858039999997</v>
      </c>
      <c r="O41" s="741">
        <v>4.6447142870000002</v>
      </c>
    </row>
    <row r="42" spans="1:15" ht="11.25" customHeight="1">
      <c r="A42" s="74"/>
      <c r="B42" s="73"/>
      <c r="C42" s="73"/>
      <c r="D42" s="73"/>
      <c r="E42" s="73"/>
      <c r="F42" s="73"/>
      <c r="G42" s="73"/>
      <c r="H42" s="3"/>
      <c r="I42" s="7"/>
      <c r="K42" s="739">
        <v>39</v>
      </c>
      <c r="L42" s="740">
        <v>39</v>
      </c>
      <c r="M42" s="741">
        <v>13.06</v>
      </c>
      <c r="N42" s="741">
        <v>41.13</v>
      </c>
      <c r="O42" s="741">
        <v>4.2699999999999996</v>
      </c>
    </row>
    <row r="43" spans="1:15" ht="11.25" customHeight="1">
      <c r="A43" s="74"/>
      <c r="B43" s="73"/>
      <c r="C43" s="73"/>
      <c r="D43" s="73"/>
      <c r="E43" s="73"/>
      <c r="F43" s="73"/>
      <c r="G43" s="73"/>
      <c r="H43" s="3"/>
      <c r="I43" s="7"/>
      <c r="L43" s="740">
        <v>40</v>
      </c>
      <c r="M43" s="741">
        <v>15.945571764285715</v>
      </c>
      <c r="N43" s="741">
        <v>46.466000694285704</v>
      </c>
      <c r="O43" s="741">
        <v>5.3634285927142864</v>
      </c>
    </row>
    <row r="44" spans="1:15" ht="11.25" customHeight="1">
      <c r="A44" s="74"/>
      <c r="B44" s="73"/>
      <c r="C44" s="73"/>
      <c r="D44" s="73"/>
      <c r="E44" s="73"/>
      <c r="F44" s="73"/>
      <c r="G44" s="73"/>
      <c r="H44" s="6"/>
      <c r="I44" s="10"/>
      <c r="L44" s="740">
        <v>41</v>
      </c>
      <c r="M44" s="741">
        <v>15.848856789725129</v>
      </c>
      <c r="N44" s="741">
        <v>37.273714882986837</v>
      </c>
      <c r="O44" s="741">
        <v>6.9682856968470812</v>
      </c>
    </row>
    <row r="45" spans="1:15" ht="11.25" customHeight="1">
      <c r="A45" s="74"/>
      <c r="B45" s="73"/>
      <c r="C45" s="73"/>
      <c r="D45" s="73"/>
      <c r="E45" s="73"/>
      <c r="F45" s="73"/>
      <c r="G45" s="73"/>
      <c r="H45" s="3"/>
      <c r="I45" s="10"/>
      <c r="L45" s="740">
        <v>42</v>
      </c>
      <c r="M45" s="741">
        <v>15.549142972857144</v>
      </c>
      <c r="N45" s="741">
        <v>48.572000228571433</v>
      </c>
      <c r="O45" s="741">
        <v>11.100428648285714</v>
      </c>
    </row>
    <row r="46" spans="1:15" ht="11.25" customHeight="1">
      <c r="A46" s="74"/>
      <c r="B46" s="73"/>
      <c r="C46" s="73"/>
      <c r="D46" s="73"/>
      <c r="E46" s="73"/>
      <c r="F46" s="73"/>
      <c r="G46" s="73"/>
      <c r="H46" s="3"/>
      <c r="I46" s="10"/>
      <c r="K46" s="739">
        <v>43</v>
      </c>
      <c r="L46" s="740">
        <v>43</v>
      </c>
      <c r="M46" s="741">
        <v>13.17</v>
      </c>
      <c r="N46" s="741">
        <v>35.32</v>
      </c>
      <c r="O46" s="741">
        <v>6.01</v>
      </c>
    </row>
    <row r="47" spans="1:15" ht="11.25" customHeight="1">
      <c r="A47" s="74"/>
      <c r="B47" s="73"/>
      <c r="C47" s="73"/>
      <c r="D47" s="73"/>
      <c r="E47" s="73"/>
      <c r="F47" s="73"/>
      <c r="G47" s="73"/>
      <c r="H47" s="11"/>
      <c r="I47" s="11"/>
      <c r="L47" s="740">
        <v>44</v>
      </c>
      <c r="M47" s="741">
        <v>13.18</v>
      </c>
      <c r="N47" s="741">
        <v>36.83</v>
      </c>
      <c r="O47" s="741">
        <v>4.57</v>
      </c>
    </row>
    <row r="48" spans="1:15" ht="11.25" customHeight="1">
      <c r="A48" s="74"/>
      <c r="B48" s="73"/>
      <c r="C48" s="73"/>
      <c r="D48" s="73"/>
      <c r="E48" s="73"/>
      <c r="F48" s="73"/>
      <c r="G48" s="73"/>
      <c r="H48" s="11"/>
      <c r="I48" s="11"/>
      <c r="L48" s="740">
        <v>45</v>
      </c>
      <c r="M48" s="741">
        <v>13.49</v>
      </c>
      <c r="N48" s="741">
        <v>39.520000000000003</v>
      </c>
      <c r="O48" s="741">
        <v>4.83</v>
      </c>
    </row>
    <row r="49" spans="1:15" ht="11.25" customHeight="1">
      <c r="A49" s="74"/>
      <c r="B49" s="73"/>
      <c r="C49" s="73"/>
      <c r="D49" s="73"/>
      <c r="E49" s="73"/>
      <c r="F49" s="73"/>
      <c r="G49" s="73"/>
      <c r="H49" s="11"/>
      <c r="I49" s="11"/>
      <c r="L49" s="740">
        <v>46</v>
      </c>
      <c r="M49" s="741">
        <v>15.4</v>
      </c>
      <c r="N49" s="741">
        <v>53.38</v>
      </c>
      <c r="O49" s="741">
        <v>3.73</v>
      </c>
    </row>
    <row r="50" spans="1:15" ht="11.25" customHeight="1">
      <c r="A50" s="74"/>
      <c r="B50" s="73"/>
      <c r="C50" s="73"/>
      <c r="D50" s="73"/>
      <c r="E50" s="73"/>
      <c r="F50" s="73"/>
      <c r="G50" s="73"/>
      <c r="H50" s="11"/>
      <c r="I50" s="11"/>
      <c r="L50" s="740">
        <v>47</v>
      </c>
      <c r="M50" s="741">
        <v>16.408999999999999</v>
      </c>
      <c r="N50" s="741">
        <v>61.853000000000002</v>
      </c>
      <c r="O50" s="741">
        <v>2.5211429999999999</v>
      </c>
    </row>
    <row r="51" spans="1:15" ht="11.25" customHeight="1">
      <c r="A51" s="74"/>
      <c r="B51" s="73"/>
      <c r="C51" s="73"/>
      <c r="D51" s="73"/>
      <c r="E51" s="73"/>
      <c r="F51" s="73"/>
      <c r="G51" s="73"/>
      <c r="H51" s="11"/>
      <c r="I51" s="11"/>
      <c r="K51" s="739">
        <v>48</v>
      </c>
      <c r="L51" s="740">
        <v>48</v>
      </c>
      <c r="M51" s="741">
        <v>16.328857422857144</v>
      </c>
      <c r="N51" s="741">
        <v>65.330427987142869</v>
      </c>
      <c r="O51" s="741">
        <v>3.571428503285714</v>
      </c>
    </row>
    <row r="52" spans="1:15" ht="11.25" customHeight="1">
      <c r="A52" s="74"/>
      <c r="B52" s="73"/>
      <c r="C52" s="73"/>
      <c r="D52" s="73"/>
      <c r="E52" s="73"/>
      <c r="F52" s="73"/>
      <c r="G52" s="73"/>
      <c r="H52" s="11"/>
      <c r="I52" s="11"/>
      <c r="L52" s="740">
        <v>49</v>
      </c>
      <c r="M52" s="741">
        <v>20.236285890000001</v>
      </c>
      <c r="N52" s="741">
        <v>66.680000000000007</v>
      </c>
      <c r="O52" s="741">
        <v>6.1</v>
      </c>
    </row>
    <row r="53" spans="1:15" ht="11.25" customHeight="1">
      <c r="A53" s="74"/>
      <c r="B53" s="73"/>
      <c r="C53" s="73"/>
      <c r="D53" s="73"/>
      <c r="E53" s="73"/>
      <c r="F53" s="73"/>
      <c r="G53" s="73"/>
      <c r="H53" s="11"/>
      <c r="I53" s="11"/>
      <c r="L53" s="740">
        <v>50</v>
      </c>
      <c r="M53" s="741">
        <v>19.809999999999999</v>
      </c>
      <c r="N53" s="741">
        <v>61.31</v>
      </c>
      <c r="O53" s="741">
        <v>6.69</v>
      </c>
    </row>
    <row r="54" spans="1:15" ht="11.25" customHeight="1">
      <c r="A54" s="74"/>
      <c r="B54" s="73"/>
      <c r="C54" s="73"/>
      <c r="D54" s="73"/>
      <c r="E54" s="73"/>
      <c r="F54" s="73"/>
      <c r="G54" s="73"/>
      <c r="H54" s="11"/>
      <c r="I54" s="11"/>
      <c r="L54" s="740">
        <v>51</v>
      </c>
      <c r="M54" s="741">
        <v>21.91</v>
      </c>
      <c r="N54" s="741">
        <v>70.790000000000006</v>
      </c>
      <c r="O54" s="741">
        <v>13.15</v>
      </c>
    </row>
    <row r="55" spans="1:15" ht="13.2">
      <c r="A55" s="74"/>
      <c r="B55" s="73"/>
      <c r="C55" s="73"/>
      <c r="D55" s="73"/>
      <c r="E55" s="73"/>
      <c r="F55" s="73"/>
      <c r="G55" s="73"/>
      <c r="H55" s="11"/>
      <c r="I55" s="11"/>
      <c r="K55" s="739">
        <v>52</v>
      </c>
      <c r="L55" s="740">
        <v>52</v>
      </c>
      <c r="M55" s="741">
        <v>22</v>
      </c>
      <c r="N55" s="741">
        <v>77.434859137142865</v>
      </c>
      <c r="O55" s="741">
        <v>17.75700037857143</v>
      </c>
    </row>
    <row r="56" spans="1:15" ht="13.2">
      <c r="A56" s="74"/>
      <c r="B56" s="73"/>
      <c r="C56" s="73"/>
      <c r="D56" s="73"/>
      <c r="E56" s="73"/>
      <c r="F56" s="73"/>
      <c r="G56" s="73"/>
      <c r="H56" s="11"/>
      <c r="I56" s="11"/>
      <c r="J56" s="460">
        <v>2017</v>
      </c>
      <c r="K56" s="739">
        <v>1</v>
      </c>
      <c r="L56" s="740">
        <v>1</v>
      </c>
      <c r="M56" s="741">
        <v>41.55</v>
      </c>
      <c r="N56" s="741">
        <v>103.58</v>
      </c>
      <c r="O56" s="741">
        <v>29.67</v>
      </c>
    </row>
    <row r="57" spans="1:15" ht="13.2">
      <c r="A57" s="74"/>
      <c r="B57" s="73"/>
      <c r="C57" s="73"/>
      <c r="D57" s="73"/>
      <c r="E57" s="73"/>
      <c r="F57" s="73"/>
      <c r="G57" s="73"/>
      <c r="H57" s="11"/>
      <c r="I57" s="11"/>
      <c r="L57" s="740">
        <v>2</v>
      </c>
      <c r="M57" s="741">
        <v>39.6</v>
      </c>
      <c r="N57" s="741">
        <v>105.01</v>
      </c>
      <c r="O57" s="741">
        <v>51.2</v>
      </c>
    </row>
    <row r="58" spans="1:15" ht="13.2">
      <c r="A58" s="74"/>
      <c r="B58" s="73"/>
      <c r="C58" s="73"/>
      <c r="D58" s="73"/>
      <c r="E58" s="73"/>
      <c r="F58" s="73"/>
      <c r="G58" s="73"/>
      <c r="H58" s="11"/>
      <c r="I58" s="11"/>
      <c r="L58" s="740">
        <v>3</v>
      </c>
      <c r="M58" s="741">
        <v>73.650000000000006</v>
      </c>
      <c r="N58" s="741">
        <v>137.41</v>
      </c>
      <c r="O58" s="741">
        <v>43.26</v>
      </c>
    </row>
    <row r="59" spans="1:15" ht="13.2">
      <c r="A59" s="74"/>
      <c r="B59" s="73"/>
      <c r="C59" s="73"/>
      <c r="D59" s="73"/>
      <c r="E59" s="73"/>
      <c r="F59" s="73"/>
      <c r="G59" s="73"/>
      <c r="H59" s="11"/>
      <c r="I59" s="11"/>
      <c r="K59" s="739">
        <v>4</v>
      </c>
      <c r="L59" s="740">
        <v>4</v>
      </c>
      <c r="M59" s="741">
        <v>65.03</v>
      </c>
      <c r="N59" s="741">
        <v>127.83</v>
      </c>
      <c r="O59" s="741">
        <v>32.72</v>
      </c>
    </row>
    <row r="60" spans="1:15" ht="13.2">
      <c r="A60" s="74"/>
      <c r="B60" s="73"/>
      <c r="C60" s="73"/>
      <c r="D60" s="73"/>
      <c r="E60" s="73"/>
      <c r="F60" s="73"/>
      <c r="G60" s="73"/>
      <c r="H60" s="11"/>
      <c r="I60" s="11"/>
      <c r="L60" s="740">
        <v>5</v>
      </c>
      <c r="M60" s="741">
        <v>56.95</v>
      </c>
      <c r="N60" s="741">
        <v>97.31</v>
      </c>
      <c r="O60" s="741">
        <v>48.46</v>
      </c>
    </row>
    <row r="61" spans="1:15" ht="13.2">
      <c r="A61" s="361" t="s">
        <v>591</v>
      </c>
      <c r="B61" s="73"/>
      <c r="C61" s="73"/>
      <c r="D61" s="73"/>
      <c r="E61" s="73"/>
      <c r="F61" s="73"/>
      <c r="G61" s="73"/>
      <c r="H61" s="11"/>
      <c r="I61" s="11"/>
      <c r="L61" s="740">
        <v>6</v>
      </c>
      <c r="M61" s="741">
        <v>61.87</v>
      </c>
      <c r="N61" s="741">
        <v>123.44</v>
      </c>
      <c r="O61" s="741">
        <v>72.52</v>
      </c>
    </row>
    <row r="62" spans="1:15">
      <c r="L62" s="740">
        <v>7</v>
      </c>
      <c r="M62" s="741">
        <v>77.569999999999993</v>
      </c>
      <c r="N62" s="741">
        <v>145.02000000000001</v>
      </c>
      <c r="O62" s="741">
        <v>59.16</v>
      </c>
    </row>
    <row r="63" spans="1:15">
      <c r="K63" s="739">
        <v>8</v>
      </c>
      <c r="L63" s="740">
        <v>8</v>
      </c>
      <c r="M63" s="741">
        <v>86.94</v>
      </c>
      <c r="N63" s="741">
        <v>175.03</v>
      </c>
      <c r="O63" s="741">
        <v>24.36</v>
      </c>
    </row>
    <row r="64" spans="1:15">
      <c r="L64" s="740">
        <v>9</v>
      </c>
      <c r="M64" s="741">
        <v>85.13</v>
      </c>
      <c r="N64" s="741">
        <v>206.14</v>
      </c>
      <c r="O64" s="741">
        <v>39.07</v>
      </c>
    </row>
    <row r="65" spans="11:15">
      <c r="L65" s="740">
        <v>10</v>
      </c>
      <c r="M65" s="741">
        <v>84.78</v>
      </c>
      <c r="N65" s="741">
        <v>270.17</v>
      </c>
      <c r="O65" s="741">
        <v>109.16</v>
      </c>
    </row>
    <row r="66" spans="11:15">
      <c r="L66" s="740">
        <v>11</v>
      </c>
      <c r="M66" s="741">
        <v>84.78</v>
      </c>
      <c r="N66" s="741">
        <v>376.42</v>
      </c>
      <c r="O66" s="741">
        <v>188.18</v>
      </c>
    </row>
    <row r="67" spans="11:15">
      <c r="K67" s="739">
        <v>12</v>
      </c>
      <c r="L67" s="740">
        <v>12</v>
      </c>
      <c r="M67" s="741">
        <v>106.16</v>
      </c>
      <c r="N67" s="741">
        <v>351.57</v>
      </c>
      <c r="O67" s="741">
        <v>159.6</v>
      </c>
    </row>
    <row r="68" spans="11:15">
      <c r="L68" s="740">
        <v>13</v>
      </c>
      <c r="M68" s="741">
        <v>101.71</v>
      </c>
      <c r="N68" s="741">
        <v>384.37</v>
      </c>
      <c r="O68" s="741">
        <v>161.77000000000001</v>
      </c>
    </row>
    <row r="69" spans="11:15">
      <c r="L69" s="740">
        <v>14</v>
      </c>
      <c r="M69" s="741">
        <v>83.1</v>
      </c>
      <c r="N69" s="741">
        <v>337.84</v>
      </c>
      <c r="O69" s="741">
        <v>115.43</v>
      </c>
    </row>
    <row r="70" spans="11:15">
      <c r="L70" s="740">
        <v>15</v>
      </c>
      <c r="M70" s="741">
        <v>61.23</v>
      </c>
      <c r="N70" s="741">
        <v>282.32</v>
      </c>
      <c r="O70" s="741">
        <v>98.92</v>
      </c>
    </row>
    <row r="71" spans="11:15">
      <c r="K71" s="739">
        <v>16</v>
      </c>
      <c r="L71" s="740">
        <v>16</v>
      </c>
      <c r="M71" s="741">
        <v>49.8</v>
      </c>
      <c r="N71" s="741">
        <v>191.65</v>
      </c>
      <c r="O71" s="741">
        <v>82.48</v>
      </c>
    </row>
    <row r="72" spans="11:15">
      <c r="L72" s="740">
        <v>17</v>
      </c>
      <c r="M72" s="741">
        <v>40.21</v>
      </c>
      <c r="N72" s="741">
        <v>160.35</v>
      </c>
      <c r="O72" s="741">
        <v>77.02</v>
      </c>
    </row>
    <row r="73" spans="11:15">
      <c r="L73" s="740">
        <v>18</v>
      </c>
      <c r="M73" s="741">
        <v>43.46</v>
      </c>
      <c r="N73" s="741">
        <v>136.65</v>
      </c>
      <c r="O73" s="741">
        <v>62.63</v>
      </c>
    </row>
    <row r="74" spans="11:15">
      <c r="L74" s="740">
        <v>19</v>
      </c>
      <c r="M74" s="741">
        <v>35.65</v>
      </c>
      <c r="N74" s="741">
        <v>135.97</v>
      </c>
      <c r="O74" s="741">
        <v>93.03</v>
      </c>
    </row>
    <row r="75" spans="11:15">
      <c r="K75" s="739">
        <v>20</v>
      </c>
      <c r="L75" s="740">
        <v>20</v>
      </c>
      <c r="M75" s="741">
        <v>26.22</v>
      </c>
      <c r="N75" s="741">
        <v>135.66</v>
      </c>
      <c r="O75" s="741">
        <v>72.349999999999994</v>
      </c>
    </row>
    <row r="76" spans="11:15">
      <c r="L76" s="740">
        <v>21</v>
      </c>
      <c r="M76" s="741">
        <v>27.95</v>
      </c>
      <c r="N76" s="741">
        <v>113.82</v>
      </c>
      <c r="O76" s="741">
        <v>90.75</v>
      </c>
    </row>
    <row r="77" spans="11:15">
      <c r="L77" s="740">
        <v>22</v>
      </c>
      <c r="M77" s="741">
        <v>32.409999999999997</v>
      </c>
      <c r="N77" s="741">
        <v>64.03</v>
      </c>
      <c r="O77" s="741">
        <v>53.02</v>
      </c>
    </row>
    <row r="78" spans="11:15">
      <c r="L78" s="740">
        <v>23</v>
      </c>
      <c r="M78" s="741">
        <v>28.93</v>
      </c>
      <c r="N78" s="741">
        <v>53.15</v>
      </c>
      <c r="O78" s="741">
        <v>32.43</v>
      </c>
    </row>
    <row r="79" spans="11:15">
      <c r="K79" s="739">
        <v>24</v>
      </c>
      <c r="L79" s="740">
        <v>24</v>
      </c>
      <c r="M79" s="741">
        <v>26.59</v>
      </c>
      <c r="N79" s="741">
        <v>45.98</v>
      </c>
      <c r="O79" s="741">
        <v>27.75</v>
      </c>
    </row>
    <row r="80" spans="11:15">
      <c r="L80" s="740">
        <v>25</v>
      </c>
      <c r="M80" s="741">
        <v>23.61</v>
      </c>
      <c r="N80" s="741">
        <v>38.68</v>
      </c>
      <c r="O80" s="741">
        <v>24.81</v>
      </c>
    </row>
    <row r="81" spans="11:15">
      <c r="L81" s="740">
        <v>26</v>
      </c>
      <c r="M81" s="741">
        <v>24.94</v>
      </c>
      <c r="N81" s="741">
        <v>34.68</v>
      </c>
      <c r="O81" s="741">
        <v>21.81</v>
      </c>
    </row>
    <row r="82" spans="11:15">
      <c r="L82" s="740">
        <v>27</v>
      </c>
      <c r="M82" s="741">
        <v>25.54</v>
      </c>
      <c r="N82" s="741">
        <v>31.72</v>
      </c>
      <c r="O82" s="741">
        <v>18.649999999999999</v>
      </c>
    </row>
    <row r="83" spans="11:15">
      <c r="K83" s="739">
        <v>28</v>
      </c>
      <c r="L83" s="740">
        <v>28</v>
      </c>
      <c r="M83" s="741">
        <v>23.56</v>
      </c>
      <c r="N83" s="741">
        <v>29.25</v>
      </c>
      <c r="O83" s="741">
        <v>14.27</v>
      </c>
    </row>
    <row r="84" spans="11:15">
      <c r="L84" s="740">
        <v>29</v>
      </c>
      <c r="M84" s="741">
        <v>22.4</v>
      </c>
      <c r="N84" s="741">
        <v>29.53</v>
      </c>
      <c r="O84" s="741">
        <v>11.51</v>
      </c>
    </row>
    <row r="85" spans="11:15">
      <c r="L85" s="740">
        <v>30</v>
      </c>
      <c r="M85" s="741">
        <v>21.29</v>
      </c>
      <c r="N85" s="741">
        <v>27.62</v>
      </c>
      <c r="O85" s="741">
        <v>9.7200000000000006</v>
      </c>
    </row>
    <row r="86" spans="11:15">
      <c r="L86" s="740">
        <v>31</v>
      </c>
      <c r="M86" s="741">
        <v>19.34</v>
      </c>
      <c r="N86" s="741">
        <v>27.99</v>
      </c>
      <c r="O86" s="741">
        <v>8.09</v>
      </c>
    </row>
    <row r="87" spans="11:15">
      <c r="K87" s="739">
        <v>32</v>
      </c>
      <c r="L87" s="740">
        <v>32</v>
      </c>
      <c r="M87" s="741">
        <v>19.649999999999999</v>
      </c>
      <c r="N87" s="741">
        <v>31.42</v>
      </c>
      <c r="O87" s="741">
        <v>7.62</v>
      </c>
    </row>
    <row r="88" spans="11:15">
      <c r="L88" s="740">
        <v>33</v>
      </c>
      <c r="M88" s="741">
        <v>18.420000000000002</v>
      </c>
      <c r="N88" s="741">
        <v>29.71</v>
      </c>
      <c r="O88" s="741">
        <v>9.5500000000000007</v>
      </c>
    </row>
    <row r="89" spans="11:15">
      <c r="L89" s="740">
        <v>34</v>
      </c>
      <c r="M89" s="741">
        <v>17.170000000000002</v>
      </c>
      <c r="N89" s="741">
        <v>30.51</v>
      </c>
      <c r="O89" s="741">
        <v>10.75</v>
      </c>
    </row>
    <row r="90" spans="11:15">
      <c r="L90" s="740">
        <v>35</v>
      </c>
      <c r="M90" s="741">
        <v>17.47</v>
      </c>
      <c r="N90" s="741">
        <v>27.5</v>
      </c>
      <c r="O90" s="741">
        <v>8.31</v>
      </c>
    </row>
    <row r="91" spans="11:15">
      <c r="K91" s="739">
        <v>36</v>
      </c>
      <c r="L91" s="740">
        <v>36</v>
      </c>
      <c r="M91" s="741">
        <v>13.42</v>
      </c>
      <c r="N91" s="741">
        <v>26.21</v>
      </c>
      <c r="O91" s="741">
        <v>6.53</v>
      </c>
    </row>
    <row r="92" spans="11:15">
      <c r="L92" s="740">
        <v>37</v>
      </c>
      <c r="M92" s="741">
        <v>11.2</v>
      </c>
      <c r="N92" s="741">
        <v>29.98</v>
      </c>
      <c r="O92" s="741">
        <v>9.7799999999999994</v>
      </c>
    </row>
    <row r="93" spans="11:15">
      <c r="L93" s="740">
        <v>38</v>
      </c>
      <c r="M93" s="741">
        <v>11</v>
      </c>
      <c r="N93" s="741">
        <v>34.369999999999997</v>
      </c>
      <c r="O93" s="741">
        <v>7.47</v>
      </c>
    </row>
    <row r="94" spans="11:15">
      <c r="K94" s="739">
        <v>39</v>
      </c>
      <c r="L94" s="740">
        <v>39</v>
      </c>
      <c r="M94" s="741">
        <v>11.14</v>
      </c>
      <c r="N94" s="741">
        <v>42.17</v>
      </c>
      <c r="O94" s="741">
        <v>7.49</v>
      </c>
    </row>
    <row r="95" spans="11:15">
      <c r="L95" s="740">
        <v>40</v>
      </c>
      <c r="M95" s="741">
        <v>12.8</v>
      </c>
      <c r="N95" s="741">
        <v>37.270000000000003</v>
      </c>
      <c r="O95" s="741">
        <v>15.47</v>
      </c>
    </row>
    <row r="96" spans="11:15">
      <c r="L96" s="740">
        <v>41</v>
      </c>
      <c r="M96" s="741">
        <v>14.41</v>
      </c>
      <c r="N96" s="741">
        <v>40.04</v>
      </c>
      <c r="O96" s="741">
        <v>18</v>
      </c>
    </row>
    <row r="97" spans="10:15">
      <c r="L97" s="740">
        <v>42</v>
      </c>
      <c r="M97" s="741">
        <v>15.87</v>
      </c>
      <c r="N97" s="741">
        <v>35.79</v>
      </c>
      <c r="O97" s="741">
        <v>12.74</v>
      </c>
    </row>
    <row r="98" spans="10:15">
      <c r="K98" s="739">
        <v>43</v>
      </c>
      <c r="L98" s="740">
        <v>43</v>
      </c>
      <c r="M98" s="741">
        <v>19.61</v>
      </c>
      <c r="N98" s="741">
        <v>50.36</v>
      </c>
      <c r="O98" s="741">
        <v>30.75</v>
      </c>
    </row>
    <row r="99" spans="10:15">
      <c r="L99" s="740">
        <v>44</v>
      </c>
      <c r="M99" s="741">
        <v>21.85</v>
      </c>
      <c r="N99" s="741">
        <v>54.94</v>
      </c>
      <c r="O99" s="741">
        <v>23.58</v>
      </c>
    </row>
    <row r="100" spans="10:15">
      <c r="L100" s="740">
        <v>45</v>
      </c>
      <c r="M100" s="741">
        <v>16.79</v>
      </c>
      <c r="N100" s="741">
        <v>41.16</v>
      </c>
      <c r="O100" s="741">
        <v>11.77</v>
      </c>
    </row>
    <row r="101" spans="10:15">
      <c r="L101" s="740">
        <v>46</v>
      </c>
      <c r="M101" s="741">
        <v>16.010000000000002</v>
      </c>
      <c r="N101" s="741">
        <v>42.65</v>
      </c>
      <c r="O101" s="741">
        <v>9.33</v>
      </c>
    </row>
    <row r="102" spans="10:15">
      <c r="L102" s="740">
        <v>47</v>
      </c>
      <c r="M102" s="741">
        <v>14.72</v>
      </c>
      <c r="N102" s="741">
        <v>39.76</v>
      </c>
      <c r="O102" s="741">
        <v>8.19</v>
      </c>
    </row>
    <row r="103" spans="10:15">
      <c r="K103" s="739">
        <v>48</v>
      </c>
      <c r="L103" s="740">
        <v>48</v>
      </c>
      <c r="M103" s="741">
        <v>18.932000297142856</v>
      </c>
      <c r="N103" s="741">
        <v>47.388000487142854</v>
      </c>
      <c r="O103" s="741">
        <v>19.661285946</v>
      </c>
    </row>
    <row r="104" spans="10:15">
      <c r="L104" s="740">
        <v>49</v>
      </c>
      <c r="M104" s="741">
        <v>28.48371397</v>
      </c>
      <c r="N104" s="741">
        <v>78.087428497142852</v>
      </c>
      <c r="O104" s="741">
        <v>19.181428364285715</v>
      </c>
    </row>
    <row r="105" spans="10:15">
      <c r="L105" s="740">
        <v>50</v>
      </c>
      <c r="M105" s="741">
        <v>32.583286012857144</v>
      </c>
      <c r="N105" s="741">
        <v>69.764142717142846</v>
      </c>
      <c r="O105" s="741">
        <v>23.7245715</v>
      </c>
    </row>
    <row r="106" spans="10:15">
      <c r="L106" s="740">
        <v>51</v>
      </c>
      <c r="M106" s="741">
        <v>34.501856668571428</v>
      </c>
      <c r="N106" s="741">
        <v>71.14499991142857</v>
      </c>
      <c r="O106" s="741">
        <v>26.158142907142857</v>
      </c>
    </row>
    <row r="107" spans="10:15">
      <c r="K107" s="739">
        <v>52</v>
      </c>
      <c r="L107" s="740">
        <v>52</v>
      </c>
      <c r="M107" s="741">
        <v>27.781857355714287</v>
      </c>
      <c r="N107" s="741">
        <v>83.196000228571435</v>
      </c>
      <c r="O107" s="741">
        <v>21.776999882857144</v>
      </c>
    </row>
    <row r="108" spans="10:15">
      <c r="J108" s="460">
        <v>2018</v>
      </c>
      <c r="K108" s="739">
        <v>1</v>
      </c>
      <c r="L108" s="740">
        <v>1</v>
      </c>
      <c r="M108" s="741">
        <v>29.44</v>
      </c>
      <c r="N108" s="741">
        <v>69.087142857142865</v>
      </c>
      <c r="O108" s="741">
        <v>15.747142857142856</v>
      </c>
    </row>
    <row r="109" spans="10:15">
      <c r="L109" s="740">
        <v>2</v>
      </c>
      <c r="M109" s="741">
        <v>42.880857194285717</v>
      </c>
      <c r="N109" s="741">
        <v>96.785858138571413</v>
      </c>
      <c r="O109" s="741">
        <v>37.6</v>
      </c>
    </row>
    <row r="110" spans="10:15">
      <c r="L110" s="740">
        <v>3</v>
      </c>
      <c r="M110" s="741">
        <v>74.002572194285705</v>
      </c>
      <c r="N110" s="741">
        <v>158.17728531428571</v>
      </c>
      <c r="O110" s="741">
        <v>101.26128550142856</v>
      </c>
    </row>
    <row r="111" spans="10:15">
      <c r="K111" s="739">
        <v>4</v>
      </c>
      <c r="L111" s="740">
        <v>4</v>
      </c>
      <c r="M111" s="741">
        <v>77.812570845714291</v>
      </c>
      <c r="N111" s="741">
        <v>167.02357267142858</v>
      </c>
      <c r="O111" s="741">
        <v>77.354000085714276</v>
      </c>
    </row>
    <row r="112" spans="10:15">
      <c r="L112" s="740">
        <v>5</v>
      </c>
      <c r="M112" s="741">
        <v>61.531714848571433</v>
      </c>
      <c r="N112" s="741">
        <v>113.19585745142855</v>
      </c>
      <c r="O112" s="741">
        <v>30.667142595714285</v>
      </c>
    </row>
    <row r="113" spans="11:15">
      <c r="L113" s="740">
        <v>6</v>
      </c>
      <c r="M113" s="741">
        <v>54.024142672857138</v>
      </c>
      <c r="N113" s="741">
        <v>88.535714287142852</v>
      </c>
      <c r="O113" s="741">
        <v>32.444142750000005</v>
      </c>
    </row>
    <row r="114" spans="11:15">
      <c r="L114" s="740">
        <v>7</v>
      </c>
      <c r="M114" s="741">
        <v>59.271427155714285</v>
      </c>
      <c r="N114" s="741">
        <v>99.37822619047617</v>
      </c>
      <c r="O114" s="741">
        <v>30.338148809523812</v>
      </c>
    </row>
    <row r="115" spans="11:15">
      <c r="K115" s="739">
        <v>8</v>
      </c>
      <c r="L115" s="740">
        <v>8</v>
      </c>
      <c r="M115" s="741">
        <v>78.025571005714284</v>
      </c>
      <c r="N115" s="741">
        <v>140.28</v>
      </c>
      <c r="O115" s="741">
        <v>62.97</v>
      </c>
    </row>
    <row r="116" spans="11:15">
      <c r="L116" s="740">
        <v>9</v>
      </c>
      <c r="M116" s="741">
        <v>61.11871501571428</v>
      </c>
      <c r="N116" s="741">
        <v>102.99642836285715</v>
      </c>
      <c r="O116" s="741">
        <v>31.244571685714288</v>
      </c>
    </row>
    <row r="117" spans="11:15">
      <c r="L117" s="740">
        <v>10</v>
      </c>
      <c r="M117" s="741">
        <v>84.500714981428573</v>
      </c>
      <c r="N117" s="741">
        <v>175.90485927142853</v>
      </c>
      <c r="O117" s="741">
        <v>36.038285662857142</v>
      </c>
    </row>
    <row r="118" spans="11:15">
      <c r="L118" s="740">
        <v>11</v>
      </c>
      <c r="M118" s="741">
        <v>83.643855504285725</v>
      </c>
      <c r="N118" s="741">
        <v>169.64671761428571</v>
      </c>
      <c r="O118" s="741">
        <v>25.076428275714282</v>
      </c>
    </row>
    <row r="119" spans="11:15">
      <c r="K119" s="739">
        <v>12</v>
      </c>
      <c r="L119" s="740">
        <v>12</v>
      </c>
      <c r="M119" s="741">
        <v>98.99</v>
      </c>
      <c r="N119" s="741">
        <v>198.22</v>
      </c>
      <c r="O119" s="741">
        <v>24.63</v>
      </c>
    </row>
    <row r="120" spans="11:15">
      <c r="L120" s="740">
        <v>13</v>
      </c>
      <c r="M120" s="741">
        <v>106.64928652857144</v>
      </c>
      <c r="N120" s="741">
        <v>312.6314304857143</v>
      </c>
      <c r="O120" s="741">
        <v>38.701428550000003</v>
      </c>
    </row>
    <row r="121" spans="11:15">
      <c r="L121" s="740">
        <v>14</v>
      </c>
      <c r="M121" s="741">
        <v>86.488428389999996</v>
      </c>
      <c r="N121" s="741">
        <v>235.31328691428573</v>
      </c>
      <c r="O121" s="741">
        <v>94.596427907142839</v>
      </c>
    </row>
    <row r="122" spans="11:15">
      <c r="L122" s="740">
        <v>15</v>
      </c>
      <c r="M122" s="741">
        <v>88.217001778571429</v>
      </c>
      <c r="N122" s="741">
        <v>294.1721409428572</v>
      </c>
      <c r="O122" s="741">
        <v>92.07</v>
      </c>
    </row>
    <row r="123" spans="11:15">
      <c r="K123" s="739">
        <v>16</v>
      </c>
      <c r="L123" s="740">
        <v>16</v>
      </c>
      <c r="M123" s="741">
        <v>65.84</v>
      </c>
      <c r="N123" s="741">
        <v>149.18</v>
      </c>
      <c r="O123" s="741">
        <v>45.4</v>
      </c>
    </row>
    <row r="124" spans="11:15">
      <c r="L124" s="740">
        <v>17</v>
      </c>
      <c r="M124" s="741">
        <v>51.88</v>
      </c>
      <c r="N124" s="741">
        <v>104.35</v>
      </c>
      <c r="O124" s="741">
        <v>41.47</v>
      </c>
    </row>
    <row r="125" spans="11:15">
      <c r="L125" s="740">
        <v>18</v>
      </c>
      <c r="M125" s="741">
        <v>49.672285897142856</v>
      </c>
      <c r="N125" s="741">
        <v>78.038143701428567</v>
      </c>
      <c r="O125" s="741">
        <v>65.800999782857133</v>
      </c>
    </row>
    <row r="126" spans="11:15">
      <c r="L126" s="740">
        <v>19</v>
      </c>
      <c r="M126" s="741">
        <v>45.203000204285708</v>
      </c>
      <c r="N126" s="741">
        <v>78.313856942857129</v>
      </c>
      <c r="O126" s="741">
        <v>75.104713441428572</v>
      </c>
    </row>
    <row r="127" spans="11:15">
      <c r="K127" s="739">
        <v>20</v>
      </c>
      <c r="L127" s="740">
        <v>20</v>
      </c>
      <c r="M127" s="741">
        <v>37.385857718571437</v>
      </c>
      <c r="N127" s="741">
        <v>130.92628696285712</v>
      </c>
      <c r="O127" s="741">
        <v>97.861000055714285</v>
      </c>
    </row>
    <row r="128" spans="11:15">
      <c r="L128" s="740">
        <v>21</v>
      </c>
      <c r="M128" s="741">
        <v>31.609713962857143</v>
      </c>
      <c r="N128" s="741">
        <v>64.449287412857146</v>
      </c>
      <c r="O128" s="741">
        <v>107.7964292242857</v>
      </c>
    </row>
    <row r="129" spans="11:15">
      <c r="L129" s="740">
        <v>22</v>
      </c>
      <c r="M129" s="741">
        <v>23.360142844285715</v>
      </c>
      <c r="N129" s="741">
        <v>64.449287412857146</v>
      </c>
      <c r="O129" s="741">
        <v>107.7964292242857</v>
      </c>
    </row>
    <row r="130" spans="11:15">
      <c r="L130" s="740">
        <v>23</v>
      </c>
      <c r="M130" s="741">
        <v>22.118571418571431</v>
      </c>
      <c r="N130" s="741">
        <v>39.50100054</v>
      </c>
      <c r="O130" s="741">
        <v>35.176713670000005</v>
      </c>
    </row>
    <row r="131" spans="11:15">
      <c r="K131" s="739">
        <v>24</v>
      </c>
      <c r="L131" s="740">
        <v>24</v>
      </c>
      <c r="M131" s="741">
        <v>18.655142918571432</v>
      </c>
      <c r="N131" s="741">
        <v>33.690285274285714</v>
      </c>
      <c r="O131" s="741">
        <v>23.41942841571429</v>
      </c>
    </row>
    <row r="132" spans="11:15">
      <c r="L132" s="740">
        <v>25</v>
      </c>
      <c r="M132" s="741">
        <v>15.664428437142856</v>
      </c>
      <c r="N132" s="741">
        <v>30.228428704285715</v>
      </c>
      <c r="O132" s="741">
        <v>15.98614284142857</v>
      </c>
    </row>
    <row r="133" spans="11:15">
      <c r="L133" s="740">
        <v>26</v>
      </c>
      <c r="M133" s="741">
        <v>13.848143032857147</v>
      </c>
      <c r="N133" s="741">
        <v>27.872285568571431</v>
      </c>
      <c r="O133" s="741">
        <v>14.09042848857143</v>
      </c>
    </row>
    <row r="134" spans="11:15">
      <c r="L134" s="740">
        <v>27</v>
      </c>
      <c r="M134" s="741">
        <v>12.865857259999999</v>
      </c>
      <c r="N134" s="741">
        <v>27.257571358571429</v>
      </c>
      <c r="O134" s="739">
        <v>11.838857105714284</v>
      </c>
    </row>
    <row r="135" spans="11:15">
      <c r="K135" s="739">
        <v>28</v>
      </c>
      <c r="L135" s="740">
        <v>28</v>
      </c>
      <c r="M135" s="741">
        <v>12.915285789999999</v>
      </c>
      <c r="N135" s="741">
        <v>27.217285974285712</v>
      </c>
      <c r="O135" s="739">
        <v>9.7789998731428565</v>
      </c>
    </row>
    <row r="136" spans="11:15">
      <c r="L136" s="740">
        <v>29</v>
      </c>
      <c r="M136" s="741">
        <v>15.908571428571426</v>
      </c>
      <c r="N136" s="741">
        <v>24.955714285714286</v>
      </c>
      <c r="O136" s="739">
        <v>8.4957142857142856</v>
      </c>
    </row>
    <row r="137" spans="11:15">
      <c r="L137" s="740">
        <v>30</v>
      </c>
      <c r="M137" s="741">
        <v>16.584000042857145</v>
      </c>
      <c r="N137" s="741">
        <v>24.80942862142857</v>
      </c>
      <c r="O137" s="739">
        <v>7.807428428142857</v>
      </c>
    </row>
    <row r="138" spans="11:15">
      <c r="K138" s="739">
        <v>31</v>
      </c>
      <c r="L138" s="740">
        <v>31</v>
      </c>
      <c r="M138" s="741">
        <v>18.553000000000001</v>
      </c>
      <c r="N138" s="741">
        <v>25.690999999999999</v>
      </c>
      <c r="O138" s="739">
        <v>7.53</v>
      </c>
    </row>
    <row r="139" spans="11:15">
      <c r="M139" s="739" t="s">
        <v>302</v>
      </c>
      <c r="N139" s="739" t="s">
        <v>303</v>
      </c>
      <c r="O139" s="739" t="s">
        <v>304</v>
      </c>
    </row>
  </sheetData>
  <mergeCells count="2">
    <mergeCell ref="A3:G3"/>
    <mergeCell ref="A35:G35"/>
  </mergeCells>
  <pageMargins left="0.7" right="0.7" top="0.86956521739130432" bottom="0.61458333333333337" header="0.3" footer="0.3"/>
  <pageSetup scale="94" orientation="portrait" r:id="rId1"/>
  <headerFooter>
    <oddHeader>&amp;R&amp;7Informe de la Operación Mensual - Julio 2018
INFSGI-MES-07-2018
14/08/2018
Versión: 01</oddHeader>
    <oddFooter>&amp;L&amp;7COES SINAC, 2018
&amp;C12&amp;R&amp;7Dirección Ejecutiva
Sub Dirección de Gestión de Información</oddFooter>
  </headerFooter>
  <rowBreaks count="1" manualBreakCount="1">
    <brk id="62" max="8"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5641-C442-4E50-88E6-5F8E1AE35713}">
  <sheetPr>
    <tabColor theme="4"/>
  </sheetPr>
  <dimension ref="A1:AF139"/>
  <sheetViews>
    <sheetView showGridLines="0" view="pageBreakPreview" topLeftCell="A44" zoomScale="130" zoomScaleNormal="100" zoomScaleSheetLayoutView="130" zoomScalePageLayoutView="130" workbookViewId="0">
      <selection activeCell="L59" sqref="L59"/>
    </sheetView>
  </sheetViews>
  <sheetFormatPr baseColWidth="10" defaultColWidth="9.28515625" defaultRowHeight="10.199999999999999"/>
  <cols>
    <col min="10" max="11" width="9.28515625" customWidth="1"/>
    <col min="13" max="25" width="9.28515625" style="739"/>
    <col min="26" max="26" width="9.28515625" style="709"/>
    <col min="27" max="30" width="9.28515625" style="488"/>
    <col min="31" max="32" width="9.28515625" style="460"/>
  </cols>
  <sheetData>
    <row r="1" spans="1:25" ht="11.25" customHeight="1"/>
    <row r="2" spans="1:25" ht="11.25" customHeight="1">
      <c r="A2" s="489"/>
      <c r="B2" s="490"/>
      <c r="C2" s="490"/>
      <c r="D2" s="490"/>
      <c r="E2" s="490"/>
      <c r="F2" s="490"/>
      <c r="G2" s="205"/>
      <c r="H2" s="205"/>
      <c r="I2" s="132"/>
    </row>
    <row r="3" spans="1:25" ht="11.25" customHeight="1">
      <c r="A3" s="132"/>
      <c r="B3" s="132"/>
      <c r="C3" s="132"/>
      <c r="D3" s="132"/>
      <c r="E3" s="132"/>
      <c r="F3" s="132"/>
      <c r="G3" s="138"/>
      <c r="H3" s="138"/>
      <c r="I3" s="138"/>
      <c r="J3" s="153"/>
      <c r="K3" s="153"/>
      <c r="L3" s="153"/>
      <c r="O3" s="739" t="s">
        <v>301</v>
      </c>
      <c r="P3" s="740"/>
      <c r="Q3" s="739" t="s">
        <v>305</v>
      </c>
      <c r="R3" s="739" t="s">
        <v>306</v>
      </c>
      <c r="S3" s="739" t="s">
        <v>307</v>
      </c>
      <c r="T3" s="739" t="s">
        <v>308</v>
      </c>
      <c r="U3" s="739" t="s">
        <v>309</v>
      </c>
      <c r="V3" s="739" t="s">
        <v>310</v>
      </c>
      <c r="W3" s="739" t="s">
        <v>311</v>
      </c>
      <c r="X3" s="739" t="s">
        <v>312</v>
      </c>
      <c r="Y3" s="739" t="s">
        <v>313</v>
      </c>
    </row>
    <row r="4" spans="1:25" ht="11.25" customHeight="1">
      <c r="A4" s="132"/>
      <c r="B4" s="132"/>
      <c r="C4" s="132"/>
      <c r="D4" s="132"/>
      <c r="E4" s="132"/>
      <c r="F4" s="132"/>
      <c r="G4" s="138"/>
      <c r="H4" s="138"/>
      <c r="I4" s="138"/>
      <c r="J4" s="153"/>
      <c r="K4" s="153"/>
      <c r="L4" s="153"/>
      <c r="N4" s="739">
        <v>2016</v>
      </c>
      <c r="O4" s="739">
        <v>1</v>
      </c>
      <c r="P4" s="740">
        <v>1</v>
      </c>
      <c r="Q4" s="741">
        <v>12.12</v>
      </c>
      <c r="R4" s="741">
        <v>8.33</v>
      </c>
      <c r="S4" s="741">
        <v>165.03200000000001</v>
      </c>
      <c r="T4" s="741">
        <v>95.83</v>
      </c>
      <c r="U4" s="741">
        <v>18.5</v>
      </c>
      <c r="V4" s="741">
        <v>10.01</v>
      </c>
      <c r="W4" s="741">
        <v>1.23</v>
      </c>
      <c r="X4" s="741">
        <v>109.19</v>
      </c>
      <c r="Y4" s="741">
        <v>37.270000000000003</v>
      </c>
    </row>
    <row r="5" spans="1:25" ht="11.25" customHeight="1">
      <c r="A5" s="213"/>
      <c r="B5" s="213"/>
      <c r="C5" s="213"/>
      <c r="D5" s="213"/>
      <c r="E5" s="213"/>
      <c r="F5" s="213"/>
      <c r="G5" s="213"/>
      <c r="H5" s="213"/>
      <c r="I5" s="213"/>
      <c r="J5" s="24"/>
      <c r="K5" s="24"/>
      <c r="L5" s="131"/>
      <c r="P5" s="740">
        <v>2</v>
      </c>
      <c r="Q5" s="741">
        <v>10.45</v>
      </c>
      <c r="R5" s="741">
        <v>5.38</v>
      </c>
      <c r="S5" s="741">
        <v>137.04</v>
      </c>
      <c r="T5" s="741">
        <v>78.260000000000005</v>
      </c>
      <c r="U5" s="741">
        <v>13.1</v>
      </c>
      <c r="V5" s="741">
        <v>10</v>
      </c>
      <c r="W5" s="741">
        <v>1.18</v>
      </c>
      <c r="X5" s="741">
        <v>177.91</v>
      </c>
      <c r="Y5" s="741">
        <v>53.34</v>
      </c>
    </row>
    <row r="6" spans="1:25" ht="11.25" customHeight="1">
      <c r="A6" s="132"/>
      <c r="B6" s="491"/>
      <c r="C6" s="492"/>
      <c r="D6" s="493"/>
      <c r="E6" s="493"/>
      <c r="F6" s="217"/>
      <c r="G6" s="218"/>
      <c r="H6" s="218"/>
      <c r="I6" s="219"/>
      <c r="J6" s="24"/>
      <c r="K6" s="24"/>
      <c r="L6" s="19"/>
      <c r="P6" s="740">
        <v>3</v>
      </c>
      <c r="Q6" s="741">
        <v>10.396000000000001</v>
      </c>
      <c r="R6" s="741">
        <v>5.29</v>
      </c>
      <c r="S6" s="741">
        <v>102.45</v>
      </c>
      <c r="T6" s="741">
        <v>101.264</v>
      </c>
      <c r="U6" s="741">
        <v>15.26</v>
      </c>
      <c r="V6" s="741">
        <v>10.01</v>
      </c>
      <c r="W6" s="741">
        <v>1.2529999999999999</v>
      </c>
      <c r="X6" s="741">
        <v>248.28</v>
      </c>
      <c r="Y6" s="741">
        <v>76.69</v>
      </c>
    </row>
    <row r="7" spans="1:25" ht="11.25" customHeight="1">
      <c r="A7" s="132"/>
      <c r="B7" s="220"/>
      <c r="C7" s="220"/>
      <c r="D7" s="221"/>
      <c r="E7" s="221"/>
      <c r="F7" s="217"/>
      <c r="G7" s="218"/>
      <c r="H7" s="218"/>
      <c r="I7" s="219"/>
      <c r="J7" s="25"/>
      <c r="K7" s="25"/>
      <c r="L7" s="22"/>
      <c r="O7" s="739">
        <v>4</v>
      </c>
      <c r="P7" s="740">
        <v>4</v>
      </c>
      <c r="Q7" s="741">
        <v>10.32</v>
      </c>
      <c r="R7" s="741">
        <v>6.0640000000000001</v>
      </c>
      <c r="S7" s="741">
        <v>93.71</v>
      </c>
      <c r="T7" s="741">
        <v>79.73</v>
      </c>
      <c r="U7" s="741">
        <v>12.66</v>
      </c>
      <c r="V7" s="741">
        <v>10.01</v>
      </c>
      <c r="W7" s="741">
        <v>1.22</v>
      </c>
      <c r="X7" s="741">
        <v>142.55000000000001</v>
      </c>
      <c r="Y7" s="741">
        <v>40.92</v>
      </c>
    </row>
    <row r="8" spans="1:25" ht="11.25" customHeight="1">
      <c r="A8" s="132"/>
      <c r="B8" s="222"/>
      <c r="C8" s="132"/>
      <c r="D8" s="168"/>
      <c r="E8" s="168"/>
      <c r="F8" s="217"/>
      <c r="G8" s="218"/>
      <c r="H8" s="218"/>
      <c r="I8" s="219"/>
      <c r="J8" s="23"/>
      <c r="K8" s="23"/>
      <c r="L8" s="24"/>
      <c r="P8" s="740">
        <v>5</v>
      </c>
      <c r="Q8" s="741">
        <v>14.34</v>
      </c>
      <c r="R8" s="741">
        <v>9.59</v>
      </c>
      <c r="S8" s="741">
        <v>142.55000000000001</v>
      </c>
      <c r="T8" s="741">
        <v>128.66</v>
      </c>
      <c r="U8" s="741">
        <v>24.24</v>
      </c>
      <c r="V8" s="741">
        <v>10.01</v>
      </c>
      <c r="W8" s="741">
        <v>1.17</v>
      </c>
      <c r="X8" s="741">
        <v>251.59399999999999</v>
      </c>
      <c r="Y8" s="741">
        <v>58.97</v>
      </c>
    </row>
    <row r="9" spans="1:25" ht="11.25" customHeight="1">
      <c r="A9" s="132"/>
      <c r="B9" s="222"/>
      <c r="C9" s="132"/>
      <c r="D9" s="168"/>
      <c r="E9" s="168"/>
      <c r="F9" s="217"/>
      <c r="G9" s="218"/>
      <c r="H9" s="218"/>
      <c r="I9" s="219"/>
      <c r="J9" s="25"/>
      <c r="K9" s="26"/>
      <c r="L9" s="22"/>
      <c r="P9" s="740">
        <v>6</v>
      </c>
      <c r="Q9" s="741">
        <v>14.98</v>
      </c>
      <c r="R9" s="741">
        <v>12.82</v>
      </c>
      <c r="S9" s="741">
        <v>223.15</v>
      </c>
      <c r="T9" s="741">
        <v>174.87</v>
      </c>
      <c r="U9" s="741">
        <v>35.18</v>
      </c>
      <c r="V9" s="741">
        <v>9.01</v>
      </c>
      <c r="W9" s="741">
        <v>0.82</v>
      </c>
      <c r="X9" s="741">
        <v>388.05428210000002</v>
      </c>
      <c r="Y9" s="741">
        <v>80.41</v>
      </c>
    </row>
    <row r="10" spans="1:25" ht="11.25" customHeight="1">
      <c r="A10" s="132"/>
      <c r="B10" s="222"/>
      <c r="C10" s="132"/>
      <c r="D10" s="168"/>
      <c r="E10" s="168"/>
      <c r="F10" s="217"/>
      <c r="G10" s="218"/>
      <c r="H10" s="218"/>
      <c r="I10" s="219"/>
      <c r="J10" s="25"/>
      <c r="K10" s="25"/>
      <c r="L10" s="22"/>
      <c r="P10" s="740">
        <v>7</v>
      </c>
      <c r="Q10" s="741">
        <v>15.86</v>
      </c>
      <c r="R10" s="741">
        <v>12.43</v>
      </c>
      <c r="S10" s="741">
        <v>223.86</v>
      </c>
      <c r="T10" s="741">
        <v>126.56</v>
      </c>
      <c r="U10" s="741">
        <v>25.04</v>
      </c>
      <c r="V10" s="741">
        <v>9.01</v>
      </c>
      <c r="W10" s="741">
        <v>1.59</v>
      </c>
      <c r="X10" s="741">
        <v>283.21000240000001</v>
      </c>
      <c r="Y10" s="741">
        <v>53.36</v>
      </c>
    </row>
    <row r="11" spans="1:25" ht="11.25" customHeight="1">
      <c r="A11" s="132"/>
      <c r="B11" s="168"/>
      <c r="C11" s="132"/>
      <c r="D11" s="168"/>
      <c r="E11" s="168"/>
      <c r="F11" s="217"/>
      <c r="G11" s="218"/>
      <c r="H11" s="218"/>
      <c r="I11" s="219"/>
      <c r="J11" s="25"/>
      <c r="K11" s="25"/>
      <c r="L11" s="22"/>
      <c r="O11" s="739">
        <v>8</v>
      </c>
      <c r="P11" s="740">
        <v>8</v>
      </c>
      <c r="Q11" s="741">
        <v>22.12</v>
      </c>
      <c r="R11" s="741">
        <v>19.3</v>
      </c>
      <c r="S11" s="741">
        <v>297.45999999999998</v>
      </c>
      <c r="T11" s="741">
        <v>188.83</v>
      </c>
      <c r="U11" s="741">
        <v>26.72</v>
      </c>
      <c r="V11" s="741">
        <v>18.309999999999999</v>
      </c>
      <c r="W11" s="741">
        <v>14.62</v>
      </c>
      <c r="X11" s="741">
        <v>414.29357470000002</v>
      </c>
      <c r="Y11" s="741">
        <v>65.55</v>
      </c>
    </row>
    <row r="12" spans="1:25" ht="11.25" customHeight="1">
      <c r="A12" s="132"/>
      <c r="B12" s="168"/>
      <c r="C12" s="132"/>
      <c r="D12" s="168"/>
      <c r="E12" s="168"/>
      <c r="F12" s="217"/>
      <c r="G12" s="218"/>
      <c r="H12" s="218"/>
      <c r="I12" s="219"/>
      <c r="J12" s="25"/>
      <c r="K12" s="25"/>
      <c r="L12" s="22"/>
      <c r="P12" s="740">
        <v>9</v>
      </c>
      <c r="Q12" s="741">
        <v>31.986428669999999</v>
      </c>
      <c r="R12" s="741">
        <v>19.514333090000001</v>
      </c>
      <c r="S12" s="741">
        <v>326.48699649999998</v>
      </c>
      <c r="T12" s="741">
        <v>170.33500290000001</v>
      </c>
      <c r="U12" s="741">
        <v>30.940000529999999</v>
      </c>
      <c r="V12" s="741">
        <v>16.54985727582655</v>
      </c>
      <c r="W12" s="741">
        <v>7.4597144130000004</v>
      </c>
      <c r="X12" s="741">
        <v>382.60643219999997</v>
      </c>
      <c r="Y12" s="741">
        <v>72.96314185</v>
      </c>
    </row>
    <row r="13" spans="1:25" ht="11.25" customHeight="1">
      <c r="A13" s="132"/>
      <c r="B13" s="168"/>
      <c r="C13" s="132"/>
      <c r="D13" s="168"/>
      <c r="E13" s="168"/>
      <c r="F13" s="217"/>
      <c r="G13" s="218"/>
      <c r="H13" s="218"/>
      <c r="I13" s="219"/>
      <c r="J13" s="23"/>
      <c r="K13" s="23"/>
      <c r="L13" s="24"/>
      <c r="P13" s="740">
        <v>10</v>
      </c>
      <c r="Q13" s="741">
        <v>21.817856924874398</v>
      </c>
      <c r="R13" s="741">
        <v>20.1870002746582</v>
      </c>
      <c r="S13" s="741">
        <v>281.91442869999997</v>
      </c>
      <c r="T13" s="741">
        <v>164.05856977190246</v>
      </c>
      <c r="U13" s="741">
        <v>30.751428604125927</v>
      </c>
      <c r="V13" s="741">
        <v>9.5257144655499921</v>
      </c>
      <c r="W13" s="741">
        <v>2.1815714495522598</v>
      </c>
      <c r="X13" s="741">
        <v>245.78571646554084</v>
      </c>
      <c r="Y13" s="741">
        <v>47.002858298165428</v>
      </c>
    </row>
    <row r="14" spans="1:25" ht="11.25" customHeight="1">
      <c r="A14" s="132"/>
      <c r="B14" s="168"/>
      <c r="C14" s="132"/>
      <c r="D14" s="168"/>
      <c r="E14" s="168"/>
      <c r="F14" s="217"/>
      <c r="G14" s="218"/>
      <c r="H14" s="218"/>
      <c r="I14" s="219"/>
      <c r="J14" s="25"/>
      <c r="K14" s="26"/>
      <c r="L14" s="22"/>
      <c r="P14" s="740">
        <v>11</v>
      </c>
      <c r="Q14" s="741">
        <v>21.645000185285259</v>
      </c>
      <c r="R14" s="741">
        <v>18.452999932425314</v>
      </c>
      <c r="S14" s="741">
        <v>302.97000000000003</v>
      </c>
      <c r="T14" s="741">
        <v>146.11571393694155</v>
      </c>
      <c r="U14" s="741">
        <v>26.230000359671411</v>
      </c>
      <c r="V14" s="741">
        <v>10.001428604125973</v>
      </c>
      <c r="W14" s="741">
        <v>1.7041428429739771</v>
      </c>
      <c r="X14" s="741">
        <v>239.62</v>
      </c>
      <c r="Y14" s="741">
        <v>42.29</v>
      </c>
    </row>
    <row r="15" spans="1:25" ht="11.25" customHeight="1">
      <c r="A15" s="132"/>
      <c r="B15" s="168"/>
      <c r="C15" s="132"/>
      <c r="D15" s="168"/>
      <c r="E15" s="168"/>
      <c r="F15" s="217"/>
      <c r="G15" s="218"/>
      <c r="H15" s="218"/>
      <c r="I15" s="219"/>
      <c r="J15" s="25"/>
      <c r="K15" s="26"/>
      <c r="L15" s="22"/>
      <c r="O15" s="739">
        <v>12</v>
      </c>
      <c r="P15" s="740">
        <v>12</v>
      </c>
      <c r="Q15" s="741">
        <v>15.247000013078916</v>
      </c>
      <c r="R15" s="741">
        <v>12.7100000381469</v>
      </c>
      <c r="S15" s="741">
        <v>179.33771623883899</v>
      </c>
      <c r="T15" s="741">
        <v>114.18428584507485</v>
      </c>
      <c r="U15" s="741">
        <v>18.61999988555905</v>
      </c>
      <c r="V15" s="741">
        <v>9.9999999999999964</v>
      </c>
      <c r="W15" s="741">
        <v>1.2444285835538544</v>
      </c>
      <c r="X15" s="741">
        <v>150.27357046944684</v>
      </c>
      <c r="Y15" s="741">
        <v>24.915714263915959</v>
      </c>
    </row>
    <row r="16" spans="1:25" ht="11.25" customHeight="1">
      <c r="A16" s="132"/>
      <c r="B16" s="168"/>
      <c r="C16" s="132"/>
      <c r="D16" s="168"/>
      <c r="E16" s="168"/>
      <c r="F16" s="217"/>
      <c r="G16" s="218"/>
      <c r="H16" s="218"/>
      <c r="I16" s="219"/>
      <c r="J16" s="25"/>
      <c r="K16" s="26"/>
      <c r="L16" s="22"/>
      <c r="P16" s="740">
        <v>13</v>
      </c>
      <c r="Q16" s="741">
        <v>17.322999954223601</v>
      </c>
      <c r="R16" s="741">
        <v>15.171999931335399</v>
      </c>
      <c r="S16" s="741">
        <v>130.67500305175699</v>
      </c>
      <c r="T16" s="741">
        <v>89.040000915527301</v>
      </c>
      <c r="U16" s="741">
        <v>15.310000419616699</v>
      </c>
      <c r="V16" s="741">
        <v>10</v>
      </c>
      <c r="W16" s="741">
        <v>1.0199999809265099</v>
      </c>
      <c r="X16" s="741">
        <v>116.33999633789</v>
      </c>
      <c r="Y16" s="741">
        <v>24.159999847412099</v>
      </c>
    </row>
    <row r="17" spans="1:25" ht="11.25" customHeight="1">
      <c r="A17" s="132"/>
      <c r="B17" s="168"/>
      <c r="C17" s="132"/>
      <c r="D17" s="168"/>
      <c r="E17" s="168"/>
      <c r="F17" s="217"/>
      <c r="G17" s="218"/>
      <c r="H17" s="218"/>
      <c r="I17" s="219"/>
      <c r="J17" s="25"/>
      <c r="K17" s="26"/>
      <c r="L17" s="22"/>
      <c r="P17" s="740">
        <v>14</v>
      </c>
      <c r="Q17" s="741">
        <v>14.828142711094401</v>
      </c>
      <c r="R17" s="741">
        <v>13.217000007629398</v>
      </c>
      <c r="S17" s="741">
        <v>121.81457192557171</v>
      </c>
      <c r="T17" s="741">
        <v>78.037142072405103</v>
      </c>
      <c r="U17" s="741">
        <v>14.082857131957956</v>
      </c>
      <c r="V17" s="741">
        <v>10.001428604125973</v>
      </c>
      <c r="W17" s="741">
        <v>1.3691428899764975</v>
      </c>
      <c r="X17" s="741">
        <v>126.18428475516127</v>
      </c>
      <c r="Y17" s="741">
        <v>22.646999904087572</v>
      </c>
    </row>
    <row r="18" spans="1:25" ht="11.25" customHeight="1">
      <c r="A18" s="837" t="s">
        <v>590</v>
      </c>
      <c r="B18" s="837"/>
      <c r="C18" s="837"/>
      <c r="D18" s="837"/>
      <c r="E18" s="837"/>
      <c r="F18" s="837"/>
      <c r="G18" s="837"/>
      <c r="H18" s="837"/>
      <c r="I18" s="837"/>
      <c r="J18" s="837"/>
      <c r="K18" s="837"/>
      <c r="L18" s="837"/>
      <c r="P18" s="740">
        <v>15</v>
      </c>
      <c r="Q18" s="741">
        <v>15.017142977033298</v>
      </c>
      <c r="R18" s="741">
        <v>11.291000366210898</v>
      </c>
      <c r="S18" s="741">
        <v>184.69442967006074</v>
      </c>
      <c r="T18" s="741">
        <v>74.048570905412902</v>
      </c>
      <c r="U18" s="741">
        <v>17.312857082911869</v>
      </c>
      <c r="V18" s="741">
        <v>10.005714416503881</v>
      </c>
      <c r="W18" s="741">
        <v>1.6558571543012313</v>
      </c>
      <c r="X18" s="741">
        <v>140.54571315220355</v>
      </c>
      <c r="Y18" s="741">
        <v>22.742571422031897</v>
      </c>
    </row>
    <row r="19" spans="1:25" ht="11.25" customHeight="1">
      <c r="A19" s="25"/>
      <c r="B19" s="168"/>
      <c r="C19" s="132"/>
      <c r="D19" s="168"/>
      <c r="E19" s="168"/>
      <c r="F19" s="217"/>
      <c r="G19" s="218"/>
      <c r="H19" s="218"/>
      <c r="I19" s="219"/>
      <c r="J19" s="25"/>
      <c r="K19" s="26"/>
      <c r="L19" s="22"/>
      <c r="O19" s="739">
        <v>16</v>
      </c>
      <c r="P19" s="740">
        <v>16</v>
      </c>
      <c r="Q19" s="741">
        <v>13.98</v>
      </c>
      <c r="R19" s="741">
        <v>11.63</v>
      </c>
      <c r="S19" s="741">
        <v>164.52</v>
      </c>
      <c r="T19" s="741">
        <v>81.069999999999993</v>
      </c>
      <c r="U19" s="741">
        <v>21.07</v>
      </c>
      <c r="V19" s="741">
        <v>10.01</v>
      </c>
      <c r="W19" s="741">
        <v>1.27</v>
      </c>
      <c r="X19" s="741">
        <v>141.29</v>
      </c>
      <c r="Y19" s="741">
        <v>23.21</v>
      </c>
    </row>
    <row r="20" spans="1:25" ht="11.25" customHeight="1">
      <c r="A20" s="132"/>
      <c r="B20" s="168"/>
      <c r="C20" s="132"/>
      <c r="D20" s="168"/>
      <c r="E20" s="168"/>
      <c r="F20" s="217"/>
      <c r="G20" s="218"/>
      <c r="H20" s="218"/>
      <c r="I20" s="219"/>
      <c r="J20" s="25"/>
      <c r="K20" s="26"/>
      <c r="L20" s="22"/>
      <c r="P20" s="740">
        <v>17</v>
      </c>
      <c r="Q20" s="741">
        <v>12.944285669999999</v>
      </c>
      <c r="R20" s="741">
        <v>10.010000228881799</v>
      </c>
      <c r="S20" s="741">
        <v>152.88357325962556</v>
      </c>
      <c r="T20" s="741">
        <v>64.311428070000005</v>
      </c>
      <c r="U20" s="741">
        <v>16.638571469999999</v>
      </c>
      <c r="V20" s="741">
        <v>10.004285812377887</v>
      </c>
      <c r="W20" s="741">
        <v>1.7342857122421229</v>
      </c>
      <c r="X20" s="741">
        <v>105.73500061035119</v>
      </c>
      <c r="Y20" s="741">
        <v>19.724285806928286</v>
      </c>
    </row>
    <row r="21" spans="1:25" ht="11.25" customHeight="1">
      <c r="A21" s="132"/>
      <c r="B21" s="168"/>
      <c r="C21" s="132"/>
      <c r="D21" s="168"/>
      <c r="E21" s="168"/>
      <c r="F21" s="217"/>
      <c r="G21" s="218"/>
      <c r="H21" s="218"/>
      <c r="I21" s="219"/>
      <c r="J21" s="25"/>
      <c r="K21" s="29"/>
      <c r="L21" s="30"/>
      <c r="P21" s="740">
        <v>18</v>
      </c>
      <c r="Q21" s="741">
        <v>10.727142742701899</v>
      </c>
      <c r="R21" s="741">
        <v>6.3112858363560251</v>
      </c>
      <c r="S21" s="741">
        <v>98.225285121372636</v>
      </c>
      <c r="T21" s="741">
        <v>46.242857796805197</v>
      </c>
      <c r="U21" s="741">
        <v>10.637142998831566</v>
      </c>
      <c r="V21" s="741">
        <v>10.007143020629858</v>
      </c>
      <c r="W21" s="741">
        <v>1.4345714194433998</v>
      </c>
      <c r="X21" s="741">
        <v>72.620000566754968</v>
      </c>
      <c r="Y21" s="741">
        <v>14.075714383806471</v>
      </c>
    </row>
    <row r="22" spans="1:25" ht="11.25" customHeight="1">
      <c r="A22" s="137"/>
      <c r="B22" s="168"/>
      <c r="C22" s="132"/>
      <c r="D22" s="168"/>
      <c r="E22" s="168"/>
      <c r="F22" s="217"/>
      <c r="G22" s="218"/>
      <c r="H22" s="218"/>
      <c r="I22" s="219"/>
      <c r="J22" s="25"/>
      <c r="K22" s="26"/>
      <c r="L22" s="22"/>
      <c r="P22" s="740">
        <v>19</v>
      </c>
      <c r="Q22" s="741">
        <v>9.4342857088361427</v>
      </c>
      <c r="R22" s="741">
        <v>7.4910001754760689</v>
      </c>
      <c r="S22" s="741">
        <v>86.615142822265582</v>
      </c>
      <c r="T22" s="741">
        <v>41.954286302838973</v>
      </c>
      <c r="U22" s="741">
        <v>9.4342857088361427</v>
      </c>
      <c r="V22" s="741">
        <v>10.004285812377914</v>
      </c>
      <c r="W22" s="741">
        <v>1.3051428794860784</v>
      </c>
      <c r="X22" s="741">
        <v>60.497857775006928</v>
      </c>
      <c r="Y22" s="741">
        <v>12.797142846243686</v>
      </c>
    </row>
    <row r="23" spans="1:25" ht="11.25" customHeight="1">
      <c r="A23" s="137"/>
      <c r="B23" s="168"/>
      <c r="C23" s="132"/>
      <c r="D23" s="168"/>
      <c r="E23" s="168"/>
      <c r="F23" s="217"/>
      <c r="G23" s="218"/>
      <c r="H23" s="218"/>
      <c r="I23" s="219"/>
      <c r="J23" s="25"/>
      <c r="K23" s="26"/>
      <c r="L23" s="22"/>
      <c r="O23" s="739">
        <v>20</v>
      </c>
      <c r="P23" s="740">
        <v>20</v>
      </c>
      <c r="Q23" s="741">
        <v>9.1999999999999993</v>
      </c>
      <c r="R23" s="741">
        <v>6.8</v>
      </c>
      <c r="S23" s="741">
        <v>78.2</v>
      </c>
      <c r="T23" s="741">
        <v>39.6</v>
      </c>
      <c r="U23" s="741">
        <v>8.6</v>
      </c>
      <c r="V23" s="741">
        <v>10</v>
      </c>
      <c r="W23" s="741">
        <v>1.6</v>
      </c>
      <c r="X23" s="741">
        <v>56.6</v>
      </c>
      <c r="Y23" s="741">
        <v>12.9</v>
      </c>
    </row>
    <row r="24" spans="1:25" ht="11.25" customHeight="1">
      <c r="A24" s="137"/>
      <c r="B24" s="168"/>
      <c r="C24" s="132"/>
      <c r="D24" s="168"/>
      <c r="E24" s="168"/>
      <c r="F24" s="217"/>
      <c r="G24" s="218"/>
      <c r="H24" s="218"/>
      <c r="I24" s="219"/>
      <c r="J24" s="26"/>
      <c r="K24" s="26"/>
      <c r="L24" s="22"/>
      <c r="P24" s="740">
        <v>21</v>
      </c>
      <c r="Q24" s="741">
        <v>9.0128573008945967</v>
      </c>
      <c r="R24" s="741">
        <v>5.4099998474121005</v>
      </c>
      <c r="S24" s="741">
        <v>73.744141714913454</v>
      </c>
      <c r="T24" s="741">
        <v>44.79285812377924</v>
      </c>
      <c r="U24" s="741">
        <v>10.11999988555907</v>
      </c>
      <c r="V24" s="741">
        <v>10.011428560529414</v>
      </c>
      <c r="W24" s="741">
        <v>1.2349999972752113</v>
      </c>
      <c r="X24" s="741">
        <v>52.17071369716097</v>
      </c>
      <c r="Y24" s="741">
        <v>11.968571390424414</v>
      </c>
    </row>
    <row r="25" spans="1:25" ht="11.25" customHeight="1">
      <c r="A25" s="137"/>
      <c r="B25" s="168"/>
      <c r="C25" s="132"/>
      <c r="D25" s="168"/>
      <c r="E25" s="168"/>
      <c r="F25" s="217"/>
      <c r="G25" s="218"/>
      <c r="H25" s="218"/>
      <c r="I25" s="219"/>
      <c r="J25" s="25"/>
      <c r="K25" s="29"/>
      <c r="L25" s="30"/>
      <c r="P25" s="740">
        <v>22</v>
      </c>
      <c r="Q25" s="741">
        <v>7.95</v>
      </c>
      <c r="R25" s="741">
        <v>3.82</v>
      </c>
      <c r="S25" s="741">
        <v>66.739999999999995</v>
      </c>
      <c r="T25" s="741">
        <v>34.01</v>
      </c>
      <c r="U25" s="741">
        <v>8.15</v>
      </c>
      <c r="V25" s="741">
        <v>10.02</v>
      </c>
      <c r="W25" s="741">
        <v>1.52</v>
      </c>
      <c r="X25" s="741">
        <v>46.88</v>
      </c>
      <c r="Y25" s="741">
        <v>9.89</v>
      </c>
    </row>
    <row r="26" spans="1:25" ht="11.25" customHeight="1">
      <c r="A26" s="137"/>
      <c r="B26" s="168"/>
      <c r="C26" s="132"/>
      <c r="D26" s="168"/>
      <c r="E26" s="168"/>
      <c r="F26" s="138"/>
      <c r="G26" s="138"/>
      <c r="H26" s="138"/>
      <c r="I26" s="138"/>
      <c r="J26" s="23"/>
      <c r="K26" s="26"/>
      <c r="L26" s="22"/>
      <c r="P26" s="740">
        <v>23</v>
      </c>
      <c r="Q26" s="741">
        <v>7.6</v>
      </c>
      <c r="R26" s="741">
        <v>3.22</v>
      </c>
      <c r="S26" s="741">
        <v>59.4</v>
      </c>
      <c r="T26" s="741">
        <v>28.71</v>
      </c>
      <c r="U26" s="741">
        <v>7.74</v>
      </c>
      <c r="V26" s="741">
        <v>10</v>
      </c>
      <c r="W26" s="741">
        <v>1.55</v>
      </c>
      <c r="X26" s="741">
        <v>43.39</v>
      </c>
      <c r="Y26" s="741">
        <v>8.57</v>
      </c>
    </row>
    <row r="27" spans="1:25" ht="11.25" customHeight="1">
      <c r="A27" s="137"/>
      <c r="B27" s="168"/>
      <c r="C27" s="132"/>
      <c r="D27" s="168"/>
      <c r="E27" s="168"/>
      <c r="F27" s="138"/>
      <c r="G27" s="138"/>
      <c r="H27" s="138"/>
      <c r="I27" s="138"/>
      <c r="J27" s="23"/>
      <c r="K27" s="26"/>
      <c r="L27" s="22"/>
      <c r="O27" s="739">
        <v>24</v>
      </c>
      <c r="P27" s="740">
        <v>24</v>
      </c>
      <c r="Q27" s="741">
        <v>9.57</v>
      </c>
      <c r="R27" s="741">
        <v>3.42</v>
      </c>
      <c r="S27" s="741">
        <v>54.3</v>
      </c>
      <c r="T27" s="741">
        <v>30.83</v>
      </c>
      <c r="U27" s="741">
        <v>7.53</v>
      </c>
      <c r="V27" s="741">
        <v>10</v>
      </c>
      <c r="W27" s="741">
        <v>1.6</v>
      </c>
      <c r="X27" s="741">
        <v>40.28</v>
      </c>
      <c r="Y27" s="741">
        <v>9.6</v>
      </c>
    </row>
    <row r="28" spans="1:25" ht="11.25" customHeight="1">
      <c r="A28" s="136"/>
      <c r="B28" s="138"/>
      <c r="C28" s="138"/>
      <c r="D28" s="138"/>
      <c r="E28" s="138"/>
      <c r="F28" s="138"/>
      <c r="G28" s="138"/>
      <c r="H28" s="138"/>
      <c r="I28" s="138"/>
      <c r="J28" s="25"/>
      <c r="K28" s="26"/>
      <c r="L28" s="22"/>
      <c r="P28" s="740">
        <v>25</v>
      </c>
      <c r="Q28" s="741">
        <v>9.0548571179999993</v>
      </c>
      <c r="R28" s="741">
        <v>3.2130000590000001</v>
      </c>
      <c r="S28" s="741">
        <v>56.674428669999998</v>
      </c>
      <c r="T28" s="741">
        <v>25.690000260000001</v>
      </c>
      <c r="U28" s="741">
        <v>6.9342856409999998</v>
      </c>
      <c r="V28" s="741">
        <v>10.00571442</v>
      </c>
      <c r="W28" s="741">
        <v>1.254714302</v>
      </c>
      <c r="X28" s="741">
        <v>37.560714179999998</v>
      </c>
      <c r="Y28" s="741">
        <v>7.91285726</v>
      </c>
    </row>
    <row r="29" spans="1:25" ht="11.25" customHeight="1">
      <c r="A29" s="136"/>
      <c r="B29" s="138"/>
      <c r="C29" s="138"/>
      <c r="D29" s="138"/>
      <c r="E29" s="138"/>
      <c r="F29" s="138"/>
      <c r="G29" s="138"/>
      <c r="H29" s="138"/>
      <c r="I29" s="138"/>
      <c r="J29" s="25"/>
      <c r="K29" s="26"/>
      <c r="L29" s="22"/>
      <c r="P29" s="740">
        <v>26</v>
      </c>
      <c r="Q29" s="741">
        <v>8.8612857550000008</v>
      </c>
      <c r="R29" s="741">
        <v>3.5</v>
      </c>
      <c r="S29" s="741">
        <v>68.087428501674069</v>
      </c>
      <c r="T29" s="741">
        <v>30.317143300000001</v>
      </c>
      <c r="U29" s="741">
        <v>8.8971428190000008</v>
      </c>
      <c r="V29" s="741">
        <v>10</v>
      </c>
      <c r="W29" s="741">
        <v>1.4324285809999999</v>
      </c>
      <c r="X29" s="741">
        <v>37.759999409999999</v>
      </c>
      <c r="Y29" s="741">
        <v>8.911428656</v>
      </c>
    </row>
    <row r="30" spans="1:25" ht="11.25" customHeight="1">
      <c r="A30" s="136"/>
      <c r="B30" s="138"/>
      <c r="C30" s="138"/>
      <c r="D30" s="138"/>
      <c r="E30" s="138"/>
      <c r="F30" s="138"/>
      <c r="G30" s="138"/>
      <c r="H30" s="138"/>
      <c r="I30" s="138"/>
      <c r="J30" s="25"/>
      <c r="K30" s="26"/>
      <c r="L30" s="22"/>
      <c r="P30" s="740">
        <v>27</v>
      </c>
      <c r="Q30" s="741">
        <v>8.3185714990000008</v>
      </c>
      <c r="R30" s="741">
        <v>4.0900001530000001</v>
      </c>
      <c r="S30" s="741">
        <v>60.110428400000004</v>
      </c>
      <c r="T30" s="741">
        <v>28.581429350000001</v>
      </c>
      <c r="U30" s="741">
        <v>7.9442856649999998</v>
      </c>
      <c r="V30" s="741">
        <v>10.001428600000001</v>
      </c>
      <c r="W30" s="741">
        <v>1.455999987</v>
      </c>
      <c r="X30" s="741">
        <v>35.967143470000003</v>
      </c>
      <c r="Y30" s="741">
        <v>7.2057142259999996</v>
      </c>
    </row>
    <row r="31" spans="1:25" ht="11.25" customHeight="1">
      <c r="A31" s="136"/>
      <c r="B31" s="138"/>
      <c r="C31" s="138"/>
      <c r="D31" s="138"/>
      <c r="E31" s="138"/>
      <c r="F31" s="138"/>
      <c r="G31" s="138"/>
      <c r="H31" s="138"/>
      <c r="I31" s="138"/>
      <c r="J31" s="25"/>
      <c r="K31" s="26"/>
      <c r="L31" s="22"/>
      <c r="O31" s="739">
        <v>28</v>
      </c>
      <c r="P31" s="740">
        <v>28</v>
      </c>
      <c r="Q31" s="741">
        <v>7.789714268</v>
      </c>
      <c r="R31" s="741">
        <v>3.119999886</v>
      </c>
      <c r="S31" s="741">
        <v>60.986856189999997</v>
      </c>
      <c r="T31" s="741">
        <v>27.099999836512943</v>
      </c>
      <c r="U31" s="741">
        <v>7.4514284819999999</v>
      </c>
      <c r="V31" s="741">
        <v>10.0128573</v>
      </c>
      <c r="W31" s="741">
        <v>1.5508571609999999</v>
      </c>
      <c r="X31" s="741">
        <v>47.66357095</v>
      </c>
      <c r="Y31" s="741">
        <v>9.9999998639999994</v>
      </c>
    </row>
    <row r="32" spans="1:25" ht="11.25" customHeight="1">
      <c r="A32" s="136"/>
      <c r="B32" s="138"/>
      <c r="C32" s="138"/>
      <c r="D32" s="138"/>
      <c r="E32" s="138"/>
      <c r="F32" s="138"/>
      <c r="G32" s="138"/>
      <c r="H32" s="138"/>
      <c r="I32" s="138"/>
      <c r="J32" s="26"/>
      <c r="K32" s="26"/>
      <c r="L32" s="22"/>
      <c r="P32" s="740">
        <v>29</v>
      </c>
      <c r="Q32" s="741">
        <v>7.1615714349999999</v>
      </c>
      <c r="R32" s="741">
        <v>3.4249999519999998</v>
      </c>
      <c r="S32" s="741">
        <v>56.540714260000001</v>
      </c>
      <c r="T32" s="741">
        <v>23.477142610000001</v>
      </c>
      <c r="U32" s="741">
        <v>6.2828570089999998</v>
      </c>
      <c r="V32" s="741">
        <v>10.001428600000001</v>
      </c>
      <c r="W32" s="741">
        <v>2.1035714489999999</v>
      </c>
      <c r="X32" s="741">
        <v>44.25</v>
      </c>
      <c r="Y32" s="741">
        <v>6.7128572460000004</v>
      </c>
    </row>
    <row r="33" spans="1:25" ht="11.25" customHeight="1">
      <c r="A33" s="136"/>
      <c r="B33" s="138"/>
      <c r="C33" s="138"/>
      <c r="D33" s="138"/>
      <c r="E33" s="138"/>
      <c r="F33" s="138"/>
      <c r="G33" s="138"/>
      <c r="H33" s="138"/>
      <c r="I33" s="138"/>
      <c r="J33" s="25"/>
      <c r="K33" s="26"/>
      <c r="L33" s="22"/>
      <c r="P33" s="740">
        <v>30</v>
      </c>
      <c r="Q33" s="741">
        <v>6.6714285440000003</v>
      </c>
      <c r="R33" s="741">
        <v>2.8789999489999998</v>
      </c>
      <c r="S33" s="741">
        <v>65.491856709999993</v>
      </c>
      <c r="T33" s="741">
        <v>21.095714300000001</v>
      </c>
      <c r="U33" s="741">
        <v>5.8057142669999999</v>
      </c>
      <c r="V33" s="741">
        <v>10.01142883</v>
      </c>
      <c r="W33" s="741">
        <v>1.8491428750000001</v>
      </c>
      <c r="X33" s="741">
        <v>42.498571668352326</v>
      </c>
      <c r="Y33" s="741">
        <v>6.0797142300000004</v>
      </c>
    </row>
    <row r="34" spans="1:25" ht="11.25" customHeight="1">
      <c r="A34" s="136"/>
      <c r="B34" s="138"/>
      <c r="C34" s="138"/>
      <c r="D34" s="138"/>
      <c r="E34" s="138"/>
      <c r="F34" s="138"/>
      <c r="G34" s="138"/>
      <c r="H34" s="138"/>
      <c r="I34" s="138"/>
      <c r="J34" s="25"/>
      <c r="K34" s="34"/>
      <c r="L34" s="22"/>
      <c r="P34" s="740">
        <v>31</v>
      </c>
      <c r="Q34" s="741">
        <v>6.2387143543788328</v>
      </c>
      <c r="R34" s="741">
        <v>2.9382856232779297</v>
      </c>
      <c r="S34" s="741">
        <v>65.491856711251344</v>
      </c>
      <c r="T34" s="741">
        <v>20.037142889840243</v>
      </c>
      <c r="U34" s="741">
        <v>5.4814286231994549</v>
      </c>
      <c r="V34" s="741">
        <v>10.011428833007772</v>
      </c>
      <c r="W34" s="741">
        <v>1.8019999946866672</v>
      </c>
      <c r="X34" s="741">
        <v>39.98428617204933</v>
      </c>
      <c r="Y34" s="741">
        <v>4.9059999329703157</v>
      </c>
    </row>
    <row r="35" spans="1:25" ht="11.25" customHeight="1">
      <c r="A35" s="136"/>
      <c r="B35" s="138"/>
      <c r="C35" s="138"/>
      <c r="D35" s="138"/>
      <c r="E35" s="138"/>
      <c r="F35" s="138"/>
      <c r="G35" s="138"/>
      <c r="H35" s="138"/>
      <c r="I35" s="138"/>
      <c r="J35" s="25"/>
      <c r="K35" s="34"/>
      <c r="L35" s="38"/>
      <c r="O35" s="739">
        <v>32</v>
      </c>
      <c r="P35" s="740">
        <v>32</v>
      </c>
      <c r="Q35" s="741">
        <v>6.1697142459999998</v>
      </c>
      <c r="R35" s="741">
        <v>3.2030000689999998</v>
      </c>
      <c r="S35" s="741">
        <v>49.942714418571427</v>
      </c>
      <c r="T35" s="741">
        <v>23.275714059999999</v>
      </c>
      <c r="U35" s="741">
        <v>5.8257142479999997</v>
      </c>
      <c r="V35" s="741">
        <v>10.004285810000001</v>
      </c>
      <c r="W35" s="741">
        <v>1.2214285650000001</v>
      </c>
      <c r="X35" s="741">
        <v>36.654999320000002</v>
      </c>
      <c r="Y35" s="741">
        <v>4.0242800000000001</v>
      </c>
    </row>
    <row r="36" spans="1:25" ht="11.25" customHeight="1">
      <c r="A36" s="136"/>
      <c r="B36" s="138"/>
      <c r="C36" s="138"/>
      <c r="D36" s="138"/>
      <c r="E36" s="138"/>
      <c r="F36" s="138"/>
      <c r="G36" s="138"/>
      <c r="H36" s="138"/>
      <c r="I36" s="138"/>
      <c r="J36" s="25"/>
      <c r="K36" s="29"/>
      <c r="L36" s="22"/>
      <c r="P36" s="740">
        <v>33</v>
      </c>
      <c r="Q36" s="741">
        <v>6.3728570940000004</v>
      </c>
      <c r="R36" s="741">
        <v>2.841857144</v>
      </c>
      <c r="S36" s="741">
        <v>57.183571406773112</v>
      </c>
      <c r="T36" s="741">
        <v>22.619999750000002</v>
      </c>
      <c r="U36" s="741">
        <v>5.5228571210000004</v>
      </c>
      <c r="V36" s="741">
        <v>10</v>
      </c>
      <c r="W36" s="741">
        <v>1.3032857349940685</v>
      </c>
      <c r="X36" s="741">
        <v>35.152857099999999</v>
      </c>
      <c r="Y36" s="741">
        <v>4.354285752</v>
      </c>
    </row>
    <row r="37" spans="1:25" ht="11.25" customHeight="1">
      <c r="A37" s="136"/>
      <c r="B37" s="138"/>
      <c r="C37" s="138"/>
      <c r="D37" s="138"/>
      <c r="E37" s="138"/>
      <c r="F37" s="138"/>
      <c r="G37" s="138"/>
      <c r="H37" s="138"/>
      <c r="I37" s="138"/>
      <c r="J37" s="25"/>
      <c r="K37" s="29"/>
      <c r="L37" s="22"/>
      <c r="P37" s="740">
        <v>34</v>
      </c>
      <c r="Q37" s="741">
        <v>6.1195714130000001</v>
      </c>
      <c r="R37" s="741">
        <v>3.058000088</v>
      </c>
      <c r="S37" s="741">
        <v>49.366142269999997</v>
      </c>
      <c r="T37" s="741">
        <v>25.04757145</v>
      </c>
      <c r="U37" s="741">
        <v>5.8727143149999996</v>
      </c>
      <c r="V37" s="741">
        <v>10.00857162</v>
      </c>
      <c r="W37" s="741">
        <v>1.2842857160000001</v>
      </c>
      <c r="X37" s="741">
        <v>34.115715029999997</v>
      </c>
      <c r="Y37" s="741">
        <v>4.3511429509999999</v>
      </c>
    </row>
    <row r="38" spans="1:25" ht="11.25" customHeight="1">
      <c r="A38" s="136"/>
      <c r="B38" s="138"/>
      <c r="C38" s="138"/>
      <c r="D38" s="138"/>
      <c r="E38" s="138"/>
      <c r="F38" s="138"/>
      <c r="G38" s="138"/>
      <c r="H38" s="138"/>
      <c r="I38" s="138"/>
      <c r="J38" s="25"/>
      <c r="K38" s="29"/>
      <c r="L38" s="22"/>
      <c r="P38" s="740">
        <v>35</v>
      </c>
      <c r="Q38" s="741">
        <v>5.9814286230000002</v>
      </c>
      <c r="R38" s="741">
        <v>1.506999969</v>
      </c>
      <c r="S38" s="741">
        <v>56.934856959999998</v>
      </c>
      <c r="T38" s="741">
        <v>21.374285830000002</v>
      </c>
      <c r="U38" s="741">
        <v>4.9342857090000001</v>
      </c>
      <c r="V38" s="741">
        <v>10.28714289</v>
      </c>
      <c r="W38" s="741">
        <v>1.5979999810000001</v>
      </c>
      <c r="X38" s="741">
        <v>30.92</v>
      </c>
      <c r="Y38" s="741">
        <v>5.3042856629999999</v>
      </c>
    </row>
    <row r="39" spans="1:25" ht="11.25" customHeight="1">
      <c r="O39" s="739">
        <v>36</v>
      </c>
      <c r="P39" s="740">
        <v>36</v>
      </c>
      <c r="Q39" s="741">
        <v>6.03</v>
      </c>
      <c r="R39" s="741">
        <v>2.8</v>
      </c>
      <c r="S39" s="741">
        <v>48.51</v>
      </c>
      <c r="T39" s="741">
        <v>22.661428449999999</v>
      </c>
      <c r="U39" s="741">
        <v>4.9800000000000004</v>
      </c>
      <c r="V39" s="741">
        <v>11.01</v>
      </c>
      <c r="W39" s="741">
        <v>1.63</v>
      </c>
      <c r="X39" s="741">
        <v>30.922143120000001</v>
      </c>
      <c r="Y39" s="741">
        <v>7.46</v>
      </c>
    </row>
    <row r="40" spans="1:25" ht="11.25" customHeight="1">
      <c r="A40" s="837" t="s">
        <v>589</v>
      </c>
      <c r="B40" s="837"/>
      <c r="C40" s="837"/>
      <c r="D40" s="837"/>
      <c r="E40" s="837"/>
      <c r="F40" s="837"/>
      <c r="G40" s="837"/>
      <c r="H40" s="837"/>
      <c r="I40" s="837"/>
      <c r="J40" s="837"/>
      <c r="K40" s="837"/>
      <c r="L40" s="837"/>
      <c r="P40" s="740">
        <v>37</v>
      </c>
      <c r="Q40" s="741">
        <v>6.03</v>
      </c>
      <c r="R40" s="741">
        <v>2.37</v>
      </c>
      <c r="S40" s="741">
        <v>43.99</v>
      </c>
      <c r="T40" s="741">
        <v>19.149999999999999</v>
      </c>
      <c r="U40" s="741">
        <v>5.31</v>
      </c>
      <c r="V40" s="741">
        <v>11</v>
      </c>
      <c r="W40" s="741">
        <v>1.59</v>
      </c>
      <c r="X40" s="741">
        <v>29.33</v>
      </c>
      <c r="Y40" s="741">
        <v>7.79</v>
      </c>
    </row>
    <row r="41" spans="1:25" ht="11.25" customHeight="1">
      <c r="P41" s="740">
        <v>38</v>
      </c>
      <c r="Q41" s="741">
        <v>6.5951428410000004</v>
      </c>
      <c r="R41" s="741">
        <v>3.0060000420000001</v>
      </c>
      <c r="S41" s="741">
        <v>47.220570700000003</v>
      </c>
      <c r="T41" s="741">
        <v>22.304285589999999</v>
      </c>
      <c r="U41" s="741">
        <v>5.581428528</v>
      </c>
      <c r="V41" s="741">
        <v>10.85142858</v>
      </c>
      <c r="W41" s="741">
        <v>1.5402856890000001</v>
      </c>
      <c r="X41" s="741">
        <v>34.179286410000003</v>
      </c>
      <c r="Y41" s="741">
        <v>8.5442856379999998</v>
      </c>
    </row>
    <row r="42" spans="1:25" ht="11.25" customHeight="1">
      <c r="A42" s="136"/>
      <c r="B42" s="138"/>
      <c r="C42" s="138"/>
      <c r="D42" s="138"/>
      <c r="E42" s="138"/>
      <c r="F42" s="138"/>
      <c r="G42" s="138"/>
      <c r="H42" s="138"/>
      <c r="I42" s="138"/>
      <c r="O42" s="739">
        <v>39</v>
      </c>
      <c r="P42" s="740">
        <v>39</v>
      </c>
      <c r="Q42" s="741">
        <v>6.84</v>
      </c>
      <c r="R42" s="741">
        <v>3.32</v>
      </c>
      <c r="S42" s="741">
        <v>63.05</v>
      </c>
      <c r="T42" s="741">
        <v>48.7</v>
      </c>
      <c r="U42" s="741">
        <v>7.81</v>
      </c>
      <c r="V42" s="741">
        <v>11.15</v>
      </c>
      <c r="W42" s="741">
        <v>1.32</v>
      </c>
      <c r="X42" s="741">
        <v>38.82</v>
      </c>
      <c r="Y42" s="741">
        <v>6.81</v>
      </c>
    </row>
    <row r="43" spans="1:25" ht="11.25" customHeight="1">
      <c r="A43" s="136"/>
      <c r="B43" s="138"/>
      <c r="C43" s="138"/>
      <c r="D43" s="138"/>
      <c r="E43" s="138"/>
      <c r="F43" s="138"/>
      <c r="G43" s="138"/>
      <c r="H43" s="138"/>
      <c r="I43" s="138"/>
      <c r="P43" s="740">
        <v>40</v>
      </c>
      <c r="Q43" s="741">
        <v>7.6862857681428576</v>
      </c>
      <c r="R43" s="741">
        <v>3.1560000009999998</v>
      </c>
      <c r="S43" s="741">
        <v>61.54114314571428</v>
      </c>
      <c r="T43" s="741">
        <v>37.928571428999994</v>
      </c>
      <c r="U43" s="741">
        <v>7.9165713450000004</v>
      </c>
      <c r="V43" s="741">
        <v>11.005714417142856</v>
      </c>
      <c r="W43" s="741">
        <v>1.3828571522857145</v>
      </c>
      <c r="X43" s="741">
        <v>43.879284992857151</v>
      </c>
      <c r="Y43" s="741">
        <v>6.2752857208571422</v>
      </c>
    </row>
    <row r="44" spans="1:25" ht="11.25" customHeight="1">
      <c r="A44" s="136"/>
      <c r="B44" s="138"/>
      <c r="C44" s="138"/>
      <c r="D44" s="138"/>
      <c r="E44" s="138"/>
      <c r="F44" s="138"/>
      <c r="G44" s="138"/>
      <c r="H44" s="138"/>
      <c r="I44" s="138"/>
      <c r="P44" s="740">
        <v>41</v>
      </c>
      <c r="Q44" s="741">
        <v>7.1000001089913463</v>
      </c>
      <c r="R44" s="741">
        <v>2.9028571673801928</v>
      </c>
      <c r="S44" s="741">
        <v>58.117285592215353</v>
      </c>
      <c r="T44" s="741">
        <v>48.921429225376635</v>
      </c>
      <c r="U44" s="741">
        <v>8.5942858287266173</v>
      </c>
      <c r="V44" s="741">
        <v>11.002857208251914</v>
      </c>
      <c r="W44" s="741">
        <v>1.3182857036590543</v>
      </c>
      <c r="X44" s="741">
        <v>45.627857753208637</v>
      </c>
      <c r="Y44" s="741">
        <v>9.9285714966910028</v>
      </c>
    </row>
    <row r="45" spans="1:25" ht="11.25" customHeight="1">
      <c r="A45" s="136"/>
      <c r="B45" s="138"/>
      <c r="C45" s="138"/>
      <c r="D45" s="138"/>
      <c r="E45" s="138"/>
      <c r="F45" s="138"/>
      <c r="G45" s="138"/>
      <c r="H45" s="138"/>
      <c r="I45" s="138"/>
      <c r="P45" s="740">
        <v>42</v>
      </c>
      <c r="Q45" s="741">
        <v>6.7610000201428573</v>
      </c>
      <c r="R45" s="741">
        <v>2.8671428815714286</v>
      </c>
      <c r="S45" s="741">
        <v>58.888142721428572</v>
      </c>
      <c r="T45" s="741">
        <v>55.619142805714283</v>
      </c>
      <c r="U45" s="741">
        <v>9.5089999614285716</v>
      </c>
      <c r="V45" s="741">
        <v>11.007142884285715</v>
      </c>
      <c r="W45" s="741">
        <v>1.2221428497142859</v>
      </c>
      <c r="X45" s="741">
        <v>52.615000045714282</v>
      </c>
      <c r="Y45" s="741">
        <v>9.6800000322857152</v>
      </c>
    </row>
    <row r="46" spans="1:25" ht="11.25" customHeight="1">
      <c r="A46" s="136"/>
      <c r="B46" s="138"/>
      <c r="C46" s="138"/>
      <c r="D46" s="138"/>
      <c r="E46" s="138"/>
      <c r="F46" s="138"/>
      <c r="G46" s="138"/>
      <c r="H46" s="138"/>
      <c r="I46" s="138"/>
      <c r="O46" s="739">
        <v>43</v>
      </c>
      <c r="P46" s="740">
        <v>43</v>
      </c>
      <c r="Q46" s="741">
        <v>6.53</v>
      </c>
      <c r="R46" s="741">
        <v>2.37</v>
      </c>
      <c r="S46" s="741">
        <v>69.2</v>
      </c>
      <c r="T46" s="741">
        <v>54.58</v>
      </c>
      <c r="U46" s="741">
        <v>8.23</v>
      </c>
      <c r="V46" s="741">
        <v>11.01</v>
      </c>
      <c r="W46" s="741">
        <v>1.35</v>
      </c>
      <c r="X46" s="741">
        <v>50.71</v>
      </c>
      <c r="Y46" s="741">
        <v>10.33</v>
      </c>
    </row>
    <row r="47" spans="1:25" ht="11.25" customHeight="1">
      <c r="A47" s="136"/>
      <c r="B47" s="138"/>
      <c r="C47" s="138"/>
      <c r="D47" s="138"/>
      <c r="E47" s="138"/>
      <c r="F47" s="138"/>
      <c r="G47" s="138"/>
      <c r="H47" s="138"/>
      <c r="I47" s="138"/>
      <c r="P47" s="740">
        <v>44</v>
      </c>
      <c r="Q47" s="741">
        <v>7.58</v>
      </c>
      <c r="R47" s="741">
        <v>4.8899999999999997</v>
      </c>
      <c r="S47" s="741">
        <v>51.59</v>
      </c>
      <c r="T47" s="741">
        <v>57.65</v>
      </c>
      <c r="U47" s="741">
        <v>7.72</v>
      </c>
      <c r="V47" s="741">
        <v>11.01</v>
      </c>
      <c r="W47" s="741">
        <v>1.47</v>
      </c>
      <c r="X47" s="741">
        <v>48.41</v>
      </c>
      <c r="Y47" s="741">
        <v>11.29</v>
      </c>
    </row>
    <row r="48" spans="1:25">
      <c r="A48" s="136"/>
      <c r="B48" s="138"/>
      <c r="C48" s="138"/>
      <c r="D48" s="138"/>
      <c r="E48" s="138"/>
      <c r="F48" s="138"/>
      <c r="G48" s="138"/>
      <c r="H48" s="138"/>
      <c r="I48" s="138"/>
      <c r="P48" s="740">
        <v>45</v>
      </c>
      <c r="Q48" s="741">
        <v>6.95</v>
      </c>
      <c r="R48" s="741">
        <v>1.61</v>
      </c>
      <c r="S48" s="741">
        <v>72.92</v>
      </c>
      <c r="T48" s="741">
        <v>67.069999999999993</v>
      </c>
      <c r="U48" s="741">
        <v>6.9</v>
      </c>
      <c r="V48" s="741">
        <v>11</v>
      </c>
      <c r="W48" s="741">
        <v>1.42</v>
      </c>
      <c r="X48" s="741">
        <v>47.24</v>
      </c>
      <c r="Y48" s="741">
        <v>9</v>
      </c>
    </row>
    <row r="49" spans="1:25">
      <c r="A49" s="136"/>
      <c r="B49" s="138"/>
      <c r="C49" s="138"/>
      <c r="D49" s="138"/>
      <c r="E49" s="138"/>
      <c r="F49" s="138"/>
      <c r="G49" s="138"/>
      <c r="H49" s="138"/>
      <c r="I49" s="138"/>
      <c r="P49" s="740">
        <v>46</v>
      </c>
      <c r="Q49" s="741">
        <v>6.8571429249999998</v>
      </c>
      <c r="R49" s="741">
        <v>1.6428571599999999</v>
      </c>
      <c r="S49" s="741">
        <v>58.4</v>
      </c>
      <c r="T49" s="741">
        <v>34.982142860000003</v>
      </c>
      <c r="U49" s="741">
        <v>5.0667143550000002</v>
      </c>
      <c r="V49" s="741">
        <v>11.01</v>
      </c>
      <c r="W49" s="741">
        <v>1.38</v>
      </c>
      <c r="X49" s="741">
        <v>40.61</v>
      </c>
      <c r="Y49" s="741">
        <v>8.81</v>
      </c>
    </row>
    <row r="50" spans="1:25">
      <c r="A50" s="136"/>
      <c r="B50" s="138"/>
      <c r="C50" s="138"/>
      <c r="D50" s="138"/>
      <c r="E50" s="138"/>
      <c r="F50" s="138"/>
      <c r="G50" s="138"/>
      <c r="H50" s="138"/>
      <c r="I50" s="138"/>
      <c r="P50" s="740">
        <v>47</v>
      </c>
      <c r="Q50" s="741">
        <v>6.9940000260000001</v>
      </c>
      <c r="R50" s="741">
        <v>1.5142857009999999</v>
      </c>
      <c r="S50" s="741">
        <v>52.554856440000002</v>
      </c>
      <c r="T50" s="741">
        <v>29.07742855</v>
      </c>
      <c r="U50" s="741">
        <v>4.2727143420000004</v>
      </c>
      <c r="V50" s="741">
        <v>11.00286</v>
      </c>
      <c r="W50" s="741">
        <v>1.63</v>
      </c>
      <c r="X50" s="741">
        <v>41.625</v>
      </c>
      <c r="Y50" s="741">
        <v>9.3542860000000001</v>
      </c>
    </row>
    <row r="51" spans="1:25">
      <c r="A51" s="136"/>
      <c r="B51" s="138"/>
      <c r="C51" s="138"/>
      <c r="D51" s="138"/>
      <c r="E51" s="138"/>
      <c r="F51" s="138"/>
      <c r="G51" s="138"/>
      <c r="H51" s="138"/>
      <c r="I51" s="138"/>
      <c r="O51" s="739">
        <v>48</v>
      </c>
      <c r="P51" s="740">
        <v>48</v>
      </c>
      <c r="Q51" s="741">
        <v>7.1124285970000001</v>
      </c>
      <c r="R51" s="741">
        <v>1.4714285645714287</v>
      </c>
      <c r="S51" s="741">
        <v>53.429429191428575</v>
      </c>
      <c r="T51" s="741">
        <v>88.059571399999996</v>
      </c>
      <c r="U51" s="741">
        <v>7.879285812428571</v>
      </c>
      <c r="V51" s="741">
        <v>10.862857274285714</v>
      </c>
      <c r="W51" s="741">
        <v>1.6007142748571428</v>
      </c>
      <c r="X51" s="741">
        <v>41.014285495714283</v>
      </c>
      <c r="Y51" s="741">
        <v>14.194285802</v>
      </c>
    </row>
    <row r="52" spans="1:25">
      <c r="A52" s="136"/>
      <c r="B52" s="138"/>
      <c r="C52" s="138"/>
      <c r="D52" s="138"/>
      <c r="E52" s="138"/>
      <c r="F52" s="138"/>
      <c r="G52" s="138"/>
      <c r="H52" s="138"/>
      <c r="I52" s="138"/>
      <c r="P52" s="740">
        <v>49</v>
      </c>
      <c r="Q52" s="741">
        <v>8.43</v>
      </c>
      <c r="R52" s="741">
        <v>2.2400000000000002</v>
      </c>
      <c r="S52" s="741">
        <v>61.07</v>
      </c>
      <c r="T52" s="741">
        <v>106.59</v>
      </c>
      <c r="U52" s="741">
        <v>16.09</v>
      </c>
      <c r="V52" s="741">
        <v>10.5</v>
      </c>
      <c r="W52" s="741">
        <v>1.1200000000000001</v>
      </c>
      <c r="X52" s="741">
        <v>83.6</v>
      </c>
      <c r="Y52" s="741">
        <v>22.62</v>
      </c>
    </row>
    <row r="53" spans="1:25">
      <c r="A53" s="136"/>
      <c r="B53" s="138"/>
      <c r="C53" s="138"/>
      <c r="D53" s="138"/>
      <c r="E53" s="138"/>
      <c r="F53" s="138"/>
      <c r="G53" s="138"/>
      <c r="H53" s="138"/>
      <c r="I53" s="138"/>
      <c r="P53" s="740">
        <v>50</v>
      </c>
      <c r="Q53" s="741">
        <v>8.32</v>
      </c>
      <c r="R53" s="741">
        <v>2.19</v>
      </c>
      <c r="S53" s="741">
        <v>78.02</v>
      </c>
      <c r="T53" s="741">
        <v>104.79</v>
      </c>
      <c r="U53" s="741">
        <v>18.649999999999999</v>
      </c>
      <c r="V53" s="741">
        <v>10.51</v>
      </c>
      <c r="W53" s="741">
        <v>1.1399999999999999</v>
      </c>
      <c r="X53" s="741">
        <v>66.8</v>
      </c>
      <c r="Y53" s="741">
        <v>22.62</v>
      </c>
    </row>
    <row r="54" spans="1:25">
      <c r="A54" s="136"/>
      <c r="B54" s="138"/>
      <c r="C54" s="138"/>
      <c r="D54" s="138"/>
      <c r="E54" s="138"/>
      <c r="F54" s="138"/>
      <c r="G54" s="138"/>
      <c r="H54" s="138"/>
      <c r="I54" s="138"/>
      <c r="P54" s="740">
        <v>51</v>
      </c>
      <c r="Q54" s="741">
        <v>9.08</v>
      </c>
      <c r="R54" s="741">
        <v>3.71</v>
      </c>
      <c r="S54" s="741">
        <v>67.64</v>
      </c>
      <c r="T54" s="741">
        <v>69.61</v>
      </c>
      <c r="U54" s="741">
        <v>11.22</v>
      </c>
      <c r="V54" s="741">
        <v>10.5</v>
      </c>
      <c r="W54" s="741">
        <v>1.37</v>
      </c>
      <c r="X54" s="741">
        <v>55.42</v>
      </c>
      <c r="Y54" s="741">
        <v>17.489999999999998</v>
      </c>
    </row>
    <row r="55" spans="1:25">
      <c r="A55" s="136"/>
      <c r="B55" s="138"/>
      <c r="C55" s="138"/>
      <c r="D55" s="138"/>
      <c r="E55" s="138"/>
      <c r="F55" s="138"/>
      <c r="G55" s="138"/>
      <c r="H55" s="138"/>
      <c r="I55" s="138"/>
      <c r="O55" s="739">
        <v>52</v>
      </c>
      <c r="P55" s="740">
        <v>52</v>
      </c>
      <c r="Q55" s="741">
        <v>8.42</v>
      </c>
      <c r="R55" s="741">
        <v>3.57</v>
      </c>
      <c r="S55" s="741">
        <v>56.187571937142856</v>
      </c>
      <c r="T55" s="741">
        <v>58.452428545714284</v>
      </c>
      <c r="U55" s="741">
        <v>8.01</v>
      </c>
      <c r="V55" s="741">
        <v>10.507142884285715</v>
      </c>
      <c r="W55" s="741">
        <v>1.53</v>
      </c>
      <c r="X55" s="741">
        <v>59.550713675714292</v>
      </c>
      <c r="Y55" s="741">
        <v>18.608285904285712</v>
      </c>
    </row>
    <row r="56" spans="1:25">
      <c r="A56" s="136"/>
      <c r="B56" s="138"/>
      <c r="C56" s="138"/>
      <c r="D56" s="138"/>
      <c r="E56" s="138"/>
      <c r="F56" s="138"/>
      <c r="G56" s="138"/>
      <c r="H56" s="138"/>
      <c r="I56" s="138"/>
      <c r="N56" s="739">
        <v>2017</v>
      </c>
      <c r="O56" s="739">
        <v>1</v>
      </c>
      <c r="P56" s="740">
        <v>1</v>
      </c>
      <c r="Q56" s="741">
        <v>13.85</v>
      </c>
      <c r="R56" s="741">
        <v>11.3</v>
      </c>
      <c r="S56" s="741">
        <v>104.02</v>
      </c>
      <c r="T56" s="741">
        <v>148.43</v>
      </c>
      <c r="U56" s="741">
        <v>24.1</v>
      </c>
      <c r="V56" s="741">
        <v>10.220000000000001</v>
      </c>
      <c r="W56" s="741">
        <v>3.28</v>
      </c>
      <c r="X56" s="741">
        <v>89.46</v>
      </c>
      <c r="Y56" s="741">
        <v>25.43</v>
      </c>
    </row>
    <row r="57" spans="1:25">
      <c r="A57" s="136"/>
      <c r="B57" s="138"/>
      <c r="C57" s="138"/>
      <c r="D57" s="138"/>
      <c r="E57" s="138"/>
      <c r="F57" s="138"/>
      <c r="G57" s="138"/>
      <c r="H57" s="138"/>
      <c r="I57" s="138"/>
      <c r="P57" s="740">
        <v>2</v>
      </c>
      <c r="Q57" s="741">
        <v>14.96</v>
      </c>
      <c r="R57" s="741">
        <v>15.4</v>
      </c>
      <c r="S57" s="741">
        <v>143.97</v>
      </c>
      <c r="T57" s="741">
        <v>175.88</v>
      </c>
      <c r="U57" s="741">
        <v>33.74</v>
      </c>
      <c r="V57" s="741">
        <v>10.17</v>
      </c>
      <c r="W57" s="741">
        <v>6.45</v>
      </c>
      <c r="X57" s="741">
        <v>178.14</v>
      </c>
      <c r="Y57" s="741">
        <v>55.67</v>
      </c>
    </row>
    <row r="58" spans="1:25">
      <c r="A58" s="136"/>
      <c r="B58" s="138"/>
      <c r="C58" s="138"/>
      <c r="D58" s="138"/>
      <c r="E58" s="138"/>
      <c r="F58" s="138"/>
      <c r="G58" s="138"/>
      <c r="H58" s="138"/>
      <c r="I58" s="138"/>
      <c r="P58" s="740">
        <v>3</v>
      </c>
      <c r="Q58" s="741">
        <v>28.98</v>
      </c>
      <c r="R58" s="741">
        <v>21.94</v>
      </c>
      <c r="S58" s="741">
        <v>355.12</v>
      </c>
      <c r="T58" s="741">
        <v>177.57</v>
      </c>
      <c r="U58" s="741">
        <v>35.49</v>
      </c>
      <c r="V58" s="741">
        <v>10</v>
      </c>
      <c r="W58" s="741">
        <v>9.0500000000000007</v>
      </c>
      <c r="X58" s="741">
        <v>174.94</v>
      </c>
      <c r="Y58" s="741">
        <v>58.31</v>
      </c>
    </row>
    <row r="59" spans="1:25">
      <c r="A59" s="136"/>
      <c r="B59" s="138"/>
      <c r="C59" s="138"/>
      <c r="D59" s="138"/>
      <c r="E59" s="138"/>
      <c r="F59" s="138"/>
      <c r="G59" s="138"/>
      <c r="H59" s="138"/>
      <c r="I59" s="138"/>
      <c r="O59" s="739">
        <v>4</v>
      </c>
      <c r="P59" s="740">
        <v>4</v>
      </c>
      <c r="Q59" s="741">
        <v>30.46</v>
      </c>
      <c r="R59" s="741">
        <v>23.91</v>
      </c>
      <c r="S59" s="741">
        <v>519.4</v>
      </c>
      <c r="T59" s="741">
        <v>205.76</v>
      </c>
      <c r="U59" s="741">
        <v>48.48</v>
      </c>
      <c r="V59" s="741">
        <v>10</v>
      </c>
      <c r="W59" s="741">
        <v>2.4300000000000002</v>
      </c>
      <c r="X59" s="741">
        <v>141.31</v>
      </c>
      <c r="Y59" s="741">
        <v>47.49</v>
      </c>
    </row>
    <row r="60" spans="1:25">
      <c r="A60" s="136"/>
      <c r="B60" s="138"/>
      <c r="C60" s="138"/>
      <c r="D60" s="138"/>
      <c r="E60" s="138"/>
      <c r="F60" s="138"/>
      <c r="G60" s="138"/>
      <c r="H60" s="138"/>
      <c r="I60" s="138"/>
      <c r="P60" s="740">
        <v>5</v>
      </c>
      <c r="Q60" s="741">
        <v>21.36</v>
      </c>
      <c r="R60" s="741">
        <v>18.07</v>
      </c>
      <c r="S60" s="741">
        <v>330.78</v>
      </c>
      <c r="T60" s="741">
        <v>123.41</v>
      </c>
      <c r="U60" s="741">
        <v>25.33</v>
      </c>
      <c r="V60" s="741">
        <v>11.41</v>
      </c>
      <c r="W60" s="741">
        <v>2.87</v>
      </c>
      <c r="X60" s="741">
        <v>123.59</v>
      </c>
      <c r="Y60" s="741">
        <v>45.46</v>
      </c>
    </row>
    <row r="61" spans="1:25">
      <c r="A61" s="136"/>
      <c r="B61" s="138"/>
      <c r="C61" s="138"/>
      <c r="D61" s="138"/>
      <c r="E61" s="138"/>
      <c r="F61" s="138"/>
      <c r="G61" s="138"/>
      <c r="H61" s="138"/>
      <c r="I61" s="138"/>
      <c r="P61" s="740">
        <v>6</v>
      </c>
      <c r="Q61" s="741">
        <v>25.42</v>
      </c>
      <c r="R61" s="741">
        <v>21.42</v>
      </c>
      <c r="S61" s="741">
        <v>200.58</v>
      </c>
      <c r="T61" s="741">
        <v>108.48</v>
      </c>
      <c r="U61" s="741">
        <v>22.99</v>
      </c>
      <c r="V61" s="741">
        <v>10.57</v>
      </c>
      <c r="W61" s="741">
        <v>3.01</v>
      </c>
      <c r="X61" s="741">
        <v>85.48</v>
      </c>
      <c r="Y61" s="741">
        <v>28.56</v>
      </c>
    </row>
    <row r="62" spans="1:25">
      <c r="A62" s="136"/>
      <c r="B62" s="138"/>
      <c r="C62" s="138"/>
      <c r="D62" s="138"/>
      <c r="E62" s="138"/>
      <c r="F62" s="138"/>
      <c r="G62" s="138"/>
      <c r="H62" s="138"/>
      <c r="I62" s="138"/>
      <c r="P62" s="740">
        <v>7</v>
      </c>
      <c r="Q62" s="741">
        <v>35.43</v>
      </c>
      <c r="R62" s="741">
        <v>25.12</v>
      </c>
      <c r="S62" s="741">
        <v>393.69</v>
      </c>
      <c r="T62" s="741">
        <v>144.62</v>
      </c>
      <c r="U62" s="741">
        <v>39.44</v>
      </c>
      <c r="V62" s="741">
        <v>10</v>
      </c>
      <c r="W62" s="741">
        <v>2.88</v>
      </c>
      <c r="X62" s="741">
        <v>100.57</v>
      </c>
      <c r="Y62" s="741">
        <v>25.04</v>
      </c>
    </row>
    <row r="63" spans="1:25">
      <c r="A63" s="136"/>
      <c r="B63" s="138"/>
      <c r="C63" s="138"/>
      <c r="D63" s="138"/>
      <c r="E63" s="138"/>
      <c r="F63" s="138"/>
      <c r="G63" s="138"/>
      <c r="H63" s="138"/>
      <c r="I63" s="138"/>
      <c r="O63" s="739">
        <v>8</v>
      </c>
      <c r="P63" s="740">
        <v>8</v>
      </c>
      <c r="Q63" s="741">
        <v>30.45</v>
      </c>
      <c r="R63" s="741">
        <v>23.33</v>
      </c>
      <c r="S63" s="741">
        <v>345.37</v>
      </c>
      <c r="T63" s="741">
        <v>140.63</v>
      </c>
      <c r="U63" s="741">
        <v>30.47</v>
      </c>
      <c r="V63" s="741">
        <v>9.58</v>
      </c>
      <c r="W63" s="741">
        <v>2.0699999999999998</v>
      </c>
      <c r="X63" s="741">
        <v>163.72999999999999</v>
      </c>
      <c r="Y63" s="741">
        <v>58.84</v>
      </c>
    </row>
    <row r="64" spans="1:25" ht="6" customHeight="1">
      <c r="A64" s="136"/>
      <c r="B64" s="138"/>
      <c r="C64" s="138"/>
      <c r="D64" s="138"/>
      <c r="E64" s="138"/>
      <c r="F64" s="138"/>
      <c r="G64" s="138"/>
      <c r="H64" s="138"/>
      <c r="I64" s="138"/>
      <c r="P64" s="740">
        <v>9</v>
      </c>
      <c r="Q64" s="741">
        <v>37.72</v>
      </c>
      <c r="R64" s="741">
        <v>24.83</v>
      </c>
      <c r="S64" s="741">
        <v>567.22</v>
      </c>
      <c r="T64" s="741">
        <v>245.85</v>
      </c>
      <c r="U64" s="741">
        <v>67.56</v>
      </c>
      <c r="V64" s="741">
        <v>9.01</v>
      </c>
      <c r="W64" s="741">
        <v>7.33</v>
      </c>
      <c r="X64" s="741">
        <v>285.31</v>
      </c>
      <c r="Y64" s="741">
        <v>102.26</v>
      </c>
    </row>
    <row r="65" spans="1:25" ht="24.75" customHeight="1">
      <c r="A65" s="813" t="s">
        <v>588</v>
      </c>
      <c r="B65" s="813"/>
      <c r="C65" s="813"/>
      <c r="D65" s="813"/>
      <c r="E65" s="813"/>
      <c r="F65" s="813"/>
      <c r="G65" s="813"/>
      <c r="H65" s="813"/>
      <c r="I65" s="813"/>
      <c r="J65" s="813"/>
      <c r="K65" s="813"/>
      <c r="L65" s="813"/>
      <c r="P65" s="740">
        <v>10</v>
      </c>
      <c r="Q65" s="741">
        <v>36.46</v>
      </c>
      <c r="R65" s="741">
        <v>24.95</v>
      </c>
      <c r="S65" s="741">
        <v>467.04</v>
      </c>
      <c r="T65" s="741">
        <v>188.01</v>
      </c>
      <c r="U65" s="741">
        <v>50.5</v>
      </c>
      <c r="V65" s="741">
        <v>10.06</v>
      </c>
      <c r="W65" s="741">
        <v>3.71</v>
      </c>
      <c r="X65" s="741">
        <v>374.33</v>
      </c>
      <c r="Y65" s="741">
        <v>83.74</v>
      </c>
    </row>
    <row r="66" spans="1:25" ht="20.25" customHeight="1">
      <c r="P66" s="740">
        <v>11</v>
      </c>
      <c r="Q66" s="741">
        <v>35.590000000000003</v>
      </c>
      <c r="R66" s="741">
        <v>26.89</v>
      </c>
      <c r="S66" s="741">
        <v>448.3</v>
      </c>
      <c r="T66" s="741">
        <v>169.95</v>
      </c>
      <c r="U66" s="741">
        <v>51.21</v>
      </c>
      <c r="V66" s="741">
        <v>26.15</v>
      </c>
      <c r="W66" s="741">
        <v>8.66</v>
      </c>
      <c r="X66" s="741">
        <v>219.86</v>
      </c>
      <c r="Y66" s="741">
        <v>62.42</v>
      </c>
    </row>
    <row r="67" spans="1:25">
      <c r="O67" s="739">
        <v>12</v>
      </c>
      <c r="P67" s="740">
        <v>12</v>
      </c>
      <c r="Q67" s="741">
        <v>37.82</v>
      </c>
      <c r="R67" s="741">
        <v>20.6</v>
      </c>
      <c r="S67" s="741">
        <v>350.87</v>
      </c>
      <c r="T67" s="741">
        <v>146.01</v>
      </c>
      <c r="U67" s="741">
        <v>38.08</v>
      </c>
      <c r="V67" s="741">
        <v>12.43</v>
      </c>
      <c r="W67" s="741">
        <v>5.63</v>
      </c>
      <c r="X67" s="741">
        <v>190.11</v>
      </c>
      <c r="Y67" s="741">
        <v>52.01</v>
      </c>
    </row>
    <row r="68" spans="1:25">
      <c r="P68" s="740">
        <v>13</v>
      </c>
      <c r="Q68" s="741">
        <v>35.93</v>
      </c>
      <c r="R68" s="741">
        <v>24.02</v>
      </c>
      <c r="S68" s="741">
        <v>380.48</v>
      </c>
      <c r="T68" s="741">
        <v>173.02</v>
      </c>
      <c r="U68" s="741">
        <v>38.869999999999997</v>
      </c>
      <c r="V68" s="741">
        <v>11.98</v>
      </c>
      <c r="W68" s="741">
        <v>5.83</v>
      </c>
      <c r="X68" s="741">
        <v>272.08999999999997</v>
      </c>
      <c r="Y68" s="741">
        <v>65.430000000000007</v>
      </c>
    </row>
    <row r="69" spans="1:25">
      <c r="P69" s="740">
        <v>14</v>
      </c>
      <c r="Q69" s="741">
        <v>42.9</v>
      </c>
      <c r="R69" s="741">
        <v>17.87</v>
      </c>
      <c r="S69" s="741">
        <v>427.28</v>
      </c>
      <c r="T69" s="741">
        <v>137.65</v>
      </c>
      <c r="U69" s="741">
        <v>35.950000000000003</v>
      </c>
      <c r="V69" s="741">
        <v>28.72</v>
      </c>
      <c r="W69" s="741">
        <v>4.95</v>
      </c>
      <c r="X69" s="741">
        <v>301.82</v>
      </c>
      <c r="Y69" s="741">
        <v>71.06</v>
      </c>
    </row>
    <row r="70" spans="1:25">
      <c r="P70" s="740">
        <v>15</v>
      </c>
      <c r="Q70" s="741">
        <v>31.19</v>
      </c>
      <c r="R70" s="741">
        <v>17.87</v>
      </c>
      <c r="S70" s="741">
        <v>334.14</v>
      </c>
      <c r="T70" s="741">
        <v>129.9</v>
      </c>
      <c r="U70" s="741">
        <v>29.93</v>
      </c>
      <c r="V70" s="741">
        <v>16.28</v>
      </c>
      <c r="W70" s="741">
        <v>1.82</v>
      </c>
      <c r="X70" s="741">
        <v>203.49</v>
      </c>
      <c r="Y70" s="741">
        <v>77.099999999999994</v>
      </c>
    </row>
    <row r="71" spans="1:25">
      <c r="O71" s="739">
        <v>16</v>
      </c>
      <c r="P71" s="740">
        <v>16</v>
      </c>
      <c r="Q71" s="741">
        <v>22.8</v>
      </c>
      <c r="R71" s="741">
        <v>11.46</v>
      </c>
      <c r="S71" s="741">
        <v>218.96</v>
      </c>
      <c r="T71" s="741">
        <v>100.66</v>
      </c>
      <c r="U71" s="741">
        <v>21.85</v>
      </c>
      <c r="V71" s="741">
        <v>15.43</v>
      </c>
      <c r="W71" s="741">
        <v>2.33</v>
      </c>
      <c r="X71" s="741">
        <v>155.33000000000001</v>
      </c>
      <c r="Y71" s="741">
        <v>48.77</v>
      </c>
    </row>
    <row r="72" spans="1:25">
      <c r="P72" s="740">
        <v>17</v>
      </c>
      <c r="Q72" s="741">
        <v>20.18</v>
      </c>
      <c r="R72" s="741">
        <v>11.46</v>
      </c>
      <c r="S72" s="741">
        <v>180.47</v>
      </c>
      <c r="T72" s="741">
        <v>91.24</v>
      </c>
      <c r="U72" s="741">
        <v>18.89</v>
      </c>
      <c r="V72" s="741">
        <v>12.29</v>
      </c>
      <c r="W72" s="741">
        <v>1.9</v>
      </c>
      <c r="X72" s="741">
        <v>111.37</v>
      </c>
      <c r="Y72" s="741">
        <v>34.409999999999997</v>
      </c>
    </row>
    <row r="73" spans="1:25">
      <c r="P73" s="740">
        <v>18</v>
      </c>
      <c r="Q73" s="741">
        <v>19.84</v>
      </c>
      <c r="R73" s="741">
        <v>10.36</v>
      </c>
      <c r="S73" s="741">
        <v>212.89</v>
      </c>
      <c r="T73" s="741">
        <v>98.95</v>
      </c>
      <c r="U73" s="741">
        <v>19.899999999999999</v>
      </c>
      <c r="V73" s="741">
        <v>11.64</v>
      </c>
      <c r="W73" s="741">
        <v>1.46</v>
      </c>
      <c r="X73" s="741">
        <v>117.05</v>
      </c>
      <c r="Y73" s="741">
        <v>28.8</v>
      </c>
    </row>
    <row r="74" spans="1:25">
      <c r="P74" s="740">
        <v>19</v>
      </c>
      <c r="Q74" s="741">
        <v>21.4</v>
      </c>
      <c r="R74" s="741">
        <v>9.25</v>
      </c>
      <c r="S74" s="741">
        <v>199.54</v>
      </c>
      <c r="T74" s="741">
        <v>89.02</v>
      </c>
      <c r="U74" s="741">
        <v>15.9</v>
      </c>
      <c r="V74" s="741">
        <v>11</v>
      </c>
      <c r="W74" s="741">
        <v>1.36</v>
      </c>
      <c r="X74" s="741">
        <v>79.2</v>
      </c>
      <c r="Y74" s="741">
        <v>22.78</v>
      </c>
    </row>
    <row r="75" spans="1:25">
      <c r="O75" s="739">
        <v>20</v>
      </c>
      <c r="P75" s="740">
        <v>20</v>
      </c>
      <c r="Q75" s="741">
        <v>17.23</v>
      </c>
      <c r="R75" s="741">
        <v>6.32</v>
      </c>
      <c r="S75" s="741">
        <v>136.84</v>
      </c>
      <c r="T75" s="741">
        <v>72.95</v>
      </c>
      <c r="U75" s="741">
        <v>15.03</v>
      </c>
      <c r="V75" s="741">
        <v>11</v>
      </c>
      <c r="W75" s="741">
        <v>1.98</v>
      </c>
      <c r="X75" s="741">
        <v>69.37</v>
      </c>
      <c r="Y75" s="741">
        <v>17.8</v>
      </c>
    </row>
    <row r="76" spans="1:25">
      <c r="P76" s="740">
        <v>21</v>
      </c>
      <c r="Q76" s="741">
        <v>16.09</v>
      </c>
      <c r="R76" s="741">
        <v>6.32</v>
      </c>
      <c r="S76" s="741">
        <v>116.86</v>
      </c>
      <c r="T76" s="741">
        <v>99.42</v>
      </c>
      <c r="U76" s="741">
        <v>20.059999999999999</v>
      </c>
      <c r="V76" s="741">
        <v>11.01</v>
      </c>
      <c r="W76" s="741">
        <v>1.6</v>
      </c>
      <c r="X76" s="741">
        <v>68.8</v>
      </c>
      <c r="Y76" s="741">
        <v>17.84</v>
      </c>
    </row>
    <row r="77" spans="1:25">
      <c r="P77" s="740">
        <v>22</v>
      </c>
      <c r="Q77" s="741">
        <v>15.1</v>
      </c>
      <c r="R77" s="741">
        <v>5.59</v>
      </c>
      <c r="S77" s="741">
        <v>118.58</v>
      </c>
      <c r="T77" s="741">
        <v>79.099999999999994</v>
      </c>
      <c r="U77" s="741">
        <v>16</v>
      </c>
      <c r="V77" s="741">
        <v>11</v>
      </c>
      <c r="W77" s="741">
        <v>1.01</v>
      </c>
      <c r="X77" s="741">
        <v>69.05</v>
      </c>
      <c r="Y77" s="741">
        <v>16.37</v>
      </c>
    </row>
    <row r="78" spans="1:25">
      <c r="P78" s="740">
        <v>23</v>
      </c>
      <c r="Q78" s="741">
        <v>14.28</v>
      </c>
      <c r="R78" s="741">
        <v>4.8499999999999996</v>
      </c>
      <c r="S78" s="741">
        <v>112.05</v>
      </c>
      <c r="T78" s="741">
        <v>63.27</v>
      </c>
      <c r="U78" s="741">
        <v>13.78</v>
      </c>
      <c r="V78" s="741">
        <v>11</v>
      </c>
      <c r="W78" s="741">
        <v>1.82</v>
      </c>
      <c r="X78" s="741">
        <v>54.09</v>
      </c>
      <c r="Y78" s="741">
        <v>13.15</v>
      </c>
    </row>
    <row r="79" spans="1:25">
      <c r="O79" s="739">
        <v>24</v>
      </c>
      <c r="P79" s="740">
        <v>24</v>
      </c>
      <c r="Q79" s="741">
        <v>13.3</v>
      </c>
      <c r="R79" s="741">
        <v>4.8499999999999996</v>
      </c>
      <c r="S79" s="741">
        <v>91.62</v>
      </c>
      <c r="T79" s="741">
        <v>49.79</v>
      </c>
      <c r="U79" s="741">
        <v>11.29</v>
      </c>
      <c r="V79" s="741">
        <v>11</v>
      </c>
      <c r="W79" s="741">
        <v>1.89</v>
      </c>
      <c r="X79" s="741">
        <v>45.31</v>
      </c>
      <c r="Y79" s="741">
        <v>10.85</v>
      </c>
    </row>
    <row r="80" spans="1:25">
      <c r="P80" s="740">
        <v>25</v>
      </c>
      <c r="Q80" s="741">
        <v>12.63</v>
      </c>
      <c r="R80" s="741">
        <v>3.77</v>
      </c>
      <c r="S80" s="741">
        <v>81.33</v>
      </c>
      <c r="T80" s="741">
        <v>46.74</v>
      </c>
      <c r="U80" s="741">
        <v>10.02</v>
      </c>
      <c r="V80" s="741">
        <v>11</v>
      </c>
      <c r="W80" s="741">
        <v>1.77</v>
      </c>
      <c r="X80" s="741">
        <v>40.42</v>
      </c>
      <c r="Y80" s="741">
        <v>8.98</v>
      </c>
    </row>
    <row r="81" spans="15:25">
      <c r="P81" s="740">
        <v>26</v>
      </c>
      <c r="Q81" s="741">
        <v>11.92</v>
      </c>
      <c r="R81" s="741">
        <v>3.77</v>
      </c>
      <c r="S81" s="741">
        <v>80.900000000000006</v>
      </c>
      <c r="T81" s="741">
        <v>41.45</v>
      </c>
      <c r="U81" s="741">
        <v>9.24</v>
      </c>
      <c r="V81" s="741">
        <v>12</v>
      </c>
      <c r="W81" s="741">
        <v>1.86</v>
      </c>
      <c r="X81" s="741">
        <v>37.89</v>
      </c>
      <c r="Y81" s="741">
        <v>9.41</v>
      </c>
    </row>
    <row r="82" spans="15:25">
      <c r="P82" s="740">
        <v>27</v>
      </c>
      <c r="Q82" s="741">
        <v>11.92</v>
      </c>
      <c r="R82" s="741">
        <v>3.91</v>
      </c>
      <c r="S82" s="741">
        <v>82.99</v>
      </c>
      <c r="T82" s="741">
        <v>60.31</v>
      </c>
      <c r="U82" s="741">
        <v>9.73</v>
      </c>
      <c r="V82" s="741">
        <v>12</v>
      </c>
      <c r="W82" s="741">
        <v>1.9</v>
      </c>
      <c r="X82" s="741">
        <v>38.229999999999997</v>
      </c>
      <c r="Y82" s="741">
        <v>8.58</v>
      </c>
    </row>
    <row r="83" spans="15:25">
      <c r="O83" s="739">
        <v>28</v>
      </c>
      <c r="P83" s="740">
        <v>28</v>
      </c>
      <c r="Q83" s="741">
        <v>11.04</v>
      </c>
      <c r="R83" s="741">
        <v>3.91</v>
      </c>
      <c r="S83" s="741">
        <v>71.739999999999995</v>
      </c>
      <c r="T83" s="741">
        <v>39.090000000000003</v>
      </c>
      <c r="U83" s="741">
        <v>8.42</v>
      </c>
      <c r="V83" s="741">
        <v>12</v>
      </c>
      <c r="W83" s="741">
        <v>1.65</v>
      </c>
      <c r="X83" s="741">
        <v>33.9</v>
      </c>
      <c r="Y83" s="741">
        <v>6.64</v>
      </c>
    </row>
    <row r="84" spans="15:25">
      <c r="P84" s="740">
        <v>29</v>
      </c>
      <c r="Q84" s="741">
        <v>10.27</v>
      </c>
      <c r="R84" s="741">
        <v>3.42</v>
      </c>
      <c r="S84" s="741">
        <v>67.8</v>
      </c>
      <c r="T84" s="741">
        <v>32.590000000000003</v>
      </c>
      <c r="U84" s="741">
        <v>7.7</v>
      </c>
      <c r="V84" s="741">
        <v>10.51</v>
      </c>
      <c r="W84" s="741">
        <v>1.79</v>
      </c>
      <c r="X84" s="741">
        <v>31.97</v>
      </c>
      <c r="Y84" s="741">
        <v>6.49</v>
      </c>
    </row>
    <row r="85" spans="15:25">
      <c r="P85" s="740">
        <v>30</v>
      </c>
      <c r="Q85" s="741">
        <v>9.4700000000000006</v>
      </c>
      <c r="R85" s="741">
        <v>3.42</v>
      </c>
      <c r="S85" s="741">
        <v>69.62</v>
      </c>
      <c r="T85" s="741">
        <v>28.39</v>
      </c>
      <c r="U85" s="741">
        <v>7.39</v>
      </c>
      <c r="V85" s="741">
        <v>12</v>
      </c>
      <c r="W85" s="741">
        <v>1.64</v>
      </c>
      <c r="X85" s="741">
        <v>31.76</v>
      </c>
      <c r="Y85" s="741">
        <v>6.15</v>
      </c>
    </row>
    <row r="86" spans="15:25">
      <c r="P86" s="740">
        <v>31</v>
      </c>
      <c r="Q86" s="741">
        <v>9.0500000000000007</v>
      </c>
      <c r="R86" s="741">
        <v>3.3</v>
      </c>
      <c r="S86" s="741">
        <v>61.71</v>
      </c>
      <c r="T86" s="741">
        <v>26.51</v>
      </c>
      <c r="U86" s="741">
        <v>7.02</v>
      </c>
      <c r="V86" s="741">
        <v>12</v>
      </c>
      <c r="W86" s="741">
        <v>1.87</v>
      </c>
      <c r="X86" s="741">
        <v>31.68</v>
      </c>
      <c r="Y86" s="741">
        <v>5.51</v>
      </c>
    </row>
    <row r="87" spans="15:25">
      <c r="O87" s="739">
        <v>32</v>
      </c>
      <c r="P87" s="740">
        <v>32</v>
      </c>
      <c r="Q87" s="741">
        <v>9.9</v>
      </c>
      <c r="R87" s="741">
        <v>2.68</v>
      </c>
      <c r="S87" s="741">
        <v>65.38</v>
      </c>
      <c r="T87" s="741">
        <v>24.1</v>
      </c>
      <c r="U87" s="741">
        <v>6.7</v>
      </c>
      <c r="V87" s="741">
        <v>12</v>
      </c>
      <c r="W87" s="741">
        <v>1.95</v>
      </c>
      <c r="X87" s="741">
        <v>31.01</v>
      </c>
      <c r="Y87" s="741">
        <v>5.16</v>
      </c>
    </row>
    <row r="88" spans="15:25">
      <c r="P88" s="740">
        <v>33</v>
      </c>
      <c r="Q88" s="741">
        <v>9.17</v>
      </c>
      <c r="R88" s="741">
        <v>2.4300000000000002</v>
      </c>
      <c r="S88" s="741">
        <v>59.63</v>
      </c>
      <c r="T88" s="741">
        <v>24.29</v>
      </c>
      <c r="U88" s="741">
        <v>6.44</v>
      </c>
      <c r="V88" s="741">
        <v>12</v>
      </c>
      <c r="W88" s="741">
        <v>1.82</v>
      </c>
      <c r="X88" s="741">
        <v>30.23</v>
      </c>
      <c r="Y88" s="741">
        <v>5.27</v>
      </c>
    </row>
    <row r="89" spans="15:25">
      <c r="P89" s="740">
        <v>34</v>
      </c>
      <c r="Q89" s="741">
        <v>7.78</v>
      </c>
      <c r="R89" s="741">
        <v>2.61</v>
      </c>
      <c r="S89" s="741">
        <v>60.62</v>
      </c>
      <c r="T89" s="741">
        <v>25.9</v>
      </c>
      <c r="U89" s="741">
        <v>6.62</v>
      </c>
      <c r="V89" s="741">
        <v>12</v>
      </c>
      <c r="W89" s="741">
        <v>1.89</v>
      </c>
      <c r="X89" s="741">
        <v>32.17</v>
      </c>
      <c r="Y89" s="741">
        <v>5.0599999999999996</v>
      </c>
    </row>
    <row r="90" spans="15:25">
      <c r="P90" s="740">
        <v>35</v>
      </c>
      <c r="Q90" s="741">
        <v>7.73</v>
      </c>
      <c r="R90" s="741">
        <v>3.07</v>
      </c>
      <c r="S90" s="741">
        <v>58.47</v>
      </c>
      <c r="T90" s="741">
        <v>26.33</v>
      </c>
      <c r="U90" s="741">
        <v>6.66</v>
      </c>
      <c r="V90" s="741">
        <v>12.14</v>
      </c>
      <c r="W90" s="741">
        <v>1.97</v>
      </c>
      <c r="X90" s="741">
        <v>31.63</v>
      </c>
      <c r="Y90" s="741">
        <v>4.84</v>
      </c>
    </row>
    <row r="91" spans="15:25">
      <c r="O91" s="739">
        <v>36</v>
      </c>
      <c r="P91" s="740">
        <v>36</v>
      </c>
      <c r="Q91" s="741">
        <v>7.1</v>
      </c>
      <c r="R91" s="741">
        <v>3.57</v>
      </c>
      <c r="S91" s="741">
        <v>61.13</v>
      </c>
      <c r="T91" s="741">
        <v>27.35</v>
      </c>
      <c r="U91" s="741">
        <v>6.84</v>
      </c>
      <c r="V91" s="741">
        <v>13</v>
      </c>
      <c r="W91" s="741">
        <v>1.76</v>
      </c>
      <c r="X91" s="741">
        <v>34.090000000000003</v>
      </c>
      <c r="Y91" s="741">
        <v>4.8899999999999997</v>
      </c>
    </row>
    <row r="92" spans="15:25">
      <c r="P92" s="740">
        <v>37</v>
      </c>
      <c r="Q92" s="741">
        <v>7.53</v>
      </c>
      <c r="R92" s="741">
        <v>5.04</v>
      </c>
      <c r="S92" s="741">
        <v>59.93</v>
      </c>
      <c r="T92" s="741">
        <v>34.56</v>
      </c>
      <c r="U92" s="741">
        <v>7.96</v>
      </c>
      <c r="V92" s="741">
        <v>13</v>
      </c>
      <c r="W92" s="741">
        <v>1.7</v>
      </c>
      <c r="X92" s="741">
        <v>38.06</v>
      </c>
      <c r="Y92" s="741">
        <v>8.4</v>
      </c>
    </row>
    <row r="93" spans="15:25">
      <c r="P93" s="740">
        <v>38</v>
      </c>
      <c r="Q93" s="741">
        <v>9.73</v>
      </c>
      <c r="R93" s="741">
        <v>3.75</v>
      </c>
      <c r="S93" s="741">
        <v>64.319999999999993</v>
      </c>
      <c r="T93" s="741">
        <v>41.74</v>
      </c>
      <c r="U93" s="741">
        <v>9.43</v>
      </c>
      <c r="V93" s="741">
        <v>13</v>
      </c>
      <c r="W93" s="741">
        <v>1.77</v>
      </c>
      <c r="X93" s="741">
        <v>41.12</v>
      </c>
      <c r="Y93" s="741">
        <v>6.42</v>
      </c>
    </row>
    <row r="94" spans="15:25">
      <c r="O94" s="739">
        <v>39</v>
      </c>
      <c r="P94" s="740">
        <v>39</v>
      </c>
      <c r="Q94" s="741">
        <v>7.21</v>
      </c>
      <c r="R94" s="741">
        <v>3.83</v>
      </c>
      <c r="S94" s="741">
        <v>66.83</v>
      </c>
      <c r="T94" s="741">
        <v>46.48</v>
      </c>
      <c r="U94" s="741">
        <v>7.93</v>
      </c>
      <c r="V94" s="741">
        <v>13</v>
      </c>
      <c r="W94" s="741">
        <v>1.99</v>
      </c>
      <c r="X94" s="741">
        <v>33.06</v>
      </c>
      <c r="Y94" s="741">
        <v>7.98</v>
      </c>
    </row>
    <row r="95" spans="15:25">
      <c r="P95" s="740">
        <v>40</v>
      </c>
      <c r="Q95" s="741">
        <v>6.89</v>
      </c>
      <c r="R95" s="741">
        <v>3.2</v>
      </c>
      <c r="S95" s="741">
        <v>56.32</v>
      </c>
      <c r="T95" s="741">
        <v>28.11</v>
      </c>
      <c r="U95" s="741">
        <v>6.02</v>
      </c>
      <c r="V95" s="741">
        <v>13</v>
      </c>
      <c r="W95" s="741">
        <v>1.48</v>
      </c>
      <c r="X95" s="741">
        <v>35.54</v>
      </c>
      <c r="Y95" s="741">
        <v>5.32</v>
      </c>
    </row>
    <row r="96" spans="15:25">
      <c r="P96" s="740">
        <v>41</v>
      </c>
      <c r="Q96" s="741">
        <v>7.51</v>
      </c>
      <c r="R96" s="741">
        <v>3.26</v>
      </c>
      <c r="S96" s="741">
        <v>57.18</v>
      </c>
      <c r="T96" s="741">
        <v>32.11</v>
      </c>
      <c r="U96" s="741">
        <v>6.5</v>
      </c>
      <c r="V96" s="741">
        <v>13</v>
      </c>
      <c r="W96" s="741">
        <v>1.53</v>
      </c>
      <c r="X96" s="741">
        <v>37.47</v>
      </c>
      <c r="Y96" s="741">
        <v>4.95</v>
      </c>
    </row>
    <row r="97" spans="14:25">
      <c r="P97" s="740">
        <v>42</v>
      </c>
      <c r="Q97" s="741">
        <v>7.92</v>
      </c>
      <c r="R97" s="741">
        <v>3.59</v>
      </c>
      <c r="S97" s="741">
        <v>71.87</v>
      </c>
      <c r="T97" s="741">
        <v>64.69</v>
      </c>
      <c r="U97" s="741">
        <v>9.44</v>
      </c>
      <c r="V97" s="741">
        <v>13</v>
      </c>
      <c r="W97" s="741">
        <v>1.93</v>
      </c>
      <c r="X97" s="741">
        <v>52.42</v>
      </c>
      <c r="Y97" s="741">
        <v>7.39</v>
      </c>
    </row>
    <row r="98" spans="14:25">
      <c r="O98" s="739">
        <v>43</v>
      </c>
      <c r="P98" s="740">
        <v>43</v>
      </c>
      <c r="Q98" s="741">
        <v>9.16</v>
      </c>
      <c r="R98" s="741">
        <v>3.99</v>
      </c>
      <c r="S98" s="741">
        <v>73.22</v>
      </c>
      <c r="T98" s="741">
        <v>71.16</v>
      </c>
      <c r="U98" s="741">
        <v>8.8800000000000008</v>
      </c>
      <c r="V98" s="741">
        <v>13</v>
      </c>
      <c r="W98" s="741">
        <v>1.69</v>
      </c>
      <c r="X98" s="741">
        <v>43.93</v>
      </c>
      <c r="Y98" s="741">
        <v>6.18</v>
      </c>
    </row>
    <row r="99" spans="14:25">
      <c r="P99" s="740">
        <v>44</v>
      </c>
      <c r="Q99" s="741">
        <v>8.81</v>
      </c>
      <c r="R99" s="741">
        <v>5.0199999999999996</v>
      </c>
      <c r="S99" s="741">
        <v>75.150000000000006</v>
      </c>
      <c r="T99" s="741">
        <v>62.33</v>
      </c>
      <c r="U99" s="741">
        <v>10.59</v>
      </c>
      <c r="V99" s="741">
        <v>13</v>
      </c>
      <c r="W99" s="741">
        <v>1.65</v>
      </c>
      <c r="X99" s="741">
        <v>40.229999999999997</v>
      </c>
      <c r="Y99" s="741">
        <v>8.7899999999999991</v>
      </c>
    </row>
    <row r="100" spans="14:25">
      <c r="P100" s="740">
        <v>45</v>
      </c>
      <c r="Q100" s="741">
        <v>8.3800000000000008</v>
      </c>
      <c r="R100" s="741">
        <v>4.2</v>
      </c>
      <c r="S100" s="741">
        <v>67.39</v>
      </c>
      <c r="T100" s="741">
        <v>61.76</v>
      </c>
      <c r="U100" s="741">
        <v>10.039999999999999</v>
      </c>
      <c r="V100" s="741">
        <v>13</v>
      </c>
      <c r="W100" s="741">
        <v>1.51</v>
      </c>
      <c r="X100" s="741">
        <v>41.85</v>
      </c>
      <c r="Y100" s="741">
        <v>11.45</v>
      </c>
    </row>
    <row r="101" spans="14:25">
      <c r="P101" s="740">
        <v>46</v>
      </c>
      <c r="Q101" s="741">
        <v>7.55</v>
      </c>
      <c r="R101" s="741">
        <v>3.7</v>
      </c>
      <c r="S101" s="741">
        <v>66.959999999999994</v>
      </c>
      <c r="T101" s="741">
        <v>66.040000000000006</v>
      </c>
      <c r="U101" s="741">
        <v>8.7799999999999994</v>
      </c>
      <c r="V101" s="741">
        <v>13</v>
      </c>
      <c r="W101" s="741">
        <v>1.65</v>
      </c>
      <c r="X101" s="741">
        <v>70.849999999999994</v>
      </c>
      <c r="Y101" s="741">
        <v>14.58</v>
      </c>
    </row>
    <row r="102" spans="14:25">
      <c r="P102" s="740">
        <v>47</v>
      </c>
      <c r="Q102" s="741">
        <v>7.39</v>
      </c>
      <c r="R102" s="741">
        <v>3.85</v>
      </c>
      <c r="S102" s="741">
        <v>67.72</v>
      </c>
      <c r="T102" s="741">
        <v>52.82</v>
      </c>
      <c r="U102" s="741">
        <v>7.81</v>
      </c>
      <c r="V102" s="741">
        <v>13</v>
      </c>
      <c r="W102" s="741">
        <v>1.6</v>
      </c>
      <c r="X102" s="741">
        <v>64.819999999999993</v>
      </c>
      <c r="Y102" s="741">
        <v>12.14</v>
      </c>
    </row>
    <row r="103" spans="14:25">
      <c r="O103" s="739">
        <v>48</v>
      </c>
      <c r="P103" s="740">
        <v>48</v>
      </c>
      <c r="Q103" s="741">
        <v>7.9678571564285718</v>
      </c>
      <c r="R103" s="741">
        <v>3.558142900428571</v>
      </c>
      <c r="S103" s="741">
        <v>77.366571698571434</v>
      </c>
      <c r="T103" s="741">
        <v>66.577285762857144</v>
      </c>
      <c r="U103" s="741">
        <v>9.1851428580000007</v>
      </c>
      <c r="V103" s="741">
        <v>13.005714417142858</v>
      </c>
      <c r="W103" s="741">
        <v>1.6</v>
      </c>
      <c r="X103" s="741">
        <v>47.846427917142854</v>
      </c>
      <c r="Y103" s="741">
        <v>12.516714369142859</v>
      </c>
    </row>
    <row r="104" spans="14:25">
      <c r="P104" s="740">
        <v>49</v>
      </c>
      <c r="Q104" s="741">
        <v>8.4875713758571436</v>
      </c>
      <c r="R104" s="741">
        <v>3.2600000074285718</v>
      </c>
      <c r="S104" s="741">
        <v>84.55585806714285</v>
      </c>
      <c r="T104" s="741">
        <v>72.732000077142857</v>
      </c>
      <c r="U104" s="741">
        <v>14.04828548342857</v>
      </c>
      <c r="V104" s="741">
        <v>13.002857208571429</v>
      </c>
      <c r="W104" s="741">
        <v>1.6</v>
      </c>
      <c r="X104" s="741">
        <v>57.322143555714298</v>
      </c>
      <c r="Y104" s="741">
        <v>18.826999800000003</v>
      </c>
    </row>
    <row r="105" spans="14:25">
      <c r="P105" s="740">
        <v>50</v>
      </c>
      <c r="Q105" s="741">
        <v>8.7257142747142868</v>
      </c>
      <c r="R105" s="741">
        <v>3.4628571441428577</v>
      </c>
      <c r="S105" s="741">
        <v>77.460142951428566</v>
      </c>
      <c r="T105" s="741">
        <v>64.097142899999994</v>
      </c>
      <c r="U105" s="741">
        <v>11.032857077571427</v>
      </c>
      <c r="V105" s="741">
        <v>13</v>
      </c>
      <c r="W105" s="741">
        <v>1.6000000240000001</v>
      </c>
      <c r="X105" s="741">
        <v>51.470714571428573</v>
      </c>
      <c r="Y105" s="741">
        <v>20.280285972857143</v>
      </c>
    </row>
    <row r="106" spans="14:25">
      <c r="P106" s="740">
        <v>51</v>
      </c>
      <c r="Q106" s="741">
        <v>9.7215715127142861</v>
      </c>
      <c r="R106" s="741">
        <v>4.2539999484285715</v>
      </c>
      <c r="S106" s="741">
        <v>78.166143688571424</v>
      </c>
      <c r="T106" s="741">
        <v>94.237856191428577</v>
      </c>
      <c r="U106" s="741">
        <v>14.381428445285712</v>
      </c>
      <c r="V106" s="741">
        <v>13.01285743857143</v>
      </c>
      <c r="W106" s="741">
        <v>1.6257142851428572</v>
      </c>
      <c r="X106" s="741">
        <v>65.58357184285714</v>
      </c>
      <c r="Y106" s="741">
        <v>34.849000112857141</v>
      </c>
    </row>
    <row r="107" spans="14:25">
      <c r="O107" s="739">
        <v>52</v>
      </c>
      <c r="P107" s="740">
        <v>52</v>
      </c>
      <c r="Q107" s="741">
        <v>10.323285784571427</v>
      </c>
      <c r="R107" s="741">
        <v>4.6457142829999993</v>
      </c>
      <c r="S107" s="741">
        <v>86.972714017142849</v>
      </c>
      <c r="T107" s="741">
        <v>94.357285634285716</v>
      </c>
      <c r="U107" s="741">
        <v>13.293999945714287</v>
      </c>
      <c r="V107" s="741">
        <v>13.09681579142857</v>
      </c>
      <c r="W107" s="741">
        <v>1.644999981</v>
      </c>
      <c r="X107" s="741">
        <v>104.27285767571428</v>
      </c>
      <c r="Y107" s="741">
        <v>35.335714887142856</v>
      </c>
    </row>
    <row r="108" spans="14:25">
      <c r="N108" s="739">
        <v>2018</v>
      </c>
      <c r="O108" s="739">
        <v>1</v>
      </c>
      <c r="P108" s="740">
        <v>1</v>
      </c>
      <c r="Q108" s="741">
        <v>10.34</v>
      </c>
      <c r="R108" s="741">
        <v>4.4628571428571426</v>
      </c>
      <c r="S108" s="741">
        <v>140.04142857142858</v>
      </c>
      <c r="T108" s="741">
        <v>143.09</v>
      </c>
      <c r="U108" s="741">
        <v>20.63</v>
      </c>
      <c r="V108" s="741">
        <v>13</v>
      </c>
      <c r="W108" s="741">
        <v>1.64</v>
      </c>
      <c r="X108" s="741">
        <v>201.2428571428571</v>
      </c>
      <c r="Y108" s="741">
        <v>63.23</v>
      </c>
    </row>
    <row r="109" spans="14:25">
      <c r="P109" s="740">
        <v>2</v>
      </c>
      <c r="Q109" s="741">
        <v>13.730999947142859</v>
      </c>
      <c r="R109" s="741">
        <v>3.5944285392857145</v>
      </c>
      <c r="S109" s="741">
        <v>209.91800362857143</v>
      </c>
      <c r="T109" s="741">
        <v>160.98214394285716</v>
      </c>
      <c r="U109" s="741">
        <v>36.213856559999996</v>
      </c>
      <c r="V109" s="741">
        <v>11.774285724285715</v>
      </c>
      <c r="W109" s="741">
        <v>1.5914286031428568</v>
      </c>
      <c r="X109" s="741">
        <v>229.4250030571429</v>
      </c>
      <c r="Y109" s="741">
        <v>56.654285431428562</v>
      </c>
    </row>
    <row r="110" spans="14:25">
      <c r="P110" s="740">
        <v>3</v>
      </c>
      <c r="Q110" s="741">
        <v>15.983285902857142</v>
      </c>
      <c r="R110" s="741">
        <v>8.3045714242857152</v>
      </c>
      <c r="S110" s="741">
        <v>223.6645725857143</v>
      </c>
      <c r="T110" s="741">
        <v>190.44042751428574</v>
      </c>
      <c r="U110" s="741">
        <v>30.819142750000001</v>
      </c>
      <c r="V110" s="741">
        <v>11.857142857142858</v>
      </c>
      <c r="W110" s="741">
        <v>1.5814286125714285</v>
      </c>
      <c r="X110" s="741">
        <v>261.56357028571426</v>
      </c>
      <c r="Y110" s="741">
        <v>68.516428267142857</v>
      </c>
    </row>
    <row r="111" spans="14:25">
      <c r="O111" s="739">
        <v>4</v>
      </c>
      <c r="P111" s="740">
        <v>4</v>
      </c>
      <c r="Q111" s="741">
        <v>21.988571574285714</v>
      </c>
      <c r="R111" s="741">
        <v>15.598142828000002</v>
      </c>
      <c r="S111" s="741">
        <v>346.88342720000003</v>
      </c>
      <c r="T111" s="741">
        <v>205.5832868285714</v>
      </c>
      <c r="U111" s="741">
        <v>40.893000467142862</v>
      </c>
      <c r="V111" s="741">
        <v>18.734285627142857</v>
      </c>
      <c r="W111" s="741">
        <v>1.5700000519999997</v>
      </c>
      <c r="X111" s="741">
        <v>261.98000009999998</v>
      </c>
      <c r="Y111" s="741">
        <v>58.935427530000005</v>
      </c>
    </row>
    <row r="112" spans="14:25">
      <c r="P112" s="740">
        <v>5</v>
      </c>
      <c r="Q112" s="741">
        <v>17.729000225714284</v>
      </c>
      <c r="R112" s="741">
        <v>13.724571365714285</v>
      </c>
      <c r="S112" s="741">
        <v>214.95928737142859</v>
      </c>
      <c r="T112" s="741">
        <v>93.607142857142861</v>
      </c>
      <c r="U112" s="741">
        <v>17.748285841428572</v>
      </c>
      <c r="V112" s="741">
        <v>23.390000208571426</v>
      </c>
      <c r="W112" s="741">
        <v>1.5700000519999997</v>
      </c>
      <c r="X112" s="741">
        <v>141.83571514285714</v>
      </c>
      <c r="Y112" s="741">
        <v>45.332857951428579</v>
      </c>
    </row>
    <row r="113" spans="15:25">
      <c r="P113" s="740">
        <v>6</v>
      </c>
      <c r="Q113" s="741">
        <v>13.582571572857143</v>
      </c>
      <c r="R113" s="741">
        <v>8.6634286477142854</v>
      </c>
      <c r="S113" s="741">
        <v>166.34242902857142</v>
      </c>
      <c r="T113" s="741">
        <v>108.25571334000001</v>
      </c>
      <c r="U113" s="741">
        <v>18.79157175142857</v>
      </c>
      <c r="V113" s="741">
        <v>20.201017107142857</v>
      </c>
      <c r="W113" s="741">
        <v>2.3694285491428571</v>
      </c>
      <c r="X113" s="741">
        <v>164.55714089999998</v>
      </c>
      <c r="Y113" s="741">
        <v>65.987571171428584</v>
      </c>
    </row>
    <row r="114" spans="15:25">
      <c r="P114" s="740">
        <v>7</v>
      </c>
      <c r="Q114" s="741">
        <v>14.722571237142859</v>
      </c>
      <c r="R114" s="741">
        <v>11.071428435428571</v>
      </c>
      <c r="S114" s="741">
        <v>239.50057330000001</v>
      </c>
      <c r="T114" s="741">
        <v>202.98199900000003</v>
      </c>
      <c r="U114" s="741">
        <v>42.088571821428573</v>
      </c>
      <c r="V114" s="741">
        <v>15.283185821428571</v>
      </c>
      <c r="W114" s="741">
        <v>3.1689999100000001</v>
      </c>
      <c r="X114" s="741">
        <v>355.31285748571423</v>
      </c>
      <c r="Y114" s="741">
        <v>97.722999031428586</v>
      </c>
    </row>
    <row r="115" spans="15:25">
      <c r="O115" s="739">
        <v>8</v>
      </c>
      <c r="P115" s="740">
        <v>8</v>
      </c>
      <c r="Q115" s="741">
        <v>18.48</v>
      </c>
      <c r="R115" s="741">
        <v>14.97</v>
      </c>
      <c r="S115" s="741">
        <v>357.61814662857148</v>
      </c>
      <c r="T115" s="741">
        <v>251.1</v>
      </c>
      <c r="U115" s="741">
        <v>43.74</v>
      </c>
      <c r="V115" s="741">
        <v>16.564</v>
      </c>
      <c r="W115" s="741">
        <v>3.16</v>
      </c>
      <c r="X115" s="741">
        <v>437.78</v>
      </c>
      <c r="Y115" s="741">
        <v>142.13</v>
      </c>
    </row>
    <row r="116" spans="15:25">
      <c r="P116" s="740">
        <v>9</v>
      </c>
      <c r="Q116" s="741">
        <v>21.652428627142854</v>
      </c>
      <c r="R116" s="741">
        <v>14.185285431142857</v>
      </c>
      <c r="S116" s="741">
        <v>333.90885488571433</v>
      </c>
      <c r="T116" s="741">
        <v>204.95843285714287</v>
      </c>
      <c r="U116" s="741">
        <v>31.755000522857138</v>
      </c>
      <c r="V116" s="741">
        <v>15.852976190476195</v>
      </c>
      <c r="W116" s="741">
        <v>3.1689999100000001</v>
      </c>
      <c r="X116" s="741">
        <v>424.14571271428576</v>
      </c>
      <c r="Y116" s="741">
        <v>142.13857270714286</v>
      </c>
    </row>
    <row r="117" spans="15:25">
      <c r="P117" s="740">
        <v>10</v>
      </c>
      <c r="Q117" s="741">
        <v>30.272714344285713</v>
      </c>
      <c r="R117" s="741">
        <v>17.434571538571429</v>
      </c>
      <c r="S117" s="741">
        <v>431.64157101428572</v>
      </c>
      <c r="T117" s="741">
        <v>177.15485925714287</v>
      </c>
      <c r="U117" s="741">
        <v>31.196571622857142</v>
      </c>
      <c r="V117" s="741">
        <v>14.442</v>
      </c>
      <c r="W117" s="741">
        <v>4.7437142644285712</v>
      </c>
      <c r="X117" s="741">
        <v>293.69142804285718</v>
      </c>
      <c r="Y117" s="741">
        <v>72.30971418</v>
      </c>
    </row>
    <row r="118" spans="15:25">
      <c r="P118" s="740">
        <v>11</v>
      </c>
      <c r="Q118" s="741">
        <v>28.071857179999999</v>
      </c>
      <c r="R118" s="741">
        <v>17.048571724285715</v>
      </c>
      <c r="S118" s="741">
        <v>485.98543439999997</v>
      </c>
      <c r="T118" s="741">
        <v>169.375</v>
      </c>
      <c r="U118" s="741">
        <v>52.626284462857136</v>
      </c>
      <c r="V118" s="741">
        <v>18.273</v>
      </c>
      <c r="W118" s="741">
        <v>3.0879999738571429</v>
      </c>
      <c r="X118" s="741">
        <v>511.54500034285724</v>
      </c>
      <c r="Y118" s="741">
        <v>119.7894287057143</v>
      </c>
    </row>
    <row r="119" spans="15:25">
      <c r="O119" s="739">
        <v>12</v>
      </c>
      <c r="P119" s="740">
        <v>12</v>
      </c>
      <c r="Q119" s="741">
        <v>29.90999984714286</v>
      </c>
      <c r="R119" s="741">
        <v>21.62</v>
      </c>
      <c r="S119" s="741">
        <v>465.24414497142863</v>
      </c>
      <c r="T119" s="741">
        <v>201.58328465714288</v>
      </c>
      <c r="U119" s="741">
        <v>57.669144221428567</v>
      </c>
      <c r="V119" s="741">
        <v>23.244</v>
      </c>
      <c r="W119" s="741">
        <v>4.5095714328571432</v>
      </c>
      <c r="X119" s="741">
        <v>433.89143152857145</v>
      </c>
      <c r="Y119" s="741">
        <v>152.80443028571429</v>
      </c>
    </row>
    <row r="120" spans="15:25">
      <c r="P120" s="740">
        <v>13</v>
      </c>
      <c r="Q120" s="741">
        <v>28.360142844285718</v>
      </c>
      <c r="R120" s="741">
        <v>17.439428465714283</v>
      </c>
      <c r="S120" s="741">
        <v>396.37686155714289</v>
      </c>
      <c r="T120" s="741">
        <v>163.75585502857143</v>
      </c>
      <c r="U120" s="741">
        <v>35.725570951428573</v>
      </c>
      <c r="V120" s="741">
        <v>23.143392837142859</v>
      </c>
      <c r="W120" s="741">
        <v>3.3929999999999998</v>
      </c>
      <c r="X120" s="741">
        <v>281.79928587142859</v>
      </c>
      <c r="Y120" s="741">
        <v>107.32928468714286</v>
      </c>
    </row>
    <row r="121" spans="15:25">
      <c r="P121" s="740">
        <v>14</v>
      </c>
      <c r="Q121" s="741">
        <v>23.830285752857144</v>
      </c>
      <c r="R121" s="741">
        <v>12.833285604571429</v>
      </c>
      <c r="S121" s="741">
        <v>226.32643345714288</v>
      </c>
      <c r="T121" s="741">
        <v>133.53585814285714</v>
      </c>
      <c r="U121" s="741">
        <v>28.622000282857147</v>
      </c>
      <c r="V121" s="741">
        <v>19.16</v>
      </c>
      <c r="W121" s="741">
        <v>1.736</v>
      </c>
      <c r="X121" s="741">
        <v>176.23214502857144</v>
      </c>
      <c r="Y121" s="741">
        <v>80.936570849999995</v>
      </c>
    </row>
    <row r="122" spans="15:25">
      <c r="P122" s="740">
        <v>15</v>
      </c>
      <c r="Q122" s="741">
        <v>27</v>
      </c>
      <c r="R122" s="741">
        <v>15.571285655714286</v>
      </c>
      <c r="S122" s="741">
        <v>207.40800040000002</v>
      </c>
      <c r="T122" s="741">
        <v>107.59514291428572</v>
      </c>
      <c r="U122" s="741">
        <v>30.753999982857145</v>
      </c>
      <c r="V122" s="741">
        <v>14.377143042857142</v>
      </c>
      <c r="W122" s="741">
        <v>1.8612856864285716</v>
      </c>
      <c r="X122" s="741">
        <v>130.09</v>
      </c>
      <c r="Y122" s="741">
        <v>42.693143572857146</v>
      </c>
    </row>
    <row r="123" spans="15:25">
      <c r="O123" s="739">
        <v>16</v>
      </c>
      <c r="P123" s="740">
        <v>16</v>
      </c>
      <c r="Q123" s="741">
        <v>19.899999999999999</v>
      </c>
      <c r="R123" s="741">
        <v>12.83</v>
      </c>
      <c r="S123" s="741">
        <v>166.38871437142856</v>
      </c>
      <c r="T123" s="741">
        <v>95.78</v>
      </c>
      <c r="U123" s="741">
        <v>29.88</v>
      </c>
      <c r="V123" s="741">
        <v>12.36</v>
      </c>
      <c r="W123" s="741">
        <v>1.9</v>
      </c>
      <c r="X123" s="741">
        <v>96.9</v>
      </c>
      <c r="Y123" s="741">
        <v>33.717142651428574</v>
      </c>
    </row>
    <row r="124" spans="15:25">
      <c r="P124" s="740">
        <v>17</v>
      </c>
      <c r="Q124" s="741">
        <v>19.14</v>
      </c>
      <c r="R124" s="741">
        <v>13.52</v>
      </c>
      <c r="S124" s="741">
        <v>168.19342804285716</v>
      </c>
      <c r="T124" s="741">
        <v>95.39</v>
      </c>
      <c r="U124" s="741">
        <v>22.257285525714284</v>
      </c>
      <c r="V124" s="741">
        <v>13.4</v>
      </c>
      <c r="W124" s="741">
        <v>1.7940000124285713</v>
      </c>
      <c r="X124" s="741">
        <v>89.59</v>
      </c>
      <c r="Y124" s="741">
        <v>27.06</v>
      </c>
    </row>
    <row r="125" spans="15:25">
      <c r="P125" s="740">
        <v>18</v>
      </c>
      <c r="Q125" s="741">
        <v>19.703571455714286</v>
      </c>
      <c r="R125" s="741">
        <v>14.166857039571427</v>
      </c>
      <c r="S125" s="741">
        <v>171.5428597714286</v>
      </c>
      <c r="T125" s="741">
        <v>85.958285739999994</v>
      </c>
      <c r="U125" s="741">
        <v>21.651714052857141</v>
      </c>
      <c r="V125" s="741">
        <v>12.785805702857145</v>
      </c>
      <c r="W125" s="741">
        <v>2.3024285860000004</v>
      </c>
      <c r="X125" s="741">
        <v>89.602142331428567</v>
      </c>
      <c r="Y125" s="741">
        <v>22.269714081428571</v>
      </c>
    </row>
    <row r="126" spans="15:25">
      <c r="P126" s="740">
        <v>19</v>
      </c>
      <c r="Q126" s="741">
        <v>15.48828561</v>
      </c>
      <c r="R126" s="741">
        <v>12.650857108142857</v>
      </c>
      <c r="S126" s="741">
        <v>146.54485865714287</v>
      </c>
      <c r="T126" s="741">
        <v>88.244000028571435</v>
      </c>
      <c r="U126" s="741">
        <v>19.037142890000002</v>
      </c>
      <c r="V126" s="741">
        <v>11.328391347142857</v>
      </c>
      <c r="W126" s="741">
        <v>1.8057142665714285</v>
      </c>
      <c r="X126" s="741">
        <v>75.568572998571426</v>
      </c>
      <c r="Y126" s="741">
        <v>17.565999711428571</v>
      </c>
    </row>
    <row r="127" spans="15:25">
      <c r="O127" s="739">
        <v>20</v>
      </c>
      <c r="P127" s="740">
        <v>20</v>
      </c>
      <c r="Q127" s="741">
        <v>14.601142882857145</v>
      </c>
      <c r="R127" s="741">
        <v>10.013285772</v>
      </c>
      <c r="S127" s="741">
        <v>112.76242937142857</v>
      </c>
      <c r="T127" s="741">
        <v>64.809571402857145</v>
      </c>
      <c r="U127" s="741">
        <v>16.531571660000001</v>
      </c>
      <c r="V127" s="741">
        <v>10.899261474285714</v>
      </c>
      <c r="W127" s="741">
        <v>1.7767143248571429</v>
      </c>
      <c r="X127" s="741">
        <v>62.208570752857149</v>
      </c>
      <c r="Y127" s="741">
        <v>14.502285821428572</v>
      </c>
    </row>
    <row r="128" spans="15:25">
      <c r="P128" s="740">
        <v>21</v>
      </c>
      <c r="Q128" s="741">
        <v>13.411285537142858</v>
      </c>
      <c r="R128" s="741">
        <v>7.8631429672857154</v>
      </c>
      <c r="S128" s="741">
        <v>94.636570517142857</v>
      </c>
      <c r="T128" s="741">
        <v>49.303714208571428</v>
      </c>
      <c r="U128" s="741">
        <v>13.450571468571427</v>
      </c>
      <c r="V128" s="741">
        <v>11.166911400000002</v>
      </c>
      <c r="W128" s="741">
        <v>1.8437143055714282</v>
      </c>
      <c r="X128" s="741">
        <v>54.38714218285714</v>
      </c>
      <c r="Y128" s="741">
        <v>12.214999879999999</v>
      </c>
    </row>
    <row r="129" spans="15:25">
      <c r="P129" s="740">
        <v>22</v>
      </c>
      <c r="Q129" s="741">
        <v>12.490285737142855</v>
      </c>
      <c r="R129" s="741">
        <v>6.4215714250000007</v>
      </c>
      <c r="S129" s="741">
        <v>81.718714031428576</v>
      </c>
      <c r="T129" s="741">
        <v>42.928571428571431</v>
      </c>
      <c r="U129" s="741">
        <v>11.897571562857141</v>
      </c>
      <c r="V129" s="741">
        <v>10.57333578442857</v>
      </c>
      <c r="W129" s="741">
        <v>1.8770000252857142</v>
      </c>
      <c r="X129" s="741">
        <v>48.837857382857138</v>
      </c>
      <c r="Y129" s="741">
        <v>10.894571441428569</v>
      </c>
    </row>
    <row r="130" spans="15:25">
      <c r="P130" s="740">
        <v>23</v>
      </c>
      <c r="Q130" s="741">
        <v>12.278000014285713</v>
      </c>
      <c r="R130" s="741">
        <v>5.5577142921428564</v>
      </c>
      <c r="S130" s="741">
        <v>83.760285512857152</v>
      </c>
      <c r="T130" s="741">
        <v>67.797571451428567</v>
      </c>
      <c r="U130" s="741">
        <v>15.801714215714284</v>
      </c>
      <c r="V130" s="741">
        <v>11.341294289999999</v>
      </c>
      <c r="W130" s="741">
        <v>1.7928571701428571</v>
      </c>
      <c r="X130" s="741">
        <v>58.175000328571436</v>
      </c>
      <c r="Y130" s="741">
        <v>13.860571451428571</v>
      </c>
    </row>
    <row r="131" spans="15:25">
      <c r="O131" s="739">
        <v>24</v>
      </c>
      <c r="P131" s="740">
        <v>24</v>
      </c>
      <c r="Q131" s="741">
        <v>10.882714271142857</v>
      </c>
      <c r="R131" s="741">
        <v>5.3317142215714286</v>
      </c>
      <c r="S131" s="741">
        <v>82.799001421428557</v>
      </c>
      <c r="T131" s="741">
        <v>63.982142857142854</v>
      </c>
      <c r="U131" s="741">
        <v>15.595999989999999</v>
      </c>
      <c r="V131" s="741">
        <v>11.96411841142857</v>
      </c>
      <c r="W131" s="741">
        <v>2.0252857377142854</v>
      </c>
      <c r="X131" s="741">
        <v>61.988572801428582</v>
      </c>
      <c r="Y131" s="741">
        <v>13.392856871428572</v>
      </c>
    </row>
    <row r="132" spans="15:25">
      <c r="P132" s="740">
        <v>25</v>
      </c>
      <c r="Q132" s="741">
        <v>10.290999957142857</v>
      </c>
      <c r="R132" s="741">
        <v>3.7498572211428569</v>
      </c>
      <c r="S132" s="741">
        <v>74.093855721428568</v>
      </c>
      <c r="T132" s="741">
        <v>53.035571505714287</v>
      </c>
      <c r="U132" s="741">
        <v>14.135857038571428</v>
      </c>
      <c r="V132" s="741">
        <v>11.79</v>
      </c>
      <c r="W132" s="741">
        <v>2.0514285564285717</v>
      </c>
      <c r="X132" s="741">
        <v>51.970714024285719</v>
      </c>
      <c r="Y132" s="741">
        <v>10.749428476857142</v>
      </c>
    </row>
    <row r="133" spans="15:25">
      <c r="P133" s="740">
        <v>26</v>
      </c>
      <c r="Q133" s="741">
        <v>9.5591429302857147</v>
      </c>
      <c r="R133" s="741">
        <v>3.5651427677142853</v>
      </c>
      <c r="S133" s="741">
        <v>66.795142037142867</v>
      </c>
      <c r="T133" s="741">
        <v>40.369000025714286</v>
      </c>
      <c r="U133" s="741">
        <v>10.912428581428573</v>
      </c>
      <c r="V133" s="741">
        <v>10.93</v>
      </c>
      <c r="W133" s="741">
        <v>2.1038571597142854</v>
      </c>
      <c r="X133" s="741">
        <v>44.390714371428579</v>
      </c>
      <c r="Y133" s="741">
        <v>9.1145714351428584</v>
      </c>
    </row>
    <row r="134" spans="15:25">
      <c r="P134" s="740">
        <v>27</v>
      </c>
      <c r="Q134" s="741">
        <v>9.3137141635714293</v>
      </c>
      <c r="R134" s="741">
        <v>4.7600000245714282</v>
      </c>
      <c r="S134" s="741">
        <v>67.368571689999996</v>
      </c>
      <c r="T134" s="741">
        <v>33.409999999999997</v>
      </c>
      <c r="U134" s="741">
        <v>9.4035714009999989</v>
      </c>
      <c r="V134" s="741">
        <v>12.51</v>
      </c>
      <c r="W134" s="741">
        <v>2.0499999999999998</v>
      </c>
      <c r="X134" s="741">
        <v>39.173571994285716</v>
      </c>
      <c r="Y134" s="741">
        <v>7.6487142698571438</v>
      </c>
    </row>
    <row r="135" spans="15:25">
      <c r="O135" s="739">
        <v>28</v>
      </c>
      <c r="P135" s="740">
        <v>28</v>
      </c>
      <c r="Q135" s="741">
        <v>8.7544284548571447</v>
      </c>
      <c r="R135" s="741">
        <v>2.5707143034285713</v>
      </c>
      <c r="S135" s="741">
        <v>65.073571887142847</v>
      </c>
      <c r="T135" s="741">
        <v>33.160714285714285</v>
      </c>
      <c r="U135" s="741">
        <v>9.4155716217142871</v>
      </c>
      <c r="V135" s="741">
        <v>12.3</v>
      </c>
      <c r="W135" s="741">
        <v>2.2505714212857142</v>
      </c>
      <c r="X135" s="741">
        <v>36.999285560000011</v>
      </c>
      <c r="Y135" s="741">
        <v>7.0544285774285713</v>
      </c>
    </row>
    <row r="136" spans="15:25">
      <c r="P136" s="740">
        <v>29</v>
      </c>
      <c r="Q136" s="741">
        <v>8.6149000000000004</v>
      </c>
      <c r="R136" s="741">
        <v>3.7006000000000001</v>
      </c>
      <c r="S136" s="741">
        <v>62.515714285714289</v>
      </c>
      <c r="T136" s="741">
        <v>35.738</v>
      </c>
      <c r="U136" s="741">
        <v>9.5503999999999998</v>
      </c>
      <c r="V136" s="741">
        <v>12.245714285714286</v>
      </c>
      <c r="W136" s="741">
        <v>1.9771428571428571</v>
      </c>
      <c r="X136" s="741">
        <v>38.677142857142861</v>
      </c>
      <c r="Y136" s="741">
        <v>6.3400000000000007</v>
      </c>
    </row>
    <row r="137" spans="15:25">
      <c r="P137" s="740">
        <v>30</v>
      </c>
      <c r="Q137" s="741">
        <v>8.1221428598571439</v>
      </c>
      <c r="R137" s="741">
        <v>4.9111429789999992</v>
      </c>
      <c r="S137" s="741">
        <v>57.148857115714286</v>
      </c>
      <c r="T137" s="741">
        <v>85.065429679999994</v>
      </c>
      <c r="U137" s="741">
        <v>15.534142631428571</v>
      </c>
      <c r="V137" s="741">
        <v>10.995952741142858</v>
      </c>
      <c r="W137" s="741">
        <v>2.2859999964285715</v>
      </c>
      <c r="X137" s="741">
        <v>56.166428702857139</v>
      </c>
      <c r="Y137" s="741">
        <v>9.4385714285714304</v>
      </c>
    </row>
    <row r="138" spans="15:25">
      <c r="O138" s="739">
        <v>31</v>
      </c>
      <c r="P138" s="740">
        <v>31</v>
      </c>
      <c r="Q138" s="741">
        <v>7.5620000000000003</v>
      </c>
      <c r="R138" s="741">
        <v>3.28</v>
      </c>
      <c r="S138" s="741">
        <v>58.768000000000001</v>
      </c>
      <c r="T138" s="741">
        <v>40.375</v>
      </c>
      <c r="U138" s="741">
        <v>8.5579999999999998</v>
      </c>
      <c r="V138" s="741">
        <v>13.18</v>
      </c>
      <c r="W138" s="741">
        <v>2</v>
      </c>
      <c r="X138" s="741">
        <v>50.215000000000003</v>
      </c>
      <c r="Y138" s="741">
        <v>8.5770238095238049</v>
      </c>
    </row>
    <row r="139" spans="15:25">
      <c r="Q139" s="739" t="s">
        <v>305</v>
      </c>
      <c r="R139" s="739" t="s">
        <v>306</v>
      </c>
      <c r="S139" s="739" t="s">
        <v>307</v>
      </c>
      <c r="T139" s="739" t="s">
        <v>308</v>
      </c>
      <c r="U139" s="739" t="s">
        <v>309</v>
      </c>
      <c r="V139" s="739" t="s">
        <v>310</v>
      </c>
      <c r="W139" s="739" t="s">
        <v>311</v>
      </c>
      <c r="X139" s="739" t="s">
        <v>312</v>
      </c>
      <c r="Y139" s="739" t="s">
        <v>313</v>
      </c>
    </row>
  </sheetData>
  <mergeCells count="3">
    <mergeCell ref="A65:L65"/>
    <mergeCell ref="A40:L40"/>
    <mergeCell ref="A18:L18"/>
  </mergeCells>
  <pageMargins left="0.7" right="0.7" top="0.86956521739130432" bottom="0.61458333333333337" header="0.3" footer="0.3"/>
  <pageSetup scale="95" orientation="portrait" r:id="rId1"/>
  <headerFooter>
    <oddHeader>&amp;R&amp;7Informe de la Operación Mensual - Julio 2018
INFSGI-MES-07-2018
14/08/2018
Versión: 01</oddHeader>
    <oddFooter>&amp;L&amp;7COES SINAC, 2018
&amp;C13&amp;R&amp;7Dirección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BA1B-4505-4E96-91EC-04C4917C2A4F}">
  <sheetPr>
    <tabColor theme="4"/>
  </sheetPr>
  <dimension ref="A1:O59"/>
  <sheetViews>
    <sheetView showGridLines="0" view="pageBreakPreview" zoomScale="145" zoomScaleNormal="100" zoomScaleSheetLayoutView="145" zoomScalePageLayoutView="160" workbookViewId="0">
      <selection activeCell="Q29" sqref="Q29"/>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3" max="13" width="20.42578125" style="710" customWidth="1"/>
    <col min="14" max="15" width="9.28515625" style="709"/>
  </cols>
  <sheetData>
    <row r="1" spans="1:15" ht="11.25" customHeight="1"/>
    <row r="2" spans="1:15" ht="11.25" customHeight="1">
      <c r="A2" s="818" t="s">
        <v>495</v>
      </c>
      <c r="B2" s="818"/>
      <c r="C2" s="818"/>
      <c r="D2" s="818"/>
      <c r="E2" s="818"/>
      <c r="F2" s="818"/>
      <c r="G2" s="818"/>
      <c r="H2" s="818"/>
      <c r="I2" s="818"/>
      <c r="J2" s="818"/>
      <c r="K2" s="818"/>
    </row>
    <row r="3" spans="1:15" ht="11.25" customHeight="1">
      <c r="A3" s="18"/>
      <c r="B3" s="18"/>
      <c r="C3" s="18"/>
      <c r="D3" s="18"/>
      <c r="E3" s="18"/>
      <c r="F3" s="18"/>
      <c r="G3" s="18"/>
      <c r="H3" s="18"/>
      <c r="I3" s="18"/>
      <c r="J3" s="18"/>
      <c r="K3" s="18"/>
      <c r="L3" s="36"/>
    </row>
    <row r="4" spans="1:15" ht="11.25" customHeight="1">
      <c r="A4" s="803" t="s">
        <v>496</v>
      </c>
      <c r="B4" s="803"/>
      <c r="C4" s="803"/>
      <c r="D4" s="803"/>
      <c r="E4" s="803"/>
      <c r="F4" s="803"/>
      <c r="G4" s="803"/>
      <c r="H4" s="803"/>
      <c r="I4" s="223"/>
      <c r="J4" s="223"/>
      <c r="L4" s="36"/>
    </row>
    <row r="5" spans="1:15" ht="7.5" customHeight="1">
      <c r="A5" s="224"/>
      <c r="B5" s="224"/>
      <c r="C5" s="224"/>
      <c r="D5" s="224"/>
      <c r="E5" s="224"/>
      <c r="F5" s="224"/>
      <c r="G5" s="224"/>
      <c r="H5" s="224"/>
      <c r="I5" s="224"/>
      <c r="J5" s="224"/>
      <c r="L5" s="8"/>
    </row>
    <row r="6" spans="1:15" ht="11.25" customHeight="1">
      <c r="A6" s="224"/>
      <c r="B6" s="228" t="s">
        <v>497</v>
      </c>
      <c r="C6" s="224"/>
      <c r="D6" s="224"/>
      <c r="E6" s="224"/>
      <c r="F6" s="224"/>
      <c r="G6" s="224"/>
      <c r="H6" s="224"/>
      <c r="I6" s="224"/>
      <c r="J6" s="224"/>
      <c r="L6" s="15"/>
    </row>
    <row r="7" spans="1:15" ht="7.5" customHeight="1">
      <c r="A7" s="224"/>
      <c r="B7" s="225"/>
      <c r="C7" s="224"/>
      <c r="D7" s="224"/>
      <c r="E7" s="224"/>
      <c r="F7" s="224"/>
      <c r="G7" s="224"/>
      <c r="H7" s="224"/>
      <c r="I7" s="224"/>
      <c r="J7" s="224"/>
      <c r="L7" s="12"/>
    </row>
    <row r="8" spans="1:15" ht="21" customHeight="1">
      <c r="A8" s="224"/>
      <c r="B8" s="574" t="s">
        <v>175</v>
      </c>
      <c r="C8" s="575" t="s">
        <v>176</v>
      </c>
      <c r="D8" s="575" t="s">
        <v>177</v>
      </c>
      <c r="E8" s="575" t="s">
        <v>180</v>
      </c>
      <c r="F8" s="575" t="s">
        <v>179</v>
      </c>
      <c r="G8" s="576" t="s">
        <v>178</v>
      </c>
      <c r="H8" s="220"/>
      <c r="I8" s="220"/>
      <c r="J8" s="220"/>
      <c r="L8" s="22"/>
      <c r="M8" s="711" t="s">
        <v>176</v>
      </c>
      <c r="N8" s="712" t="str">
        <f>M8&amp;"
 ("&amp;ROUND(HLOOKUP(M8,$C$8:$G$9,2,0),2)&amp;"   USD/MWh)"</f>
        <v>PIURA OESTE 220
 (16,56   USD/MWh)</v>
      </c>
    </row>
    <row r="9" spans="1:15" ht="18" customHeight="1">
      <c r="A9" s="224"/>
      <c r="B9" s="577" t="s">
        <v>181</v>
      </c>
      <c r="C9" s="363">
        <v>16.564766996078614</v>
      </c>
      <c r="D9" s="363">
        <v>16.530420642886973</v>
      </c>
      <c r="E9" s="363">
        <v>16.33141770490538</v>
      </c>
      <c r="F9" s="363">
        <v>16.236673141803081</v>
      </c>
      <c r="G9" s="363">
        <v>16.126945021996381</v>
      </c>
      <c r="H9" s="220"/>
      <c r="I9" s="220"/>
      <c r="J9" s="220"/>
      <c r="K9" s="220"/>
      <c r="L9" s="22"/>
      <c r="M9" s="711" t="s">
        <v>177</v>
      </c>
      <c r="N9" s="712" t="str">
        <f>M9&amp;"
("&amp;ROUND(HLOOKUP(M9,$C$8:$G$9,2,0),2)&amp;" USD/MWh)"</f>
        <v>CHICLAYO 220
(16,53 USD/MWh)</v>
      </c>
    </row>
    <row r="10" spans="1:15" ht="14.25" customHeight="1">
      <c r="A10" s="224"/>
      <c r="B10" s="838" t="str">
        <f>"Cuadro N°11: Valor de los costos marginales medios registrados en las principales barras del área norte durante el mes de "&amp;'1. Resumen'!Q4</f>
        <v>Cuadro N°11: Valor de los costos marginales medios registrados en las principales barras del área norte durante el mes de julio</v>
      </c>
      <c r="C10" s="838"/>
      <c r="D10" s="838"/>
      <c r="E10" s="838"/>
      <c r="F10" s="838"/>
      <c r="G10" s="838"/>
      <c r="H10" s="838"/>
      <c r="I10" s="838"/>
      <c r="J10" s="220"/>
      <c r="K10" s="220"/>
      <c r="L10" s="22"/>
      <c r="M10" s="711" t="s">
        <v>179</v>
      </c>
      <c r="N10" s="712" t="str">
        <f>M10&amp;"
("&amp;ROUND(HLOOKUP(M10,$C$8:$G$9,2,0),2)&amp;" USD/MWh)"</f>
        <v>TRUJILLO 220
(16,24 USD/MWh)</v>
      </c>
    </row>
    <row r="11" spans="1:15" ht="11.25" customHeight="1">
      <c r="A11" s="224"/>
      <c r="B11" s="232"/>
      <c r="C11" s="220"/>
      <c r="D11" s="220"/>
      <c r="E11" s="220"/>
      <c r="F11" s="220"/>
      <c r="G11" s="220"/>
      <c r="H11" s="220"/>
      <c r="I11" s="220"/>
      <c r="J11" s="220"/>
      <c r="K11" s="220"/>
      <c r="L11" s="22"/>
      <c r="M11" s="711" t="s">
        <v>178</v>
      </c>
      <c r="N11" s="712" t="str">
        <f>M11&amp;"
("&amp;ROUND(HLOOKUP(M11,$C$8:$G$9,2,0),2)&amp;" USD/MWh)"</f>
        <v>CHIMBOTE1 138
(16,13 USD/MWh)</v>
      </c>
    </row>
    <row r="12" spans="1:15" ht="11.25" customHeight="1">
      <c r="A12" s="224"/>
      <c r="B12" s="220"/>
      <c r="C12" s="220"/>
      <c r="D12" s="220"/>
      <c r="E12" s="220"/>
      <c r="F12" s="220"/>
      <c r="G12" s="220"/>
      <c r="H12" s="220"/>
      <c r="I12" s="220"/>
      <c r="J12" s="220"/>
      <c r="K12" s="220"/>
      <c r="L12" s="24"/>
      <c r="M12" s="711" t="s">
        <v>180</v>
      </c>
      <c r="N12" s="712" t="str">
        <f>M12&amp;"
("&amp;ROUND(HLOOKUP(M12,$C$8:$G$9,2,0),2)&amp;" USD/MWh)"</f>
        <v>CAJAMARCA 220
(16,33 USD/MWh)</v>
      </c>
    </row>
    <row r="13" spans="1:15" ht="11.25" customHeight="1">
      <c r="A13" s="224"/>
      <c r="B13" s="220"/>
      <c r="C13" s="220"/>
      <c r="D13" s="220"/>
      <c r="E13" s="220"/>
      <c r="F13" s="220"/>
      <c r="G13" s="220"/>
      <c r="H13" s="220"/>
      <c r="I13" s="220"/>
      <c r="J13" s="220"/>
      <c r="K13" s="220"/>
      <c r="L13" s="22"/>
      <c r="M13" s="711"/>
      <c r="N13" s="712"/>
      <c r="O13" s="711"/>
    </row>
    <row r="14" spans="1:15" ht="11.25" customHeight="1">
      <c r="A14" s="224"/>
      <c r="B14" s="220"/>
      <c r="C14" s="220"/>
      <c r="D14" s="220"/>
      <c r="E14" s="220"/>
      <c r="F14" s="220"/>
      <c r="G14" s="220"/>
      <c r="H14" s="220"/>
      <c r="I14" s="220"/>
      <c r="J14" s="220"/>
      <c r="K14" s="220"/>
      <c r="L14" s="22"/>
      <c r="M14" s="711" t="s">
        <v>183</v>
      </c>
      <c r="N14" s="712" t="str">
        <f t="shared" ref="N14:N20" si="0">M14&amp;"
("&amp;ROUND(HLOOKUP(M14,$C$26:$I$27,2,0),2)&amp;" USD/MWh)"</f>
        <v>CHAVARRIA 220
(15,62 USD/MWh)</v>
      </c>
    </row>
    <row r="15" spans="1:15" ht="11.25" customHeight="1">
      <c r="A15" s="224"/>
      <c r="B15" s="220"/>
      <c r="C15" s="220"/>
      <c r="D15" s="220"/>
      <c r="E15" s="220"/>
      <c r="F15" s="220"/>
      <c r="G15" s="220"/>
      <c r="H15" s="220"/>
      <c r="I15" s="220"/>
      <c r="J15" s="220"/>
      <c r="K15" s="220"/>
      <c r="L15" s="22"/>
      <c r="M15" s="711" t="s">
        <v>185</v>
      </c>
      <c r="N15" s="712" t="str">
        <f t="shared" si="0"/>
        <v>INDEPENDENCIA 220
(15,59 USD/MWh)</v>
      </c>
    </row>
    <row r="16" spans="1:15" ht="11.25" customHeight="1">
      <c r="A16" s="224"/>
      <c r="B16" s="220"/>
      <c r="C16" s="220"/>
      <c r="D16" s="220"/>
      <c r="E16" s="220"/>
      <c r="F16" s="220"/>
      <c r="G16" s="220"/>
      <c r="H16" s="220"/>
      <c r="I16" s="220"/>
      <c r="J16" s="220"/>
      <c r="K16" s="220"/>
      <c r="L16" s="22"/>
      <c r="M16" s="711" t="s">
        <v>186</v>
      </c>
      <c r="N16" s="712" t="str">
        <f t="shared" si="0"/>
        <v>CARABAYLLO 220
(15,62 USD/MWh)</v>
      </c>
    </row>
    <row r="17" spans="1:14" ht="11.25" customHeight="1">
      <c r="A17" s="224"/>
      <c r="B17" s="220"/>
      <c r="C17" s="220"/>
      <c r="D17" s="220"/>
      <c r="E17" s="220"/>
      <c r="F17" s="220"/>
      <c r="G17" s="220"/>
      <c r="H17" s="220"/>
      <c r="I17" s="220"/>
      <c r="J17" s="220"/>
      <c r="K17" s="220"/>
      <c r="L17" s="22"/>
      <c r="M17" s="711" t="s">
        <v>182</v>
      </c>
      <c r="N17" s="712" t="str">
        <f t="shared" si="0"/>
        <v>SANTA ROSA 220
(15,55 USD/MWh)</v>
      </c>
    </row>
    <row r="18" spans="1:14" ht="11.25" customHeight="1">
      <c r="A18" s="224"/>
      <c r="B18" s="220"/>
      <c r="C18" s="220"/>
      <c r="D18" s="220"/>
      <c r="E18" s="220"/>
      <c r="F18" s="220"/>
      <c r="G18" s="220"/>
      <c r="H18" s="220"/>
      <c r="I18" s="220"/>
      <c r="J18" s="220"/>
      <c r="K18" s="220"/>
      <c r="L18" s="22"/>
      <c r="M18" s="711" t="s">
        <v>184</v>
      </c>
      <c r="N18" s="712" t="str">
        <f t="shared" si="0"/>
        <v>SAN JUAN 220
(15,54 USD/MWh)</v>
      </c>
    </row>
    <row r="19" spans="1:14" ht="11.25" customHeight="1">
      <c r="A19" s="224"/>
      <c r="B19" s="220"/>
      <c r="C19" s="220"/>
      <c r="D19" s="220"/>
      <c r="E19" s="220"/>
      <c r="F19" s="220"/>
      <c r="G19" s="220"/>
      <c r="H19" s="220"/>
      <c r="I19" s="220"/>
      <c r="J19" s="220"/>
      <c r="K19" s="220"/>
      <c r="L19" s="30"/>
      <c r="M19" s="711" t="s">
        <v>187</v>
      </c>
      <c r="N19" s="712" t="str">
        <f t="shared" si="0"/>
        <v>POMACOCHA 220
(15,27 USD/MWh)</v>
      </c>
    </row>
    <row r="20" spans="1:14" ht="11.25" customHeight="1">
      <c r="A20" s="224"/>
      <c r="B20" s="230"/>
      <c r="C20" s="230"/>
      <c r="D20" s="230"/>
      <c r="E20" s="230"/>
      <c r="F20" s="230"/>
      <c r="G20" s="220"/>
      <c r="H20" s="220"/>
      <c r="I20" s="220"/>
      <c r="J20" s="220"/>
      <c r="K20" s="220"/>
      <c r="L20" s="22"/>
      <c r="M20" s="711" t="s">
        <v>188</v>
      </c>
      <c r="N20" s="712" t="str">
        <f t="shared" si="0"/>
        <v>OROYA NUEVA 50
(15,14 USD/MWh)</v>
      </c>
    </row>
    <row r="21" spans="1:14" ht="11.25" customHeight="1">
      <c r="A21" s="224"/>
      <c r="B21" s="839" t="str">
        <f>"Gráfico N°20: Costos marginales medios registrados en las principales barras del área norte durante el mes de "&amp;'1. Resumen'!Q4</f>
        <v>Gráfico N°20: Costos marginales medios registrados en las principales barras del área norte durante el mes de julio</v>
      </c>
      <c r="C21" s="839"/>
      <c r="D21" s="839"/>
      <c r="E21" s="839"/>
      <c r="F21" s="839"/>
      <c r="G21" s="839"/>
      <c r="H21" s="839"/>
      <c r="I21" s="839"/>
      <c r="J21" s="220"/>
      <c r="K21" s="220"/>
      <c r="L21" s="22"/>
      <c r="M21" s="711"/>
      <c r="N21" s="712"/>
    </row>
    <row r="22" spans="1:14" ht="7.5" customHeight="1">
      <c r="A22" s="224"/>
      <c r="B22" s="226"/>
      <c r="C22" s="226"/>
      <c r="D22" s="226"/>
      <c r="E22" s="226"/>
      <c r="F22" s="226"/>
      <c r="G22" s="224"/>
      <c r="H22" s="224"/>
      <c r="I22" s="224"/>
      <c r="J22" s="224"/>
      <c r="K22" s="224"/>
      <c r="L22" s="15"/>
      <c r="M22" s="711"/>
      <c r="N22" s="712"/>
    </row>
    <row r="23" spans="1:14" ht="11.25" customHeight="1">
      <c r="A23" s="224"/>
      <c r="B23" s="226"/>
      <c r="C23" s="226"/>
      <c r="D23" s="226"/>
      <c r="E23" s="226"/>
      <c r="F23" s="226"/>
      <c r="G23" s="224"/>
      <c r="H23" s="224"/>
      <c r="I23" s="224"/>
      <c r="J23" s="224"/>
      <c r="K23" s="224"/>
      <c r="L23" s="16"/>
      <c r="M23" s="711" t="s">
        <v>189</v>
      </c>
      <c r="N23" s="712" t="str">
        <f t="shared" ref="N23:N29" si="1">M23&amp;"
("&amp;ROUND(HLOOKUP(M23,$C$45:$I$46,2,0),2)&amp;" USD/MWh)"</f>
        <v>TINTAYA NUEVA 220
(17,57 USD/MWh)</v>
      </c>
    </row>
    <row r="24" spans="1:14" ht="11.25" customHeight="1">
      <c r="A24" s="224"/>
      <c r="B24" s="229" t="s">
        <v>498</v>
      </c>
      <c r="C24" s="226"/>
      <c r="D24" s="226"/>
      <c r="E24" s="226"/>
      <c r="F24" s="226"/>
      <c r="G24" s="224"/>
      <c r="H24" s="224"/>
      <c r="I24" s="224"/>
      <c r="J24" s="224"/>
      <c r="K24" s="224"/>
      <c r="L24" s="15"/>
      <c r="M24" s="711" t="s">
        <v>190</v>
      </c>
      <c r="N24" s="712" t="str">
        <f t="shared" si="1"/>
        <v>PUNO 138
(17,26 USD/MWh)</v>
      </c>
    </row>
    <row r="25" spans="1:14" ht="6.75" customHeight="1">
      <c r="A25" s="224"/>
      <c r="B25" s="226"/>
      <c r="C25" s="226"/>
      <c r="D25" s="226"/>
      <c r="E25" s="226"/>
      <c r="F25" s="226"/>
      <c r="G25" s="224"/>
      <c r="H25" s="224"/>
      <c r="I25" s="224"/>
      <c r="J25" s="224"/>
      <c r="K25" s="224"/>
      <c r="L25" s="15"/>
      <c r="M25" s="711" t="s">
        <v>191</v>
      </c>
      <c r="N25" s="712" t="str">
        <f t="shared" si="1"/>
        <v>SOCABAYA 220
(16,91 USD/MWh)</v>
      </c>
    </row>
    <row r="26" spans="1:14" ht="25.5" customHeight="1">
      <c r="A26" s="224"/>
      <c r="B26" s="578" t="s">
        <v>175</v>
      </c>
      <c r="C26" s="575" t="s">
        <v>183</v>
      </c>
      <c r="D26" s="575" t="s">
        <v>186</v>
      </c>
      <c r="E26" s="575" t="s">
        <v>185</v>
      </c>
      <c r="F26" s="575" t="s">
        <v>182</v>
      </c>
      <c r="G26" s="575" t="s">
        <v>184</v>
      </c>
      <c r="H26" s="575" t="s">
        <v>187</v>
      </c>
      <c r="I26" s="576" t="s">
        <v>188</v>
      </c>
      <c r="J26" s="221"/>
      <c r="K26" s="220"/>
      <c r="L26" s="22"/>
      <c r="M26" s="711" t="s">
        <v>192</v>
      </c>
      <c r="N26" s="712" t="str">
        <f t="shared" si="1"/>
        <v>MOQUEGUA 138
(16,52 USD/MWh)</v>
      </c>
    </row>
    <row r="27" spans="1:14" ht="18" customHeight="1">
      <c r="A27" s="224"/>
      <c r="B27" s="579" t="s">
        <v>181</v>
      </c>
      <c r="C27" s="363">
        <v>15.622012093489902</v>
      </c>
      <c r="D27" s="363">
        <v>15.615574629616891</v>
      </c>
      <c r="E27" s="363">
        <v>15.588713282312275</v>
      </c>
      <c r="F27" s="363">
        <v>15.552385912180361</v>
      </c>
      <c r="G27" s="363">
        <v>15.535264928427587</v>
      </c>
      <c r="H27" s="363">
        <v>15.266150788880832</v>
      </c>
      <c r="I27" s="363">
        <v>15.141740353288519</v>
      </c>
      <c r="J27" s="231"/>
      <c r="K27" s="220"/>
      <c r="L27" s="22"/>
      <c r="M27" s="711" t="s">
        <v>193</v>
      </c>
      <c r="N27" s="712" t="str">
        <f t="shared" si="1"/>
        <v>DOLORESPATA 138
(16,35 USD/MWh)</v>
      </c>
    </row>
    <row r="28" spans="1:14" ht="19.5" customHeight="1">
      <c r="A28" s="224"/>
      <c r="B28" s="840" t="str">
        <f>"Cuadro N°12: Valor de los costos marginales medios registrados en las principales barras del área centro durante el mes de "&amp;'1. Resumen'!Q4</f>
        <v>Cuadro N°12: Valor de los costos marginales medios registrados en las principales barras del área centro durante el mes de julio</v>
      </c>
      <c r="C28" s="840"/>
      <c r="D28" s="840"/>
      <c r="E28" s="840"/>
      <c r="F28" s="840"/>
      <c r="G28" s="840"/>
      <c r="H28" s="840"/>
      <c r="I28" s="840"/>
      <c r="J28" s="220"/>
      <c r="K28" s="220"/>
      <c r="L28" s="22"/>
      <c r="M28" s="711" t="s">
        <v>194</v>
      </c>
      <c r="N28" s="712" t="str">
        <f t="shared" si="1"/>
        <v>COTARUSE 220
(16,2 USD/MWh)</v>
      </c>
    </row>
    <row r="29" spans="1:14" ht="11.25" customHeight="1">
      <c r="A29" s="224"/>
      <c r="B29" s="230"/>
      <c r="C29" s="230"/>
      <c r="D29" s="230"/>
      <c r="E29" s="230"/>
      <c r="F29" s="230"/>
      <c r="G29" s="230"/>
      <c r="H29" s="230"/>
      <c r="I29" s="230"/>
      <c r="J29" s="230"/>
      <c r="K29" s="230"/>
      <c r="L29" s="22"/>
      <c r="M29" s="711" t="s">
        <v>195</v>
      </c>
      <c r="N29" s="712" t="str">
        <f t="shared" si="1"/>
        <v>SAN GABAN 138
(16,87 USD/MWh)</v>
      </c>
    </row>
    <row r="30" spans="1:14" ht="11.25" customHeight="1">
      <c r="A30" s="224"/>
      <c r="B30" s="230"/>
      <c r="C30" s="230"/>
      <c r="D30" s="230"/>
      <c r="E30" s="230"/>
      <c r="F30" s="230"/>
      <c r="G30" s="230"/>
      <c r="H30" s="230"/>
      <c r="I30" s="230"/>
      <c r="J30" s="230"/>
      <c r="K30" s="230"/>
      <c r="L30" s="22"/>
      <c r="M30" s="711"/>
      <c r="N30" s="708"/>
    </row>
    <row r="31" spans="1:14" ht="11.25" customHeight="1">
      <c r="A31" s="224"/>
      <c r="B31" s="230"/>
      <c r="C31" s="230"/>
      <c r="D31" s="230"/>
      <c r="E31" s="230"/>
      <c r="F31" s="230"/>
      <c r="G31" s="230"/>
      <c r="H31" s="230"/>
      <c r="I31" s="230"/>
      <c r="J31" s="230"/>
      <c r="K31" s="230"/>
      <c r="L31" s="22"/>
      <c r="M31" s="711"/>
      <c r="N31" s="708"/>
    </row>
    <row r="32" spans="1:14" ht="11.25" customHeight="1">
      <c r="A32" s="224"/>
      <c r="B32" s="230"/>
      <c r="C32" s="230"/>
      <c r="D32" s="230"/>
      <c r="E32" s="230"/>
      <c r="F32" s="230"/>
      <c r="G32" s="230"/>
      <c r="H32" s="230"/>
      <c r="I32" s="230"/>
      <c r="J32" s="230"/>
      <c r="K32" s="230"/>
      <c r="L32" s="22"/>
      <c r="M32" s="711"/>
    </row>
    <row r="33" spans="1:12" ht="11.25" customHeight="1">
      <c r="A33" s="224"/>
      <c r="B33" s="230"/>
      <c r="C33" s="230"/>
      <c r="D33" s="230"/>
      <c r="E33" s="230"/>
      <c r="F33" s="230"/>
      <c r="G33" s="230"/>
      <c r="H33" s="230"/>
      <c r="I33" s="230"/>
      <c r="J33" s="230"/>
      <c r="K33" s="230"/>
      <c r="L33" s="22"/>
    </row>
    <row r="34" spans="1:12" ht="11.25" customHeight="1">
      <c r="A34" s="224"/>
      <c r="B34" s="230"/>
      <c r="C34" s="230"/>
      <c r="D34" s="230"/>
      <c r="E34" s="230"/>
      <c r="F34" s="230"/>
      <c r="G34" s="230"/>
      <c r="H34" s="230"/>
      <c r="I34" s="230"/>
      <c r="J34" s="230"/>
      <c r="K34" s="230"/>
      <c r="L34" s="22"/>
    </row>
    <row r="35" spans="1:12" ht="11.25" customHeight="1">
      <c r="A35" s="224"/>
      <c r="B35" s="230"/>
      <c r="C35" s="230"/>
      <c r="D35" s="230"/>
      <c r="E35" s="230"/>
      <c r="F35" s="230"/>
      <c r="G35" s="230"/>
      <c r="H35" s="230"/>
      <c r="I35" s="230"/>
      <c r="J35" s="230"/>
      <c r="K35" s="230"/>
      <c r="L35" s="38"/>
    </row>
    <row r="36" spans="1:12" ht="11.25" customHeight="1">
      <c r="A36" s="224"/>
      <c r="B36" s="230"/>
      <c r="C36" s="230"/>
      <c r="D36" s="230"/>
      <c r="E36" s="230"/>
      <c r="F36" s="230"/>
      <c r="G36" s="230"/>
      <c r="H36" s="230"/>
      <c r="I36" s="230"/>
      <c r="J36" s="230"/>
      <c r="K36" s="230"/>
      <c r="L36" s="22"/>
    </row>
    <row r="37" spans="1:12" ht="11.25" customHeight="1">
      <c r="A37" s="224"/>
      <c r="B37" s="230"/>
      <c r="C37" s="230"/>
      <c r="D37" s="230"/>
      <c r="E37" s="230"/>
      <c r="F37" s="230"/>
      <c r="G37" s="230"/>
      <c r="H37" s="230"/>
      <c r="I37" s="230"/>
      <c r="J37" s="230"/>
      <c r="K37" s="230"/>
      <c r="L37" s="22"/>
    </row>
    <row r="38" spans="1:12" ht="11.25" customHeight="1">
      <c r="A38" s="224"/>
      <c r="B38" s="230"/>
      <c r="C38" s="230"/>
      <c r="D38" s="230"/>
      <c r="E38" s="230"/>
      <c r="F38" s="230"/>
      <c r="G38" s="230"/>
      <c r="H38" s="230"/>
      <c r="I38" s="230"/>
      <c r="J38" s="230"/>
      <c r="K38" s="230"/>
      <c r="L38" s="22"/>
    </row>
    <row r="39" spans="1:12" ht="11.25" customHeight="1">
      <c r="A39" s="224"/>
      <c r="B39" s="230"/>
      <c r="C39" s="230"/>
      <c r="D39" s="230"/>
      <c r="E39" s="230"/>
      <c r="F39" s="230"/>
      <c r="G39" s="230"/>
      <c r="H39" s="230"/>
      <c r="I39" s="230"/>
      <c r="J39" s="230"/>
      <c r="K39" s="230"/>
      <c r="L39" s="22"/>
    </row>
    <row r="40" spans="1:12" ht="13.5" customHeight="1">
      <c r="A40" s="224"/>
      <c r="B40" s="838" t="str">
        <f>"Gráfico N°21: Costos marginales medios registrados en las principales barras del área centro durante el mes de "&amp;'1. Resumen'!Q4</f>
        <v>Gráfico N°21: Costos marginales medios registrados en las principales barras del área centro durante el mes de julio</v>
      </c>
      <c r="C40" s="838"/>
      <c r="D40" s="838"/>
      <c r="E40" s="838"/>
      <c r="F40" s="838"/>
      <c r="G40" s="838"/>
      <c r="H40" s="838"/>
      <c r="I40" s="838"/>
      <c r="J40" s="230"/>
      <c r="K40" s="230"/>
      <c r="L40" s="22"/>
    </row>
    <row r="41" spans="1:12" ht="6.75" customHeight="1">
      <c r="A41" s="224"/>
      <c r="B41" s="230"/>
      <c r="C41" s="230"/>
      <c r="D41" s="230"/>
      <c r="E41" s="230"/>
      <c r="F41" s="230"/>
      <c r="G41" s="230"/>
      <c r="H41" s="230"/>
      <c r="I41" s="230"/>
      <c r="J41" s="230"/>
      <c r="K41" s="230"/>
      <c r="L41" s="22"/>
    </row>
    <row r="42" spans="1:12" ht="8.25" customHeight="1">
      <c r="A42" s="224"/>
      <c r="B42" s="226"/>
      <c r="C42" s="226"/>
      <c r="D42" s="226"/>
      <c r="E42" s="226"/>
      <c r="F42" s="226"/>
      <c r="G42" s="226"/>
      <c r="H42" s="226"/>
      <c r="I42" s="226"/>
      <c r="J42" s="226"/>
      <c r="K42" s="226"/>
      <c r="L42" s="11"/>
    </row>
    <row r="43" spans="1:12" ht="11.25" customHeight="1">
      <c r="A43" s="224"/>
      <c r="B43" s="229" t="s">
        <v>499</v>
      </c>
      <c r="C43" s="226"/>
      <c r="D43" s="226"/>
      <c r="E43" s="226"/>
      <c r="F43" s="226"/>
      <c r="G43" s="226"/>
      <c r="H43" s="226"/>
      <c r="I43" s="226"/>
      <c r="J43" s="226"/>
      <c r="K43" s="226"/>
      <c r="L43" s="11"/>
    </row>
    <row r="44" spans="1:12" ht="6.75" customHeight="1">
      <c r="A44" s="224"/>
      <c r="B44" s="226"/>
      <c r="C44" s="226"/>
      <c r="D44" s="226"/>
      <c r="E44" s="226"/>
      <c r="F44" s="226"/>
      <c r="G44" s="226"/>
      <c r="H44" s="226"/>
      <c r="I44" s="226"/>
      <c r="J44" s="226"/>
      <c r="K44" s="226"/>
      <c r="L44" s="11"/>
    </row>
    <row r="45" spans="1:12" ht="27" customHeight="1">
      <c r="A45" s="224"/>
      <c r="B45" s="578" t="s">
        <v>175</v>
      </c>
      <c r="C45" s="575" t="s">
        <v>189</v>
      </c>
      <c r="D45" s="575" t="s">
        <v>190</v>
      </c>
      <c r="E45" s="575" t="s">
        <v>191</v>
      </c>
      <c r="F45" s="575" t="s">
        <v>195</v>
      </c>
      <c r="G45" s="575" t="s">
        <v>192</v>
      </c>
      <c r="H45" s="575" t="s">
        <v>193</v>
      </c>
      <c r="I45" s="576" t="s">
        <v>194</v>
      </c>
      <c r="J45" s="221"/>
      <c r="K45" s="230"/>
    </row>
    <row r="46" spans="1:12" ht="18.75" customHeight="1">
      <c r="A46" s="224"/>
      <c r="B46" s="579" t="s">
        <v>181</v>
      </c>
      <c r="C46" s="363">
        <v>17.573287742994651</v>
      </c>
      <c r="D46" s="363">
        <v>17.262808651045049</v>
      </c>
      <c r="E46" s="363">
        <v>16.907224069074701</v>
      </c>
      <c r="F46" s="363">
        <v>16.869806415485954</v>
      </c>
      <c r="G46" s="363">
        <v>16.515692214235987</v>
      </c>
      <c r="H46" s="363">
        <v>16.34870990506008</v>
      </c>
      <c r="I46" s="363">
        <v>16.198556947331877</v>
      </c>
      <c r="J46" s="231"/>
      <c r="K46" s="230"/>
    </row>
    <row r="47" spans="1:12" ht="18" customHeight="1">
      <c r="A47" s="224"/>
      <c r="B47" s="840" t="str">
        <f>"Cuadro N°13: Valor de los costos marginales medios registrados en las principales barras del área sur durante el mes de "&amp;'1. Resumen'!Q4</f>
        <v>Cuadro N°13: Valor de los costos marginales medios registrados en las principales barras del área sur durante el mes de julio</v>
      </c>
      <c r="C47" s="840"/>
      <c r="D47" s="840"/>
      <c r="E47" s="840"/>
      <c r="F47" s="840"/>
      <c r="G47" s="840"/>
      <c r="H47" s="840"/>
      <c r="I47" s="840"/>
      <c r="J47" s="231"/>
      <c r="K47" s="230"/>
    </row>
    <row r="48" spans="1:12" ht="13.2">
      <c r="A48" s="224"/>
      <c r="B48" s="230"/>
      <c r="C48" s="230"/>
      <c r="D48" s="230"/>
      <c r="E48" s="230"/>
      <c r="F48" s="230"/>
      <c r="G48" s="220"/>
      <c r="H48" s="220"/>
      <c r="I48" s="220"/>
      <c r="J48" s="220"/>
      <c r="K48" s="230"/>
    </row>
    <row r="49" spans="1:11" ht="13.2">
      <c r="A49" s="224"/>
      <c r="B49" s="220"/>
      <c r="C49" s="220"/>
      <c r="D49" s="220"/>
      <c r="E49" s="220"/>
      <c r="F49" s="220"/>
      <c r="G49" s="220"/>
      <c r="H49" s="220"/>
      <c r="I49" s="220"/>
      <c r="J49" s="220"/>
      <c r="K49" s="230"/>
    </row>
    <row r="50" spans="1:11" ht="13.2">
      <c r="A50" s="224"/>
      <c r="B50" s="111"/>
      <c r="C50" s="111"/>
      <c r="D50" s="111"/>
      <c r="E50" s="111"/>
      <c r="F50" s="111"/>
      <c r="G50" s="111"/>
      <c r="H50" s="111"/>
      <c r="I50" s="111"/>
      <c r="J50" s="111"/>
      <c r="K50" s="230"/>
    </row>
    <row r="51" spans="1:11" ht="13.2">
      <c r="A51" s="224"/>
      <c r="B51" s="111"/>
      <c r="C51" s="111"/>
      <c r="D51" s="111"/>
      <c r="E51" s="111"/>
      <c r="F51" s="111"/>
      <c r="G51" s="111"/>
      <c r="H51" s="111"/>
      <c r="I51" s="111"/>
      <c r="J51" s="111"/>
      <c r="K51" s="230"/>
    </row>
    <row r="52" spans="1:11" ht="13.2">
      <c r="A52" s="224"/>
      <c r="B52" s="111"/>
      <c r="C52" s="111"/>
      <c r="D52" s="111"/>
      <c r="E52" s="111"/>
      <c r="F52" s="111"/>
      <c r="G52" s="111"/>
      <c r="H52" s="111"/>
      <c r="I52" s="111"/>
      <c r="J52" s="111"/>
      <c r="K52" s="230"/>
    </row>
    <row r="53" spans="1:11" ht="13.2">
      <c r="A53" s="224"/>
      <c r="B53" s="111"/>
      <c r="C53" s="111"/>
      <c r="D53" s="111"/>
      <c r="E53" s="111"/>
      <c r="F53" s="111"/>
      <c r="G53" s="111"/>
      <c r="H53" s="111"/>
      <c r="I53" s="111"/>
      <c r="J53" s="111"/>
      <c r="K53" s="230"/>
    </row>
    <row r="54" spans="1:11" ht="13.2">
      <c r="A54" s="224"/>
      <c r="B54" s="111"/>
      <c r="C54" s="111"/>
      <c r="D54" s="111"/>
      <c r="E54" s="111"/>
      <c r="F54" s="111"/>
      <c r="G54" s="111"/>
      <c r="H54" s="111"/>
      <c r="I54" s="111"/>
      <c r="J54" s="111"/>
      <c r="K54" s="230"/>
    </row>
    <row r="55" spans="1:11" ht="13.2">
      <c r="A55" s="224"/>
      <c r="B55" s="111"/>
      <c r="C55" s="111"/>
      <c r="D55" s="111"/>
      <c r="E55" s="111"/>
      <c r="F55" s="111"/>
      <c r="G55" s="111"/>
      <c r="H55" s="111"/>
      <c r="I55" s="111"/>
      <c r="J55" s="111"/>
      <c r="K55" s="230"/>
    </row>
    <row r="56" spans="1:11" ht="13.2">
      <c r="A56" s="224"/>
      <c r="B56" s="220"/>
      <c r="C56" s="220"/>
      <c r="D56" s="220"/>
      <c r="E56" s="220"/>
      <c r="F56" s="220"/>
      <c r="G56" s="220"/>
      <c r="H56" s="220"/>
      <c r="I56" s="220"/>
      <c r="J56" s="220"/>
      <c r="K56" s="230"/>
    </row>
    <row r="57" spans="1:11" ht="13.2">
      <c r="A57" s="224"/>
      <c r="B57" s="220"/>
      <c r="C57" s="220"/>
      <c r="D57" s="220"/>
      <c r="E57" s="220"/>
      <c r="F57" s="220"/>
      <c r="G57" s="220"/>
      <c r="H57" s="220"/>
      <c r="I57" s="220"/>
      <c r="J57" s="220"/>
      <c r="K57" s="230"/>
    </row>
    <row r="58" spans="1:11" ht="13.2">
      <c r="A58" s="224"/>
      <c r="B58" s="838" t="str">
        <f>"Gráfico N°22: Costos marginales medios registrados en las principales barras del área sur durante el mes de "&amp;'1. Resumen'!Q4</f>
        <v>Gráfico N°22: Costos marginales medios registrados en las principales barras del área sur durante el mes de julio</v>
      </c>
      <c r="C58" s="838"/>
      <c r="D58" s="838"/>
      <c r="E58" s="838"/>
      <c r="F58" s="838"/>
      <c r="G58" s="838"/>
      <c r="H58" s="838"/>
      <c r="I58" s="838"/>
      <c r="J58" s="220"/>
      <c r="K58" s="230"/>
    </row>
    <row r="59" spans="1:11" ht="13.2">
      <c r="A59" s="74"/>
      <c r="B59" s="136"/>
      <c r="C59" s="136"/>
      <c r="D59" s="136"/>
      <c r="E59" s="136"/>
      <c r="F59" s="136"/>
      <c r="G59" s="136"/>
      <c r="H59" s="220"/>
      <c r="I59" s="220"/>
      <c r="J59" s="220"/>
      <c r="K59" s="230"/>
    </row>
  </sheetData>
  <mergeCells count="8">
    <mergeCell ref="B58:I58"/>
    <mergeCell ref="B21:I21"/>
    <mergeCell ref="B10:I10"/>
    <mergeCell ref="A2:K2"/>
    <mergeCell ref="A4:H4"/>
    <mergeCell ref="B28:I28"/>
    <mergeCell ref="B47:I47"/>
    <mergeCell ref="B40:I40"/>
  </mergeCells>
  <pageMargins left="0.7" right="0.7" top="0.86956521739130432" bottom="0.61458333333333337" header="0.3" footer="0.3"/>
  <pageSetup scale="93" orientation="portrait" r:id="rId1"/>
  <headerFooter>
    <oddHeader>&amp;R&amp;7Informe de la Operación Mensual - Julio 2018
INFSGI-MES-07-2018
14/08/2018
Versión: 01</oddHeader>
    <oddFooter>&amp;L&amp;7COES SINAC, 2018
&amp;C14&amp;R&amp;7Dirección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22AA-019D-4C60-AB9F-E5ED2AAB79C3}">
  <sheetPr>
    <tabColor theme="4"/>
  </sheetPr>
  <dimension ref="A1:L71"/>
  <sheetViews>
    <sheetView showGridLines="0" view="pageBreakPreview" zoomScale="175" zoomScaleNormal="100" zoomScaleSheetLayoutView="175" zoomScalePageLayoutView="145" workbookViewId="0">
      <selection activeCell="Q29" sqref="Q29"/>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803" t="s">
        <v>501</v>
      </c>
      <c r="B2" s="803"/>
      <c r="C2" s="803"/>
      <c r="D2" s="803"/>
      <c r="E2" s="803"/>
      <c r="F2" s="803"/>
      <c r="G2" s="803"/>
      <c r="H2" s="803"/>
      <c r="I2" s="803"/>
      <c r="J2" s="803"/>
      <c r="K2" s="803"/>
      <c r="L2" s="803"/>
    </row>
    <row r="3" spans="1:12" ht="11.25" customHeight="1">
      <c r="A3" s="224"/>
      <c r="B3" s="224"/>
      <c r="C3" s="224"/>
      <c r="D3" s="224"/>
      <c r="E3" s="224"/>
      <c r="F3" s="224"/>
      <c r="G3" s="224"/>
      <c r="H3" s="224"/>
      <c r="I3" s="224"/>
      <c r="J3" s="224"/>
      <c r="K3" s="224"/>
      <c r="L3" s="233"/>
    </row>
    <row r="4" spans="1:12" ht="11.25" customHeight="1">
      <c r="A4" s="224"/>
      <c r="B4" s="224"/>
      <c r="C4" s="224"/>
      <c r="D4" s="224"/>
      <c r="E4" s="224"/>
      <c r="F4" s="224"/>
      <c r="G4" s="224"/>
      <c r="H4" s="224"/>
      <c r="I4" s="224"/>
      <c r="J4" s="224"/>
      <c r="K4" s="224"/>
      <c r="L4" s="17"/>
    </row>
    <row r="5" spans="1:12" ht="11.25" customHeight="1">
      <c r="A5" s="224"/>
      <c r="B5" s="224"/>
      <c r="C5" s="224"/>
      <c r="D5" s="224"/>
      <c r="E5" s="224"/>
      <c r="F5" s="224"/>
      <c r="G5" s="224"/>
      <c r="H5" s="224"/>
      <c r="I5" s="224"/>
      <c r="J5" s="224"/>
      <c r="K5" s="224"/>
      <c r="L5" s="17"/>
    </row>
    <row r="6" spans="1:12" ht="11.25" customHeight="1">
      <c r="A6" s="224"/>
      <c r="B6" s="224"/>
      <c r="C6" s="224"/>
      <c r="D6" s="224"/>
      <c r="E6" s="224"/>
      <c r="F6" s="224"/>
      <c r="G6" s="224"/>
      <c r="H6" s="224"/>
      <c r="I6" s="224"/>
      <c r="J6" s="224"/>
      <c r="K6" s="224"/>
      <c r="L6" s="17"/>
    </row>
    <row r="7" spans="1:12" ht="11.25" customHeight="1">
      <c r="A7" s="224"/>
      <c r="B7" s="225"/>
      <c r="C7" s="224"/>
      <c r="D7" s="224"/>
      <c r="E7" s="224"/>
      <c r="F7" s="224"/>
      <c r="G7" s="224"/>
      <c r="H7" s="224"/>
      <c r="I7" s="224"/>
      <c r="J7" s="224"/>
      <c r="K7" s="224"/>
      <c r="L7" s="17"/>
    </row>
    <row r="8" spans="1:12" ht="11.25" customHeight="1">
      <c r="A8" s="224"/>
      <c r="B8" s="225"/>
      <c r="C8" s="224"/>
      <c r="D8" s="224"/>
      <c r="E8" s="224"/>
      <c r="F8" s="224"/>
      <c r="G8" s="224"/>
      <c r="H8" s="224"/>
      <c r="I8" s="224"/>
      <c r="J8" s="224"/>
      <c r="K8" s="224"/>
      <c r="L8" s="17"/>
    </row>
    <row r="9" spans="1:12" ht="11.25" customHeight="1">
      <c r="A9" s="224"/>
      <c r="B9" s="225"/>
      <c r="C9" s="224"/>
      <c r="D9" s="224"/>
      <c r="E9" s="224"/>
      <c r="F9" s="224"/>
      <c r="G9" s="224"/>
      <c r="H9" s="224"/>
      <c r="I9" s="224"/>
      <c r="J9" s="224"/>
      <c r="K9" s="224"/>
      <c r="L9" s="17"/>
    </row>
    <row r="10" spans="1:12" ht="11.25" customHeight="1">
      <c r="A10" s="224"/>
      <c r="B10" s="224"/>
      <c r="C10" s="224"/>
      <c r="D10" s="224"/>
      <c r="E10" s="224"/>
      <c r="F10" s="224"/>
      <c r="G10" s="224"/>
      <c r="H10" s="224"/>
      <c r="I10" s="224"/>
      <c r="J10" s="224"/>
      <c r="K10" s="224"/>
      <c r="L10" s="17"/>
    </row>
    <row r="11" spans="1:12" ht="11.25" customHeight="1">
      <c r="A11" s="224"/>
      <c r="B11" s="224"/>
      <c r="C11" s="224"/>
      <c r="D11" s="224"/>
      <c r="E11" s="224"/>
      <c r="F11" s="224"/>
      <c r="G11" s="224"/>
      <c r="H11" s="224"/>
      <c r="I11" s="224"/>
      <c r="J11" s="224"/>
      <c r="K11" s="224"/>
      <c r="L11" s="17"/>
    </row>
    <row r="12" spans="1:12" ht="11.25" customHeight="1">
      <c r="A12" s="224"/>
      <c r="B12" s="224"/>
      <c r="C12" s="224"/>
      <c r="D12" s="224"/>
      <c r="E12" s="224"/>
      <c r="F12" s="224"/>
      <c r="G12" s="224"/>
      <c r="H12" s="224"/>
      <c r="I12" s="224"/>
      <c r="J12" s="224"/>
      <c r="K12" s="224"/>
      <c r="L12" s="17"/>
    </row>
    <row r="13" spans="1:12" ht="11.25" customHeight="1">
      <c r="A13" s="224"/>
      <c r="B13" s="224"/>
      <c r="C13" s="224"/>
      <c r="D13" s="224"/>
      <c r="E13" s="224"/>
      <c r="F13" s="224"/>
      <c r="G13" s="224"/>
      <c r="H13" s="224"/>
      <c r="I13" s="224"/>
      <c r="J13" s="224"/>
      <c r="K13" s="224"/>
      <c r="L13" s="17"/>
    </row>
    <row r="14" spans="1:12" ht="11.25" customHeight="1">
      <c r="A14" s="224"/>
      <c r="B14" s="224"/>
      <c r="C14" s="224"/>
      <c r="D14" s="224"/>
      <c r="E14" s="224"/>
      <c r="F14" s="224"/>
      <c r="G14" s="224"/>
      <c r="H14" s="224"/>
      <c r="I14" s="224"/>
      <c r="J14" s="224"/>
      <c r="K14" s="224"/>
      <c r="L14" s="17"/>
    </row>
    <row r="15" spans="1:12" ht="11.25" customHeight="1">
      <c r="A15" s="224"/>
      <c r="B15" s="224"/>
      <c r="C15" s="224"/>
      <c r="D15" s="224"/>
      <c r="E15" s="224"/>
      <c r="F15" s="224"/>
      <c r="G15" s="224"/>
      <c r="H15" s="224"/>
      <c r="I15" s="224"/>
      <c r="J15" s="224"/>
      <c r="K15" s="224"/>
      <c r="L15" s="17"/>
    </row>
    <row r="16" spans="1:12" ht="11.25" customHeight="1">
      <c r="A16" s="224"/>
      <c r="B16" s="224"/>
      <c r="C16" s="224"/>
      <c r="D16" s="224"/>
      <c r="E16" s="224"/>
      <c r="F16" s="224"/>
      <c r="G16" s="224"/>
      <c r="H16" s="224"/>
      <c r="I16" s="224"/>
      <c r="J16" s="224"/>
      <c r="K16" s="224"/>
      <c r="L16" s="17"/>
    </row>
    <row r="17" spans="1:12" ht="11.25" customHeight="1">
      <c r="A17" s="224"/>
      <c r="B17" s="224"/>
      <c r="C17" s="224"/>
      <c r="D17" s="224"/>
      <c r="E17" s="224"/>
      <c r="F17" s="224"/>
      <c r="G17" s="224"/>
      <c r="H17" s="224"/>
      <c r="I17" s="224"/>
      <c r="J17" s="224"/>
      <c r="K17" s="224"/>
      <c r="L17" s="17"/>
    </row>
    <row r="18" spans="1:12" ht="11.25" customHeight="1">
      <c r="A18" s="224"/>
      <c r="B18" s="224"/>
      <c r="C18" s="224"/>
      <c r="D18" s="224"/>
      <c r="E18" s="224"/>
      <c r="F18" s="224"/>
      <c r="G18" s="224"/>
      <c r="H18" s="224"/>
      <c r="I18" s="224"/>
      <c r="J18" s="224"/>
      <c r="K18" s="224"/>
      <c r="L18" s="233"/>
    </row>
    <row r="19" spans="1:12" ht="11.25" customHeight="1">
      <c r="A19" s="224"/>
      <c r="B19" s="224"/>
      <c r="C19" s="224"/>
      <c r="D19" s="224"/>
      <c r="E19" s="224"/>
      <c r="F19" s="224"/>
      <c r="G19" s="224"/>
      <c r="H19" s="224"/>
      <c r="I19" s="224"/>
      <c r="J19" s="224"/>
      <c r="K19" s="224"/>
      <c r="L19" s="233"/>
    </row>
    <row r="20" spans="1:12" ht="11.25" customHeight="1">
      <c r="A20" s="224"/>
      <c r="B20" s="224"/>
      <c r="C20" s="224"/>
      <c r="D20" s="224"/>
      <c r="E20" s="224"/>
      <c r="F20" s="224"/>
      <c r="G20" s="224"/>
      <c r="H20" s="224"/>
      <c r="I20" s="224"/>
      <c r="J20" s="224"/>
      <c r="K20" s="224"/>
      <c r="L20" s="233"/>
    </row>
    <row r="21" spans="1:12" ht="11.25" customHeight="1">
      <c r="A21" s="224"/>
      <c r="B21" s="224"/>
      <c r="C21" s="224"/>
      <c r="D21" s="224"/>
      <c r="E21" s="224"/>
      <c r="F21" s="224"/>
      <c r="G21" s="224"/>
      <c r="H21" s="224"/>
      <c r="I21" s="224"/>
      <c r="J21" s="224"/>
      <c r="K21" s="224"/>
      <c r="L21" s="233"/>
    </row>
    <row r="22" spans="1:12" ht="11.25" customHeight="1">
      <c r="A22" s="224"/>
      <c r="B22" s="224"/>
      <c r="C22" s="224"/>
      <c r="D22" s="224"/>
      <c r="E22" s="224"/>
      <c r="F22" s="224"/>
      <c r="G22" s="224"/>
      <c r="H22" s="224"/>
      <c r="I22" s="224"/>
      <c r="J22" s="224"/>
      <c r="K22" s="224"/>
      <c r="L22" s="233"/>
    </row>
    <row r="23" spans="1:12" ht="11.25" customHeight="1">
      <c r="A23" s="224"/>
      <c r="B23" s="224"/>
      <c r="C23" s="224"/>
      <c r="D23" s="224"/>
      <c r="E23" s="224"/>
      <c r="F23" s="224"/>
      <c r="G23" s="224"/>
      <c r="H23" s="224"/>
      <c r="I23" s="224"/>
      <c r="J23" s="224"/>
      <c r="K23" s="224"/>
      <c r="L23" s="233"/>
    </row>
    <row r="24" spans="1:12" ht="11.25" customHeight="1">
      <c r="A24" s="224"/>
      <c r="B24" s="224"/>
      <c r="C24" s="224"/>
      <c r="D24" s="224"/>
      <c r="E24" s="224"/>
      <c r="F24" s="224"/>
      <c r="G24" s="224"/>
      <c r="H24" s="224"/>
      <c r="I24" s="224"/>
      <c r="J24" s="224"/>
      <c r="K24" s="224"/>
      <c r="L24" s="233"/>
    </row>
    <row r="25" spans="1:12" ht="11.25" customHeight="1">
      <c r="A25" s="224"/>
      <c r="B25" s="224"/>
      <c r="C25" s="224"/>
      <c r="D25" s="224"/>
      <c r="E25" s="224"/>
      <c r="F25" s="224"/>
      <c r="G25" s="224"/>
      <c r="H25" s="224"/>
      <c r="I25" s="224"/>
      <c r="J25" s="224"/>
      <c r="K25" s="224"/>
      <c r="L25" s="233"/>
    </row>
    <row r="26" spans="1:12" ht="11.25" customHeight="1">
      <c r="A26" s="224"/>
      <c r="B26" s="224"/>
      <c r="C26" s="224"/>
      <c r="D26" s="224"/>
      <c r="E26" s="224"/>
      <c r="F26" s="224"/>
      <c r="G26" s="224"/>
      <c r="H26" s="224"/>
      <c r="I26" s="224"/>
      <c r="J26" s="224"/>
      <c r="K26" s="224"/>
      <c r="L26" s="233"/>
    </row>
    <row r="27" spans="1:12" ht="11.25" customHeight="1">
      <c r="A27" s="224"/>
      <c r="B27" s="224"/>
      <c r="C27" s="224"/>
      <c r="D27" s="224"/>
      <c r="E27" s="224"/>
      <c r="F27" s="224"/>
      <c r="G27" s="224"/>
      <c r="H27" s="224"/>
      <c r="I27" s="224"/>
      <c r="J27" s="224"/>
      <c r="K27" s="224"/>
      <c r="L27" s="233"/>
    </row>
    <row r="28" spans="1:12" ht="11.25" customHeight="1">
      <c r="A28" s="224"/>
      <c r="B28" s="224"/>
      <c r="C28" s="224"/>
      <c r="D28" s="224"/>
      <c r="E28" s="224"/>
      <c r="F28" s="224"/>
      <c r="G28" s="224"/>
      <c r="H28" s="224"/>
      <c r="I28" s="224"/>
      <c r="J28" s="224"/>
      <c r="K28" s="224"/>
      <c r="L28" s="233"/>
    </row>
    <row r="29" spans="1:12" ht="11.25" customHeight="1">
      <c r="A29" s="224"/>
      <c r="B29" s="224"/>
      <c r="C29" s="224"/>
      <c r="D29" s="224"/>
      <c r="E29" s="224"/>
      <c r="F29" s="224"/>
      <c r="G29" s="224"/>
      <c r="H29" s="224"/>
      <c r="I29" s="224"/>
      <c r="J29" s="224"/>
      <c r="K29" s="224"/>
      <c r="L29" s="233"/>
    </row>
    <row r="30" spans="1:12" ht="11.25" customHeight="1">
      <c r="A30" s="224"/>
      <c r="B30" s="224"/>
      <c r="C30" s="224"/>
      <c r="D30" s="224"/>
      <c r="E30" s="224"/>
      <c r="F30" s="224"/>
      <c r="G30" s="224"/>
      <c r="H30" s="224"/>
      <c r="I30" s="224"/>
      <c r="J30" s="224"/>
      <c r="K30" s="224"/>
      <c r="L30" s="233"/>
    </row>
    <row r="31" spans="1:12" ht="11.25" customHeight="1">
      <c r="A31" s="224"/>
      <c r="B31" s="224"/>
      <c r="C31" s="224"/>
      <c r="D31" s="224"/>
      <c r="E31" s="224"/>
      <c r="F31" s="224"/>
      <c r="G31" s="224"/>
      <c r="H31" s="224"/>
      <c r="I31" s="224"/>
      <c r="J31" s="224"/>
      <c r="K31" s="224"/>
      <c r="L31" s="233"/>
    </row>
    <row r="32" spans="1:12" ht="11.25" customHeight="1">
      <c r="A32" s="224"/>
      <c r="B32" s="224"/>
      <c r="C32" s="224"/>
      <c r="D32" s="224"/>
      <c r="E32" s="224"/>
      <c r="F32" s="224"/>
      <c r="G32" s="224"/>
      <c r="H32" s="224"/>
      <c r="I32" s="224"/>
      <c r="J32" s="224"/>
      <c r="K32" s="224"/>
      <c r="L32" s="73"/>
    </row>
    <row r="33" spans="1:12" ht="11.25" customHeight="1">
      <c r="A33" s="224"/>
      <c r="B33" s="224"/>
      <c r="C33" s="224"/>
      <c r="D33" s="224"/>
      <c r="E33" s="224"/>
      <c r="F33" s="224"/>
      <c r="G33" s="224"/>
      <c r="H33" s="224"/>
      <c r="I33" s="224"/>
      <c r="J33" s="224"/>
      <c r="K33" s="224"/>
      <c r="L33" s="73"/>
    </row>
    <row r="34" spans="1:12" ht="11.25" customHeight="1">
      <c r="A34" s="224"/>
      <c r="B34" s="224"/>
      <c r="C34" s="224"/>
      <c r="D34" s="224"/>
      <c r="E34" s="224"/>
      <c r="F34" s="224"/>
      <c r="G34" s="224"/>
      <c r="H34" s="224"/>
      <c r="I34" s="224"/>
      <c r="J34" s="224"/>
      <c r="K34" s="224"/>
      <c r="L34" s="73"/>
    </row>
    <row r="35" spans="1:12" ht="11.25" customHeight="1">
      <c r="A35" s="224"/>
      <c r="B35" s="224"/>
      <c r="C35" s="224"/>
      <c r="D35" s="224"/>
      <c r="E35" s="224"/>
      <c r="F35" s="224"/>
      <c r="G35" s="224"/>
      <c r="H35" s="224"/>
      <c r="I35" s="224"/>
      <c r="J35" s="224"/>
      <c r="K35" s="224"/>
      <c r="L35" s="73"/>
    </row>
    <row r="36" spans="1:12" ht="11.25" customHeight="1">
      <c r="A36" s="224"/>
      <c r="B36" s="224"/>
      <c r="C36" s="224"/>
      <c r="D36" s="224"/>
      <c r="E36" s="224"/>
      <c r="F36" s="224"/>
      <c r="G36" s="224"/>
      <c r="H36" s="224"/>
      <c r="I36" s="224"/>
      <c r="J36" s="224"/>
      <c r="K36" s="224"/>
      <c r="L36" s="73"/>
    </row>
    <row r="37" spans="1:12" ht="11.25" customHeight="1">
      <c r="A37" s="224"/>
      <c r="B37" s="224"/>
      <c r="C37" s="224"/>
      <c r="D37" s="224"/>
      <c r="E37" s="224"/>
      <c r="F37" s="224"/>
      <c r="G37" s="224"/>
      <c r="H37" s="224"/>
      <c r="I37" s="224"/>
      <c r="J37" s="224"/>
      <c r="K37" s="224"/>
      <c r="L37" s="73"/>
    </row>
    <row r="38" spans="1:12" ht="11.25" customHeight="1">
      <c r="A38" s="224"/>
      <c r="B38" s="224"/>
      <c r="C38" s="224"/>
      <c r="D38" s="224"/>
      <c r="E38" s="224"/>
      <c r="F38" s="224"/>
      <c r="G38" s="224"/>
      <c r="H38" s="224"/>
      <c r="I38" s="224"/>
      <c r="J38" s="224"/>
      <c r="K38" s="224"/>
      <c r="L38" s="73"/>
    </row>
    <row r="39" spans="1:12" ht="11.25" customHeight="1">
      <c r="A39" s="224"/>
      <c r="B39" s="224"/>
      <c r="C39" s="224"/>
      <c r="D39" s="224"/>
      <c r="E39" s="224"/>
      <c r="F39" s="224"/>
      <c r="G39" s="224"/>
      <c r="H39" s="224"/>
      <c r="I39" s="224"/>
      <c r="J39" s="224"/>
      <c r="K39" s="224"/>
      <c r="L39" s="73"/>
    </row>
    <row r="40" spans="1:12" ht="11.25" customHeight="1">
      <c r="A40" s="224"/>
      <c r="B40" s="224"/>
      <c r="C40" s="224"/>
      <c r="D40" s="224"/>
      <c r="E40" s="224"/>
      <c r="F40" s="224"/>
      <c r="G40" s="224"/>
      <c r="H40" s="224"/>
      <c r="I40" s="224"/>
      <c r="J40" s="224"/>
      <c r="K40" s="224"/>
      <c r="L40" s="73"/>
    </row>
    <row r="41" spans="1:12" ht="11.25" customHeight="1">
      <c r="A41" s="224"/>
      <c r="B41" s="224"/>
      <c r="C41" s="224"/>
      <c r="D41" s="224"/>
      <c r="E41" s="224"/>
      <c r="F41" s="224"/>
      <c r="G41" s="224"/>
      <c r="H41" s="224"/>
      <c r="I41" s="224"/>
      <c r="J41" s="224"/>
      <c r="K41" s="224"/>
      <c r="L41" s="73"/>
    </row>
    <row r="42" spans="1:12" ht="11.25" customHeight="1">
      <c r="A42" s="224"/>
      <c r="B42" s="224"/>
      <c r="C42" s="224"/>
      <c r="D42" s="224"/>
      <c r="E42" s="224"/>
      <c r="F42" s="224"/>
      <c r="G42" s="224"/>
      <c r="H42" s="224"/>
      <c r="I42" s="224"/>
      <c r="J42" s="224"/>
      <c r="K42" s="224"/>
      <c r="L42" s="73"/>
    </row>
    <row r="43" spans="1:12" ht="11.25" customHeight="1">
      <c r="A43" s="224"/>
      <c r="B43" s="224"/>
      <c r="C43" s="224"/>
      <c r="D43" s="224"/>
      <c r="E43" s="224"/>
      <c r="F43" s="224"/>
      <c r="G43" s="224"/>
      <c r="H43" s="224"/>
      <c r="I43" s="224"/>
      <c r="J43" s="224"/>
      <c r="K43" s="224"/>
      <c r="L43" s="73"/>
    </row>
    <row r="44" spans="1:12" ht="11.25" customHeight="1">
      <c r="A44" s="74"/>
      <c r="B44" s="74"/>
      <c r="C44" s="74"/>
      <c r="D44" s="74"/>
      <c r="E44" s="74"/>
      <c r="F44" s="74"/>
      <c r="G44" s="74"/>
      <c r="H44" s="74"/>
      <c r="I44" s="74"/>
      <c r="J44" s="74"/>
      <c r="K44" s="224"/>
      <c r="L44" s="73"/>
    </row>
    <row r="45" spans="1:12" ht="11.25" customHeight="1">
      <c r="A45" s="74"/>
      <c r="B45" s="74"/>
      <c r="C45" s="74"/>
      <c r="D45" s="74"/>
      <c r="E45" s="74"/>
      <c r="F45" s="74"/>
      <c r="G45" s="74"/>
      <c r="H45" s="74"/>
      <c r="I45" s="74"/>
      <c r="J45" s="74"/>
      <c r="K45" s="224"/>
      <c r="L45" s="73"/>
    </row>
    <row r="46" spans="1:12" ht="11.25" customHeight="1">
      <c r="A46" s="74"/>
      <c r="B46" s="74"/>
      <c r="C46" s="74"/>
      <c r="D46" s="74"/>
      <c r="E46" s="74"/>
      <c r="F46" s="74"/>
      <c r="G46" s="74"/>
      <c r="H46" s="74"/>
      <c r="I46" s="74"/>
      <c r="J46" s="74"/>
      <c r="K46" s="224"/>
      <c r="L46" s="73"/>
    </row>
    <row r="47" spans="1:12" ht="11.25" customHeight="1">
      <c r="A47" s="74"/>
      <c r="B47" s="74"/>
      <c r="C47" s="74"/>
      <c r="D47" s="74"/>
      <c r="E47" s="74"/>
      <c r="F47" s="74"/>
      <c r="G47" s="74"/>
      <c r="H47" s="74"/>
      <c r="I47" s="74"/>
      <c r="J47" s="74"/>
      <c r="K47" s="224"/>
      <c r="L47" s="73"/>
    </row>
    <row r="48" spans="1:12" ht="11.25" customHeight="1">
      <c r="A48" s="74"/>
      <c r="B48" s="74"/>
      <c r="C48" s="74"/>
      <c r="D48" s="74"/>
      <c r="E48" s="74"/>
      <c r="F48" s="74"/>
      <c r="G48" s="74"/>
      <c r="H48" s="74"/>
      <c r="I48" s="74"/>
      <c r="J48" s="74"/>
      <c r="K48" s="224"/>
      <c r="L48" s="73"/>
    </row>
    <row r="49" spans="1:12" ht="11.25" customHeight="1">
      <c r="A49" s="74"/>
      <c r="B49" s="74"/>
      <c r="C49" s="74"/>
      <c r="D49" s="74"/>
      <c r="E49" s="74"/>
      <c r="F49" s="74"/>
      <c r="G49" s="74"/>
      <c r="H49" s="74"/>
      <c r="I49" s="74"/>
      <c r="J49" s="74"/>
      <c r="K49" s="224"/>
      <c r="L49" s="73"/>
    </row>
    <row r="50" spans="1:12" ht="13.2">
      <c r="A50" s="74"/>
      <c r="B50" s="74"/>
      <c r="C50" s="74"/>
      <c r="D50" s="74"/>
      <c r="E50" s="74"/>
      <c r="F50" s="74"/>
      <c r="G50" s="74"/>
      <c r="H50" s="74"/>
      <c r="I50" s="74"/>
      <c r="J50" s="74"/>
      <c r="K50" s="224"/>
      <c r="L50" s="73"/>
    </row>
    <row r="51" spans="1:12" ht="13.2">
      <c r="A51" s="74"/>
      <c r="B51" s="74"/>
      <c r="C51" s="74"/>
      <c r="D51" s="74"/>
      <c r="E51" s="74"/>
      <c r="F51" s="74"/>
      <c r="G51" s="74"/>
      <c r="H51" s="74"/>
      <c r="I51" s="74"/>
      <c r="J51" s="74"/>
      <c r="K51" s="224"/>
      <c r="L51" s="73"/>
    </row>
    <row r="52" spans="1:12" ht="13.2">
      <c r="A52" s="74"/>
      <c r="B52" s="74"/>
      <c r="C52" s="74"/>
      <c r="D52" s="74"/>
      <c r="E52" s="74"/>
      <c r="F52" s="74"/>
      <c r="G52" s="74"/>
      <c r="H52" s="74"/>
      <c r="I52" s="74"/>
      <c r="J52" s="74"/>
      <c r="K52" s="224"/>
      <c r="L52" s="73"/>
    </row>
    <row r="53" spans="1:12" ht="13.2">
      <c r="A53" s="74"/>
      <c r="B53" s="74"/>
      <c r="C53" s="74"/>
      <c r="D53" s="74"/>
      <c r="E53" s="74"/>
      <c r="F53" s="74"/>
      <c r="G53" s="74"/>
      <c r="H53" s="74"/>
      <c r="I53" s="74"/>
      <c r="J53" s="74"/>
      <c r="K53" s="224"/>
      <c r="L53" s="73"/>
    </row>
    <row r="54" spans="1:12" ht="13.2">
      <c r="A54" s="74"/>
      <c r="B54" s="74"/>
      <c r="C54" s="74"/>
      <c r="D54" s="74"/>
      <c r="E54" s="74"/>
      <c r="F54" s="74"/>
      <c r="G54" s="74"/>
      <c r="H54" s="74"/>
      <c r="I54" s="74"/>
      <c r="J54" s="74"/>
      <c r="K54" s="224"/>
      <c r="L54" s="73"/>
    </row>
    <row r="55" spans="1:12" ht="13.2">
      <c r="A55" s="74"/>
      <c r="B55" s="74"/>
      <c r="C55" s="74"/>
      <c r="D55" s="74"/>
      <c r="E55" s="74"/>
      <c r="F55" s="74"/>
      <c r="G55" s="74"/>
      <c r="H55" s="74"/>
      <c r="I55" s="74"/>
      <c r="J55" s="74"/>
      <c r="K55" s="224"/>
      <c r="L55" s="73"/>
    </row>
    <row r="56" spans="1:12" ht="13.2">
      <c r="A56" s="74"/>
      <c r="B56" s="74"/>
      <c r="C56" s="74"/>
      <c r="D56" s="74"/>
      <c r="E56" s="74"/>
      <c r="F56" s="74"/>
      <c r="G56" s="74"/>
      <c r="H56" s="74"/>
      <c r="I56" s="74"/>
      <c r="J56" s="74"/>
      <c r="K56" s="224"/>
      <c r="L56" s="73"/>
    </row>
    <row r="57" spans="1:12" ht="13.2">
      <c r="A57" s="74"/>
      <c r="B57" s="74"/>
      <c r="C57" s="74"/>
      <c r="D57" s="74"/>
      <c r="E57" s="74"/>
      <c r="F57" s="74"/>
      <c r="G57" s="74"/>
      <c r="H57" s="74"/>
      <c r="I57" s="74"/>
      <c r="J57" s="74"/>
      <c r="K57" s="224"/>
      <c r="L57" s="73"/>
    </row>
    <row r="58" spans="1:12" ht="13.2">
      <c r="A58" s="74"/>
      <c r="B58" s="74"/>
      <c r="C58" s="74"/>
      <c r="D58" s="74"/>
      <c r="E58" s="74"/>
      <c r="F58" s="74"/>
      <c r="G58" s="74"/>
      <c r="H58" s="74"/>
      <c r="I58" s="74"/>
      <c r="J58" s="74"/>
      <c r="K58" s="224"/>
      <c r="L58" s="73"/>
    </row>
    <row r="59" spans="1:12" ht="13.2">
      <c r="A59" s="74"/>
      <c r="B59" s="74"/>
      <c r="C59" s="74"/>
      <c r="D59" s="74"/>
      <c r="E59" s="74"/>
      <c r="F59" s="74"/>
      <c r="G59" s="74"/>
      <c r="H59" s="74"/>
      <c r="I59" s="74"/>
      <c r="J59" s="74"/>
      <c r="K59" s="224"/>
      <c r="L59" s="73"/>
    </row>
    <row r="60" spans="1:12" ht="13.2">
      <c r="A60" s="74"/>
      <c r="B60" s="74"/>
      <c r="C60" s="74"/>
      <c r="D60" s="74"/>
      <c r="E60" s="74"/>
      <c r="F60" s="74"/>
      <c r="G60" s="74"/>
      <c r="H60" s="74"/>
      <c r="I60" s="74"/>
      <c r="J60" s="74"/>
      <c r="K60" s="224"/>
      <c r="L60" s="73"/>
    </row>
    <row r="61" spans="1:12" ht="13.2">
      <c r="A61" s="74"/>
      <c r="B61" s="74"/>
      <c r="C61" s="74"/>
      <c r="D61" s="74"/>
      <c r="E61" s="74"/>
      <c r="F61" s="74"/>
      <c r="G61" s="74"/>
      <c r="H61" s="74"/>
      <c r="I61" s="74"/>
      <c r="J61" s="74"/>
      <c r="K61" s="224"/>
      <c r="L61" s="73"/>
    </row>
    <row r="62" spans="1:12" ht="13.2">
      <c r="A62" s="74"/>
      <c r="B62" s="74"/>
      <c r="C62" s="74"/>
      <c r="D62" s="74"/>
      <c r="E62" s="74"/>
      <c r="F62" s="74"/>
      <c r="G62" s="74"/>
      <c r="H62" s="74"/>
      <c r="I62" s="74"/>
      <c r="J62" s="74"/>
      <c r="K62" s="224"/>
      <c r="L62" s="73"/>
    </row>
    <row r="63" spans="1:12" ht="13.2">
      <c r="A63" s="74"/>
      <c r="B63" s="74"/>
      <c r="C63" s="74"/>
      <c r="D63" s="74"/>
      <c r="E63" s="74"/>
      <c r="F63" s="74"/>
      <c r="G63" s="74"/>
      <c r="H63" s="74"/>
      <c r="I63" s="74"/>
      <c r="J63" s="74"/>
      <c r="K63" s="224"/>
      <c r="L63" s="73"/>
    </row>
    <row r="64" spans="1:12" ht="13.2">
      <c r="A64" s="74"/>
      <c r="B64" s="74"/>
      <c r="C64" s="74"/>
      <c r="D64" s="74"/>
      <c r="E64" s="74"/>
      <c r="F64" s="74"/>
      <c r="G64" s="74"/>
      <c r="H64" s="74"/>
      <c r="I64" s="74"/>
      <c r="J64" s="74"/>
      <c r="K64" s="224"/>
      <c r="L64" s="73"/>
    </row>
    <row r="65" spans="1:12" ht="13.2">
      <c r="A65" s="74"/>
      <c r="B65" s="74"/>
      <c r="C65" s="74"/>
      <c r="D65" s="74"/>
      <c r="E65" s="74"/>
      <c r="F65" s="74"/>
      <c r="G65" s="74"/>
      <c r="H65" s="74"/>
      <c r="I65" s="74"/>
      <c r="J65" s="74"/>
      <c r="K65" s="224"/>
      <c r="L65" s="73"/>
    </row>
    <row r="66" spans="1:12" ht="13.2">
      <c r="A66" s="74"/>
      <c r="B66" s="74"/>
      <c r="C66" s="74"/>
      <c r="D66" s="74"/>
      <c r="E66" s="74"/>
      <c r="F66" s="74"/>
      <c r="G66" s="74"/>
      <c r="H66" s="74"/>
      <c r="I66" s="74"/>
      <c r="J66" s="74"/>
      <c r="K66" s="224"/>
      <c r="L66" s="73"/>
    </row>
    <row r="67" spans="1:12" ht="13.2">
      <c r="A67" s="74"/>
      <c r="B67" s="74"/>
      <c r="C67" s="74"/>
      <c r="D67" s="74"/>
      <c r="E67" s="74"/>
      <c r="F67" s="74"/>
      <c r="G67" s="74"/>
      <c r="H67" s="74"/>
      <c r="I67" s="74"/>
      <c r="J67" s="74"/>
      <c r="K67" s="224"/>
      <c r="L67" s="73"/>
    </row>
    <row r="68" spans="1:12" ht="13.2">
      <c r="A68" s="74"/>
      <c r="B68" s="74"/>
      <c r="C68" s="74"/>
      <c r="D68" s="74"/>
      <c r="E68" s="74"/>
      <c r="F68" s="74"/>
      <c r="G68" s="74"/>
      <c r="H68" s="74"/>
      <c r="I68" s="74"/>
      <c r="J68" s="74"/>
      <c r="K68" s="224"/>
      <c r="L68" s="73"/>
    </row>
    <row r="69" spans="1:12" ht="13.2">
      <c r="A69" s="74"/>
      <c r="B69" s="74"/>
      <c r="C69" s="74"/>
      <c r="D69" s="74"/>
      <c r="E69" s="74"/>
      <c r="F69" s="74"/>
      <c r="G69" s="74"/>
      <c r="H69" s="74"/>
      <c r="I69" s="74"/>
      <c r="J69" s="74"/>
      <c r="K69" s="224"/>
      <c r="L69" s="73"/>
    </row>
    <row r="70" spans="1:12" ht="13.2">
      <c r="A70" s="234"/>
      <c r="B70" s="234"/>
      <c r="C70" s="234"/>
      <c r="D70" s="234"/>
      <c r="E70" s="234"/>
      <c r="F70" s="234"/>
      <c r="G70" s="234"/>
      <c r="H70" s="234"/>
      <c r="I70" s="234"/>
      <c r="J70" s="234"/>
      <c r="K70" s="224"/>
      <c r="L70" s="73"/>
    </row>
    <row r="71" spans="1:12" ht="13.2">
      <c r="A71" s="74"/>
      <c r="B71" s="73"/>
      <c r="C71" s="73"/>
      <c r="D71" s="73"/>
      <c r="E71" s="73"/>
      <c r="F71" s="73"/>
      <c r="G71" s="73"/>
      <c r="H71" s="73"/>
      <c r="I71" s="73"/>
      <c r="J71" s="73"/>
      <c r="K71" s="224"/>
      <c r="L71" s="73"/>
    </row>
  </sheetData>
  <mergeCells count="1">
    <mergeCell ref="A2:L2"/>
  </mergeCells>
  <pageMargins left="0.7" right="0.50724637681159424" top="0.86956521739130432" bottom="0.61458333333333337" header="0.3" footer="0.3"/>
  <pageSetup scale="91" orientation="portrait" r:id="rId1"/>
  <headerFooter>
    <oddHeader>&amp;R&amp;7Informe de la Operación Mensual - Julio 2018
INFSGI-MES-07-2018
14/08/2018
Versión: 01</oddHeader>
    <oddFooter>&amp;L&amp;7COES SINAC, 2018
&amp;C15&amp;R&amp;7Dirección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C756-708C-4923-B655-0C742344DA82}">
  <sheetPr>
    <tabColor theme="4"/>
  </sheetPr>
  <dimension ref="A1:L61"/>
  <sheetViews>
    <sheetView showGridLines="0" view="pageBreakPreview" zoomScale="130" zoomScaleNormal="100" zoomScaleSheetLayoutView="130" zoomScalePageLayoutView="115" workbookViewId="0">
      <selection activeCell="Q29" sqref="Q29"/>
    </sheetView>
  </sheetViews>
  <sheetFormatPr baseColWidth="10" defaultColWidth="9.28515625" defaultRowHeight="10.199999999999999"/>
  <cols>
    <col min="1" max="1" width="12.85546875" style="46" customWidth="1"/>
    <col min="2" max="2" width="19.28515625" style="46" customWidth="1"/>
    <col min="3" max="3" width="25.7109375" style="46" customWidth="1"/>
    <col min="4" max="4" width="10.140625" style="46" customWidth="1"/>
    <col min="5" max="5" width="11" style="46" customWidth="1"/>
    <col min="6" max="6" width="10.42578125" style="46" customWidth="1"/>
    <col min="7" max="7" width="12.140625" style="46" customWidth="1"/>
    <col min="8" max="8" width="12.28515625" style="46" customWidth="1"/>
    <col min="9" max="9" width="9.28515625" style="46"/>
    <col min="10" max="11" width="9.28515625" style="46" customWidth="1"/>
    <col min="12" max="16384" width="9.28515625" style="46"/>
  </cols>
  <sheetData>
    <row r="1" spans="1:12" ht="11.25" customHeight="1"/>
    <row r="2" spans="1:12" ht="21" customHeight="1">
      <c r="A2" s="841" t="s">
        <v>500</v>
      </c>
      <c r="B2" s="841"/>
      <c r="C2" s="841"/>
      <c r="D2" s="841"/>
      <c r="E2" s="841"/>
      <c r="F2" s="841"/>
      <c r="G2" s="841"/>
      <c r="H2" s="841"/>
      <c r="I2" s="244"/>
      <c r="J2" s="244"/>
      <c r="K2" s="244"/>
    </row>
    <row r="3" spans="1:12" ht="11.25" customHeight="1">
      <c r="A3" s="77"/>
      <c r="B3" s="77"/>
      <c r="C3" s="77"/>
      <c r="D3" s="77"/>
      <c r="E3" s="77"/>
      <c r="F3" s="77"/>
      <c r="G3" s="77"/>
      <c r="H3" s="77"/>
      <c r="I3" s="245"/>
      <c r="J3" s="245"/>
      <c r="K3" s="245"/>
      <c r="L3" s="36"/>
    </row>
    <row r="4" spans="1:12" ht="11.25" customHeight="1">
      <c r="A4" s="832" t="s">
        <v>502</v>
      </c>
      <c r="B4" s="832"/>
      <c r="C4" s="832"/>
      <c r="D4" s="832"/>
      <c r="E4" s="832"/>
      <c r="F4" s="832"/>
      <c r="G4" s="832"/>
      <c r="H4" s="832"/>
      <c r="I4" s="236"/>
      <c r="J4" s="236"/>
      <c r="K4" s="236"/>
      <c r="L4" s="36"/>
    </row>
    <row r="5" spans="1:12" ht="11.25" customHeight="1">
      <c r="A5" s="77"/>
      <c r="B5" s="183"/>
      <c r="C5" s="78"/>
      <c r="D5" s="79"/>
      <c r="E5" s="79"/>
      <c r="F5" s="80"/>
      <c r="G5" s="76"/>
      <c r="H5" s="76"/>
      <c r="I5" s="237"/>
      <c r="J5" s="237"/>
      <c r="K5" s="237"/>
      <c r="L5" s="246"/>
    </row>
    <row r="6" spans="1:12" ht="30.75" customHeight="1">
      <c r="A6" s="251" t="s">
        <v>196</v>
      </c>
      <c r="B6" s="252" t="s">
        <v>197</v>
      </c>
      <c r="C6" s="252" t="s">
        <v>198</v>
      </c>
      <c r="D6" s="364" t="str">
        <f>UPPER('1. Resumen'!Q4)&amp;"
 "&amp;'1. Resumen'!Q5</f>
        <v>JULIO
 2018</v>
      </c>
      <c r="E6" s="364" t="str">
        <f>UPPER('1. Resumen'!Q4)&amp;"
 "&amp;'1. Resumen'!Q5-1</f>
        <v>JULIO
 2017</v>
      </c>
      <c r="F6" s="364" t="str">
        <f>UPPER('1. Resumen'!Q4)&amp;"
 "&amp;'1. Resumen'!Q5-2</f>
        <v>JULIO
 2016</v>
      </c>
      <c r="G6" s="252" t="s">
        <v>515</v>
      </c>
      <c r="H6" s="365" t="s">
        <v>199</v>
      </c>
      <c r="I6" s="237"/>
      <c r="J6" s="237"/>
      <c r="K6" s="237"/>
      <c r="L6" s="185"/>
    </row>
    <row r="7" spans="1:12" ht="15.6">
      <c r="A7" s="842" t="s">
        <v>200</v>
      </c>
      <c r="B7" s="758" t="s">
        <v>573</v>
      </c>
      <c r="C7" s="687" t="s">
        <v>572</v>
      </c>
      <c r="D7" s="253">
        <v>14.133333333333336</v>
      </c>
      <c r="E7" s="253">
        <v>729.65</v>
      </c>
      <c r="F7" s="253">
        <v>457.99999999999994</v>
      </c>
      <c r="G7" s="727">
        <f>+D7/E7-1</f>
        <v>-0.98062998241165855</v>
      </c>
      <c r="H7" s="366">
        <f>+E7/F7-1</f>
        <v>0.59312227074235824</v>
      </c>
      <c r="I7" s="237"/>
      <c r="J7" s="237"/>
      <c r="K7" s="237"/>
      <c r="L7" s="58"/>
    </row>
    <row r="8" spans="1:12" ht="13.2">
      <c r="A8" s="844"/>
      <c r="B8" s="758" t="s">
        <v>202</v>
      </c>
      <c r="C8" s="687" t="s">
        <v>570</v>
      </c>
      <c r="D8" s="253"/>
      <c r="E8" s="253"/>
      <c r="F8" s="253">
        <v>31.883333333333336</v>
      </c>
      <c r="G8" s="727"/>
      <c r="H8" s="366">
        <f>+E8/F8-1</f>
        <v>-1</v>
      </c>
      <c r="I8" s="237"/>
      <c r="J8" s="237"/>
      <c r="K8" s="237"/>
      <c r="L8" s="58"/>
    </row>
    <row r="9" spans="1:12" ht="13.2">
      <c r="A9" s="842" t="s">
        <v>201</v>
      </c>
      <c r="B9" s="758" t="s">
        <v>574</v>
      </c>
      <c r="C9" s="687" t="s">
        <v>571</v>
      </c>
      <c r="D9" s="253">
        <v>7.0500000000000025</v>
      </c>
      <c r="E9" s="253"/>
      <c r="F9" s="253">
        <v>11.016666666666666</v>
      </c>
      <c r="G9" s="727"/>
      <c r="H9" s="366">
        <f t="shared" ref="H9" si="0">+E9/F9-1</f>
        <v>-1</v>
      </c>
      <c r="I9" s="237"/>
      <c r="J9" s="237"/>
      <c r="K9" s="237"/>
      <c r="L9" s="184"/>
    </row>
    <row r="10" spans="1:12" ht="13.2">
      <c r="A10" s="843"/>
      <c r="B10" s="758" t="s">
        <v>735</v>
      </c>
      <c r="C10" s="687" t="s">
        <v>732</v>
      </c>
      <c r="D10" s="253"/>
      <c r="E10" s="253">
        <v>29.766666666666666</v>
      </c>
      <c r="F10" s="253"/>
      <c r="G10" s="727">
        <f t="shared" ref="G10" si="1">+D10/E10-1</f>
        <v>-1</v>
      </c>
      <c r="H10" s="366"/>
      <c r="I10" s="237"/>
      <c r="J10" s="237"/>
      <c r="K10" s="238"/>
      <c r="L10" s="247"/>
    </row>
    <row r="11" spans="1:12" ht="15.6">
      <c r="A11" s="843"/>
      <c r="B11" s="758" t="s">
        <v>736</v>
      </c>
      <c r="C11" s="687" t="s">
        <v>733</v>
      </c>
      <c r="D11" s="253">
        <v>24.283333333333331</v>
      </c>
      <c r="E11" s="253"/>
      <c r="F11" s="253"/>
      <c r="G11" s="727"/>
      <c r="H11" s="366"/>
      <c r="I11" s="237"/>
      <c r="J11" s="237"/>
      <c r="K11" s="238"/>
      <c r="L11" s="247"/>
    </row>
    <row r="12" spans="1:12" ht="13.2">
      <c r="A12" s="843"/>
      <c r="B12" s="758" t="s">
        <v>737</v>
      </c>
      <c r="C12" s="687" t="s">
        <v>734</v>
      </c>
      <c r="D12" s="253">
        <v>5.0166666666666675</v>
      </c>
      <c r="E12" s="253"/>
      <c r="F12" s="253"/>
      <c r="G12" s="727"/>
      <c r="H12" s="366"/>
      <c r="I12" s="237"/>
      <c r="J12" s="237"/>
      <c r="K12" s="238"/>
      <c r="L12" s="247"/>
    </row>
    <row r="13" spans="1:12" ht="12.75" hidden="1" customHeight="1">
      <c r="A13" s="843"/>
      <c r="B13" s="758"/>
      <c r="C13" s="687"/>
      <c r="D13" s="253"/>
      <c r="E13" s="253"/>
      <c r="F13" s="253"/>
      <c r="G13" s="727"/>
      <c r="H13" s="366"/>
      <c r="I13" s="237"/>
      <c r="J13" s="237"/>
      <c r="K13" s="238"/>
      <c r="L13" s="247"/>
    </row>
    <row r="14" spans="1:12" ht="12.75" hidden="1" customHeight="1">
      <c r="A14" s="843"/>
      <c r="B14" s="758"/>
      <c r="C14" s="687"/>
      <c r="D14" s="253"/>
      <c r="E14" s="253"/>
      <c r="F14" s="253"/>
      <c r="G14" s="727"/>
      <c r="H14" s="366"/>
      <c r="I14" s="237"/>
      <c r="J14" s="237"/>
      <c r="K14" s="238"/>
      <c r="L14" s="247"/>
    </row>
    <row r="15" spans="1:12" ht="12.75" hidden="1" customHeight="1">
      <c r="A15" s="844"/>
      <c r="B15" s="758"/>
      <c r="C15" s="687"/>
      <c r="D15" s="253"/>
      <c r="E15" s="253"/>
      <c r="F15" s="253"/>
      <c r="G15" s="727"/>
      <c r="H15" s="366"/>
      <c r="I15" s="237"/>
      <c r="J15" s="237"/>
      <c r="K15" s="238"/>
      <c r="L15" s="247"/>
    </row>
    <row r="16" spans="1:12" ht="11.25" customHeight="1">
      <c r="A16" s="254" t="s">
        <v>203</v>
      </c>
      <c r="B16" s="255"/>
      <c r="C16" s="256"/>
      <c r="D16" s="257">
        <f>SUM(D7:D15)</f>
        <v>50.483333333333334</v>
      </c>
      <c r="E16" s="257">
        <f>SUM(E7:E15)</f>
        <v>759.41666666666663</v>
      </c>
      <c r="F16" s="257">
        <f>SUM(F7:F15)</f>
        <v>500.89999999999992</v>
      </c>
      <c r="G16" s="367">
        <f>+E16/F16-1</f>
        <v>0.51610434551141293</v>
      </c>
      <c r="H16" s="367">
        <f>+D16/E16-1</f>
        <v>-0.93352353780313835</v>
      </c>
      <c r="I16" s="237"/>
      <c r="J16" s="237"/>
      <c r="K16" s="238"/>
      <c r="L16" s="247"/>
    </row>
    <row r="17" spans="1:12" ht="11.25" customHeight="1">
      <c r="A17" s="361" t="str">
        <f>"Cuadro N° 14: Horas de operación de los principales equipos de congestión en "&amp;'1. Resumen'!Q4</f>
        <v>Cuadro N° 14: Horas de operación de los principales equipos de congestión en julio</v>
      </c>
      <c r="B17" s="258"/>
      <c r="C17" s="259"/>
      <c r="D17" s="260"/>
      <c r="E17" s="260"/>
      <c r="F17" s="261"/>
      <c r="G17" s="76"/>
      <c r="H17" s="82"/>
      <c r="I17" s="237"/>
      <c r="J17" s="237"/>
      <c r="K17" s="238"/>
      <c r="L17" s="247"/>
    </row>
    <row r="18" spans="1:12" ht="11.25" customHeight="1">
      <c r="A18" s="137"/>
      <c r="B18" s="258"/>
      <c r="C18" s="259"/>
      <c r="D18" s="260"/>
      <c r="E18" s="260"/>
      <c r="F18" s="261"/>
      <c r="G18" s="76"/>
      <c r="H18" s="76"/>
      <c r="I18" s="237"/>
      <c r="J18" s="237"/>
      <c r="K18" s="238"/>
      <c r="L18" s="247"/>
    </row>
    <row r="19" spans="1:12" ht="11.25" customHeight="1">
      <c r="A19" s="137"/>
      <c r="B19" s="258"/>
      <c r="C19" s="259"/>
      <c r="D19" s="260"/>
      <c r="E19" s="260"/>
      <c r="F19" s="261"/>
      <c r="G19" s="76"/>
      <c r="H19" s="76"/>
      <c r="I19" s="237"/>
      <c r="J19" s="237"/>
      <c r="K19" s="238"/>
      <c r="L19" s="247"/>
    </row>
    <row r="20" spans="1:12" ht="11.25" customHeight="1">
      <c r="A20" s="77"/>
      <c r="B20" s="183"/>
      <c r="C20" s="78"/>
      <c r="D20" s="79"/>
      <c r="E20" s="79"/>
      <c r="F20" s="80"/>
      <c r="G20" s="76"/>
      <c r="H20" s="76"/>
      <c r="I20" s="237"/>
      <c r="J20" s="237"/>
      <c r="K20" s="238"/>
      <c r="L20" s="247"/>
    </row>
    <row r="21" spans="1:12" ht="11.25" customHeight="1">
      <c r="A21" s="77"/>
      <c r="B21" s="183"/>
      <c r="C21" s="78"/>
      <c r="D21" s="79"/>
      <c r="E21" s="79"/>
      <c r="F21" s="80"/>
      <c r="G21" s="76"/>
      <c r="H21" s="76"/>
      <c r="I21" s="237"/>
      <c r="J21" s="237"/>
      <c r="K21" s="238"/>
      <c r="L21" s="247"/>
    </row>
    <row r="22" spans="1:12" ht="11.25" customHeight="1">
      <c r="A22" s="77"/>
      <c r="B22" s="183"/>
      <c r="C22" s="78"/>
      <c r="D22" s="79"/>
      <c r="E22" s="79"/>
      <c r="F22" s="80"/>
      <c r="G22" s="76"/>
      <c r="H22" s="76"/>
      <c r="I22" s="237"/>
      <c r="J22" s="237"/>
      <c r="K22" s="238"/>
      <c r="L22" s="248"/>
    </row>
    <row r="23" spans="1:12" ht="11.25" customHeight="1">
      <c r="A23" s="77"/>
      <c r="B23" s="183"/>
      <c r="C23" s="78"/>
      <c r="D23" s="79"/>
      <c r="E23" s="79"/>
      <c r="F23" s="80"/>
      <c r="G23" s="76"/>
      <c r="H23" s="76"/>
      <c r="I23" s="237"/>
      <c r="J23" s="237"/>
      <c r="K23" s="238"/>
      <c r="L23" s="247"/>
    </row>
    <row r="24" spans="1:12" ht="11.25" customHeight="1">
      <c r="A24" s="77"/>
      <c r="B24" s="183"/>
      <c r="C24" s="78"/>
      <c r="D24" s="79"/>
      <c r="E24" s="79"/>
      <c r="F24" s="80"/>
      <c r="G24" s="76"/>
      <c r="H24" s="76"/>
      <c r="I24" s="237"/>
      <c r="J24" s="237"/>
      <c r="K24" s="238"/>
      <c r="L24" s="247"/>
    </row>
    <row r="25" spans="1:12" ht="11.25" customHeight="1">
      <c r="A25" s="77"/>
      <c r="B25" s="183"/>
      <c r="C25" s="78"/>
      <c r="D25" s="79"/>
      <c r="E25" s="79"/>
      <c r="F25" s="80"/>
      <c r="G25" s="76"/>
      <c r="H25" s="76"/>
      <c r="I25" s="237"/>
      <c r="J25" s="237"/>
      <c r="K25" s="237"/>
      <c r="L25" s="58"/>
    </row>
    <row r="26" spans="1:12" ht="11.25" customHeight="1">
      <c r="A26" s="77"/>
      <c r="B26" s="183"/>
      <c r="C26" s="78"/>
      <c r="D26" s="79"/>
      <c r="E26" s="79"/>
      <c r="F26" s="80"/>
      <c r="G26" s="76"/>
      <c r="H26" s="76"/>
      <c r="I26" s="237"/>
      <c r="J26" s="237"/>
      <c r="K26" s="238"/>
      <c r="L26" s="247"/>
    </row>
    <row r="27" spans="1:12" ht="11.25" customHeight="1">
      <c r="A27" s="77"/>
      <c r="B27" s="183"/>
      <c r="C27" s="78"/>
      <c r="D27" s="79"/>
      <c r="E27" s="79"/>
      <c r="F27" s="80"/>
      <c r="G27" s="76"/>
      <c r="H27" s="76"/>
      <c r="I27" s="237"/>
      <c r="J27" s="237"/>
      <c r="K27" s="239"/>
      <c r="L27" s="247"/>
    </row>
    <row r="28" spans="1:12" ht="11.25" customHeight="1">
      <c r="A28" s="77"/>
      <c r="B28" s="183"/>
      <c r="C28" s="78"/>
      <c r="D28" s="79"/>
      <c r="E28" s="79"/>
      <c r="F28" s="80"/>
      <c r="G28" s="76"/>
      <c r="H28" s="76"/>
      <c r="I28" s="237"/>
      <c r="J28" s="237"/>
      <c r="K28" s="239"/>
      <c r="L28" s="247"/>
    </row>
    <row r="29" spans="1:12" ht="11.25" customHeight="1">
      <c r="A29" s="77"/>
      <c r="B29" s="183"/>
      <c r="C29" s="78"/>
      <c r="D29" s="79"/>
      <c r="E29" s="79"/>
      <c r="F29" s="80"/>
      <c r="G29" s="76"/>
      <c r="H29" s="76"/>
      <c r="I29" s="237"/>
      <c r="J29" s="237"/>
      <c r="K29" s="239"/>
      <c r="L29" s="247"/>
    </row>
    <row r="30" spans="1:12" ht="11.25" customHeight="1">
      <c r="A30" s="77"/>
      <c r="B30" s="183"/>
      <c r="C30" s="78"/>
      <c r="D30" s="79"/>
      <c r="E30" s="79"/>
      <c r="F30" s="80"/>
      <c r="G30" s="76"/>
      <c r="H30" s="76"/>
      <c r="I30" s="237"/>
      <c r="J30" s="237"/>
      <c r="K30" s="239"/>
      <c r="L30" s="247"/>
    </row>
    <row r="31" spans="1:12" ht="11.25" customHeight="1">
      <c r="A31" s="77"/>
      <c r="B31" s="183"/>
      <c r="C31" s="78"/>
      <c r="D31" s="79"/>
      <c r="E31" s="79"/>
      <c r="F31" s="80"/>
      <c r="G31" s="76"/>
      <c r="H31" s="76"/>
      <c r="I31" s="237"/>
      <c r="J31" s="237"/>
      <c r="K31" s="239"/>
      <c r="L31" s="247"/>
    </row>
    <row r="32" spans="1:12" ht="11.25" customHeight="1">
      <c r="A32" s="77"/>
      <c r="B32" s="183"/>
      <c r="C32" s="78"/>
      <c r="D32" s="79"/>
      <c r="E32" s="79"/>
      <c r="F32" s="80"/>
      <c r="G32" s="76"/>
      <c r="H32" s="76"/>
      <c r="I32" s="237"/>
      <c r="J32" s="237"/>
      <c r="K32" s="239"/>
      <c r="L32" s="247"/>
    </row>
    <row r="33" spans="1:12" ht="11.25" customHeight="1">
      <c r="A33" s="77"/>
      <c r="B33" s="183"/>
      <c r="C33" s="78"/>
      <c r="D33" s="79"/>
      <c r="E33" s="79"/>
      <c r="F33" s="80"/>
      <c r="G33" s="76"/>
      <c r="H33" s="76"/>
      <c r="I33" s="237"/>
      <c r="J33" s="237"/>
      <c r="K33" s="239"/>
      <c r="L33" s="247"/>
    </row>
    <row r="34" spans="1:12" ht="11.25" customHeight="1">
      <c r="A34" s="77"/>
      <c r="B34" s="183"/>
      <c r="C34" s="78"/>
      <c r="D34" s="79"/>
      <c r="E34" s="79"/>
      <c r="F34" s="80"/>
      <c r="G34" s="76"/>
      <c r="H34" s="76"/>
      <c r="I34" s="237"/>
      <c r="J34" s="237"/>
      <c r="K34" s="239"/>
      <c r="L34" s="249"/>
    </row>
    <row r="35" spans="1:12" ht="11.25" customHeight="1">
      <c r="A35" s="77"/>
      <c r="B35" s="183"/>
      <c r="C35" s="78"/>
      <c r="D35" s="79"/>
      <c r="E35" s="79"/>
      <c r="F35" s="80"/>
      <c r="G35" s="76"/>
      <c r="H35" s="76"/>
      <c r="I35" s="237"/>
      <c r="J35" s="237"/>
      <c r="K35" s="239"/>
      <c r="L35" s="247"/>
    </row>
    <row r="36" spans="1:12" ht="11.25" customHeight="1">
      <c r="A36" s="77"/>
      <c r="B36" s="183"/>
      <c r="C36" s="78"/>
      <c r="D36" s="79"/>
      <c r="E36" s="79"/>
      <c r="F36" s="80"/>
      <c r="G36" s="76"/>
      <c r="H36" s="76"/>
      <c r="I36" s="237"/>
      <c r="J36" s="237"/>
      <c r="K36" s="239"/>
      <c r="L36" s="247"/>
    </row>
    <row r="37" spans="1:12" ht="11.25" customHeight="1">
      <c r="A37" s="77"/>
      <c r="B37" s="77"/>
      <c r="C37" s="77"/>
      <c r="D37" s="77"/>
      <c r="E37" s="77"/>
      <c r="F37" s="77"/>
      <c r="G37" s="77"/>
      <c r="H37" s="77"/>
      <c r="I37" s="237"/>
      <c r="J37" s="237"/>
      <c r="K37" s="239"/>
      <c r="L37" s="247"/>
    </row>
    <row r="38" spans="1:12" ht="11.25" customHeight="1">
      <c r="A38" s="77"/>
      <c r="B38" s="77"/>
      <c r="C38" s="77"/>
      <c r="D38" s="77"/>
      <c r="E38" s="77"/>
      <c r="F38" s="77"/>
      <c r="G38" s="77"/>
      <c r="H38" s="77"/>
      <c r="I38" s="237"/>
      <c r="J38" s="237"/>
      <c r="K38" s="239"/>
      <c r="L38" s="247"/>
    </row>
    <row r="39" spans="1:12" ht="11.25" customHeight="1">
      <c r="A39" s="77"/>
      <c r="B39" s="77"/>
      <c r="C39" s="77"/>
      <c r="D39" s="77"/>
      <c r="E39" s="77"/>
      <c r="F39" s="77"/>
      <c r="G39" s="77"/>
      <c r="H39" s="77"/>
      <c r="I39" s="237"/>
      <c r="J39" s="237"/>
      <c r="K39" s="239"/>
      <c r="L39" s="247"/>
    </row>
    <row r="40" spans="1:12" ht="11.25" customHeight="1">
      <c r="A40" s="77"/>
      <c r="B40" s="77"/>
      <c r="C40" s="77"/>
      <c r="D40" s="77"/>
      <c r="E40" s="77"/>
      <c r="F40" s="77"/>
      <c r="G40" s="77"/>
      <c r="H40" s="77"/>
      <c r="I40" s="237"/>
      <c r="J40" s="237"/>
      <c r="K40" s="239"/>
      <c r="L40" s="247"/>
    </row>
    <row r="41" spans="1:12" ht="11.25" customHeight="1">
      <c r="A41" s="77"/>
      <c r="B41" s="77"/>
      <c r="C41" s="77"/>
      <c r="D41" s="77"/>
      <c r="E41" s="77"/>
      <c r="F41" s="77"/>
      <c r="G41" s="77"/>
      <c r="H41" s="77"/>
      <c r="I41" s="237"/>
      <c r="J41" s="237"/>
      <c r="K41" s="240"/>
      <c r="L41" s="59"/>
    </row>
    <row r="42" spans="1:12" ht="11.25" customHeight="1">
      <c r="A42" s="77"/>
      <c r="B42" s="77"/>
      <c r="C42" s="77"/>
      <c r="D42" s="77"/>
      <c r="E42" s="77"/>
      <c r="F42" s="77"/>
      <c r="G42" s="77"/>
      <c r="H42" s="77"/>
      <c r="I42" s="237"/>
      <c r="J42" s="237"/>
      <c r="K42" s="240"/>
      <c r="L42" s="59"/>
    </row>
    <row r="43" spans="1:12" ht="11.25" customHeight="1">
      <c r="A43" s="77"/>
      <c r="B43" s="77"/>
      <c r="C43" s="77"/>
      <c r="D43" s="77"/>
      <c r="E43" s="77"/>
      <c r="F43" s="77"/>
      <c r="G43" s="77"/>
      <c r="H43" s="77"/>
      <c r="I43" s="237"/>
      <c r="J43" s="237"/>
      <c r="K43" s="240"/>
      <c r="L43" s="59"/>
    </row>
    <row r="44" spans="1:12" ht="11.25" customHeight="1">
      <c r="A44" s="77"/>
      <c r="B44" s="77"/>
      <c r="C44" s="77"/>
      <c r="D44" s="77"/>
      <c r="E44" s="77"/>
      <c r="F44" s="77"/>
      <c r="G44" s="77"/>
      <c r="H44" s="77"/>
      <c r="I44" s="237"/>
      <c r="J44" s="237"/>
      <c r="K44" s="239"/>
    </row>
    <row r="45" spans="1:12" ht="11.25" customHeight="1">
      <c r="A45" s="77"/>
      <c r="B45" s="77"/>
      <c r="C45" s="77"/>
      <c r="D45" s="77"/>
      <c r="E45" s="77"/>
      <c r="F45" s="77"/>
      <c r="G45" s="77"/>
      <c r="H45" s="77"/>
      <c r="I45" s="237"/>
      <c r="J45" s="237"/>
      <c r="K45" s="239"/>
    </row>
    <row r="46" spans="1:12" ht="13.2">
      <c r="A46" s="54"/>
      <c r="B46" s="77"/>
      <c r="C46" s="77"/>
      <c r="D46" s="77"/>
      <c r="E46" s="77"/>
      <c r="F46" s="77"/>
      <c r="G46" s="77"/>
      <c r="H46" s="77"/>
      <c r="I46" s="237"/>
      <c r="J46" s="237"/>
      <c r="K46" s="239"/>
    </row>
    <row r="47" spans="1:12" ht="13.2">
      <c r="A47" s="77"/>
      <c r="B47" s="77"/>
      <c r="C47" s="77"/>
      <c r="D47" s="77"/>
      <c r="E47" s="77"/>
      <c r="F47" s="77"/>
      <c r="G47" s="77"/>
      <c r="H47" s="77"/>
      <c r="I47" s="237"/>
      <c r="J47" s="237"/>
      <c r="K47" s="239"/>
    </row>
    <row r="48" spans="1:12" ht="13.2">
      <c r="A48" s="77"/>
      <c r="B48" s="77"/>
      <c r="C48" s="77"/>
      <c r="D48" s="77"/>
      <c r="E48" s="77"/>
      <c r="F48" s="77"/>
      <c r="G48" s="77"/>
      <c r="H48" s="77"/>
      <c r="I48" s="237"/>
      <c r="J48" s="237"/>
      <c r="K48" s="239"/>
    </row>
    <row r="49" spans="1:11" ht="13.2">
      <c r="A49" s="77"/>
      <c r="B49" s="77"/>
      <c r="C49" s="77"/>
      <c r="D49" s="77"/>
      <c r="E49" s="77"/>
      <c r="F49" s="77"/>
      <c r="G49" s="77"/>
      <c r="H49" s="77"/>
      <c r="I49" s="237"/>
      <c r="J49" s="237"/>
      <c r="K49" s="239"/>
    </row>
    <row r="50" spans="1:11" ht="13.2">
      <c r="A50" s="77"/>
      <c r="B50" s="77"/>
      <c r="C50" s="77"/>
      <c r="D50" s="77"/>
      <c r="E50" s="77"/>
      <c r="F50" s="77"/>
      <c r="G50" s="77"/>
      <c r="H50" s="77"/>
      <c r="I50" s="237"/>
      <c r="J50" s="237"/>
      <c r="K50" s="239"/>
    </row>
    <row r="51" spans="1:11" ht="13.2">
      <c r="A51" s="77"/>
      <c r="B51" s="77"/>
      <c r="C51" s="77"/>
      <c r="D51" s="77"/>
      <c r="E51" s="77"/>
      <c r="F51" s="77"/>
      <c r="G51" s="77"/>
      <c r="H51" s="77"/>
      <c r="I51" s="111"/>
      <c r="J51" s="111"/>
      <c r="K51" s="239"/>
    </row>
    <row r="52" spans="1:11" ht="13.2">
      <c r="A52" s="77"/>
      <c r="B52" s="77"/>
      <c r="C52" s="77"/>
      <c r="D52" s="77"/>
      <c r="E52" s="77"/>
      <c r="F52" s="77"/>
      <c r="G52" s="77"/>
      <c r="H52" s="77"/>
      <c r="I52" s="111"/>
      <c r="J52" s="111"/>
      <c r="K52" s="239"/>
    </row>
    <row r="53" spans="1:11" ht="13.2">
      <c r="A53" s="77"/>
      <c r="B53" s="77"/>
      <c r="C53" s="77"/>
      <c r="D53" s="77"/>
      <c r="E53" s="77"/>
      <c r="F53" s="77"/>
      <c r="G53" s="77"/>
      <c r="H53" s="77"/>
      <c r="I53" s="111"/>
      <c r="J53" s="111"/>
      <c r="K53" s="239"/>
    </row>
    <row r="54" spans="1:11" ht="13.2">
      <c r="B54" s="77"/>
      <c r="C54" s="77"/>
      <c r="D54" s="77"/>
      <c r="E54" s="77"/>
      <c r="F54" s="77"/>
      <c r="G54" s="77"/>
      <c r="H54" s="77"/>
      <c r="I54" s="111"/>
      <c r="J54" s="111"/>
      <c r="K54" s="239"/>
    </row>
    <row r="55" spans="1:11" ht="13.2">
      <c r="A55" s="361" t="str">
        <f>"Gráfico N° 23: Comparación de las horas de operación de los principales equipos de congestión en "&amp;'1. Resumen'!Q4</f>
        <v>Gráfico N° 23: Comparación de las horas de operación de los principales equipos de congestión en julio</v>
      </c>
      <c r="B55" s="77"/>
      <c r="C55" s="77"/>
      <c r="D55" s="77"/>
      <c r="E55" s="77"/>
      <c r="F55" s="77"/>
      <c r="G55" s="77"/>
      <c r="H55" s="77"/>
      <c r="I55" s="111"/>
      <c r="J55" s="111"/>
      <c r="K55" s="239"/>
    </row>
    <row r="56" spans="1:11" ht="13.2">
      <c r="A56" s="77"/>
      <c r="B56" s="77"/>
      <c r="C56" s="77"/>
      <c r="D56" s="77"/>
      <c r="E56" s="77"/>
      <c r="F56" s="77"/>
      <c r="G56" s="77"/>
      <c r="H56" s="77"/>
      <c r="I56" s="238"/>
      <c r="J56" s="238"/>
      <c r="K56" s="239"/>
    </row>
    <row r="57" spans="1:11" ht="13.2">
      <c r="A57" s="237"/>
      <c r="B57" s="238"/>
      <c r="C57" s="238"/>
      <c r="D57" s="238"/>
      <c r="E57" s="238"/>
      <c r="F57" s="238"/>
      <c r="G57" s="238"/>
      <c r="H57" s="238"/>
      <c r="I57" s="238"/>
      <c r="J57" s="238"/>
      <c r="K57" s="239"/>
    </row>
    <row r="58" spans="1:11" ht="13.2">
      <c r="A58" s="237"/>
      <c r="B58" s="250"/>
      <c r="C58" s="239"/>
      <c r="D58" s="239"/>
      <c r="E58" s="239"/>
      <c r="F58" s="239"/>
      <c r="G58" s="238"/>
      <c r="H58" s="238"/>
      <c r="I58" s="238"/>
      <c r="J58" s="238"/>
      <c r="K58" s="239"/>
    </row>
    <row r="59" spans="1:11" ht="13.2">
      <c r="A59" s="1"/>
      <c r="B59" s="31"/>
      <c r="C59" s="31"/>
      <c r="D59" s="31"/>
      <c r="E59" s="31"/>
      <c r="F59" s="31"/>
      <c r="G59" s="31"/>
      <c r="H59" s="238"/>
      <c r="I59" s="238"/>
      <c r="J59" s="238"/>
      <c r="K59" s="239"/>
    </row>
    <row r="60" spans="1:11" ht="13.2">
      <c r="A60" s="1"/>
      <c r="B60" s="31"/>
      <c r="C60" s="31"/>
      <c r="D60" s="31"/>
      <c r="E60" s="31"/>
      <c r="F60" s="31"/>
      <c r="G60" s="31"/>
      <c r="H60" s="238"/>
      <c r="I60" s="238"/>
      <c r="J60" s="238"/>
      <c r="K60" s="238"/>
    </row>
    <row r="61" spans="1:11" ht="13.2">
      <c r="A61" s="1"/>
      <c r="B61" s="31"/>
      <c r="C61" s="31"/>
      <c r="D61" s="31"/>
      <c r="E61" s="31"/>
      <c r="F61" s="31"/>
      <c r="G61" s="31"/>
      <c r="H61" s="238"/>
      <c r="I61" s="238"/>
      <c r="J61" s="238"/>
      <c r="K61" s="238"/>
    </row>
  </sheetData>
  <mergeCells count="4">
    <mergeCell ref="A4:H4"/>
    <mergeCell ref="A2:H2"/>
    <mergeCell ref="A9:A15"/>
    <mergeCell ref="A7:A8"/>
  </mergeCells>
  <pageMargins left="0.7" right="0.7" top="0.86956521739130432" bottom="0.61458333333333337" header="0.3" footer="0.3"/>
  <pageSetup orientation="portrait" r:id="rId1"/>
  <headerFooter>
    <oddHeader>&amp;R&amp;7Informe de la Operación Mensual - Julio 2018
INFSGI-MES-07-2018
14/08/2018
Versión: 01</oddHeader>
    <oddFooter>&amp;L&amp;7COES SINAC, 2018
&amp;C16&amp;R&amp;7Dirección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4CB9D-54EF-47BE-AF3E-BCE3C83F12A6}">
  <sheetPr>
    <tabColor theme="4"/>
  </sheetPr>
  <dimension ref="A1:L249"/>
  <sheetViews>
    <sheetView showGridLines="0" view="pageBreakPreview" zoomScale="145" zoomScaleNormal="160" zoomScaleSheetLayoutView="145" zoomScalePageLayoutView="160" workbookViewId="0">
      <selection activeCell="E5" sqref="E5"/>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53" t="s">
        <v>204</v>
      </c>
      <c r="B2" s="853"/>
      <c r="C2" s="853"/>
      <c r="D2" s="853"/>
      <c r="E2" s="853"/>
      <c r="F2" s="853"/>
      <c r="G2" s="853"/>
      <c r="H2" s="853"/>
      <c r="I2" s="853"/>
      <c r="J2" s="853"/>
      <c r="K2" s="182"/>
    </row>
    <row r="3" spans="1:12" ht="6.75" customHeight="1">
      <c r="A3" s="17"/>
      <c r="B3" s="178"/>
      <c r="C3" s="262"/>
      <c r="D3" s="18"/>
      <c r="E3" s="18"/>
      <c r="F3" s="233"/>
      <c r="G3" s="66"/>
      <c r="H3" s="66"/>
      <c r="I3" s="71"/>
      <c r="J3" s="182"/>
      <c r="K3" s="182"/>
      <c r="L3" s="36"/>
    </row>
    <row r="4" spans="1:12" ht="11.25" customHeight="1">
      <c r="A4" s="854" t="s">
        <v>205</v>
      </c>
      <c r="B4" s="854"/>
      <c r="C4" s="854"/>
      <c r="D4" s="854"/>
      <c r="E4" s="854"/>
      <c r="F4" s="854"/>
      <c r="G4" s="854"/>
      <c r="H4" s="854"/>
      <c r="I4" s="854"/>
      <c r="J4" s="854"/>
      <c r="K4" s="182"/>
      <c r="L4" s="36"/>
    </row>
    <row r="5" spans="1:12" ht="38.25" customHeight="1">
      <c r="A5" s="851" t="s">
        <v>206</v>
      </c>
      <c r="B5" s="620" t="s">
        <v>207</v>
      </c>
      <c r="C5" s="620" t="s">
        <v>208</v>
      </c>
      <c r="D5" s="620" t="s">
        <v>209</v>
      </c>
      <c r="E5" s="620" t="s">
        <v>210</v>
      </c>
      <c r="F5" s="620" t="s">
        <v>211</v>
      </c>
      <c r="G5" s="620" t="s">
        <v>212</v>
      </c>
      <c r="H5" s="620" t="s">
        <v>213</v>
      </c>
      <c r="I5" s="666" t="s">
        <v>214</v>
      </c>
      <c r="J5" s="620" t="s">
        <v>215</v>
      </c>
      <c r="K5" s="131"/>
    </row>
    <row r="6" spans="1:12" ht="11.25" customHeight="1">
      <c r="A6" s="852"/>
      <c r="B6" s="620" t="s">
        <v>216</v>
      </c>
      <c r="C6" s="620" t="s">
        <v>217</v>
      </c>
      <c r="D6" s="620" t="s">
        <v>218</v>
      </c>
      <c r="E6" s="620" t="s">
        <v>219</v>
      </c>
      <c r="F6" s="620" t="s">
        <v>220</v>
      </c>
      <c r="G6" s="620" t="s">
        <v>221</v>
      </c>
      <c r="H6" s="620" t="s">
        <v>222</v>
      </c>
      <c r="I6" s="667"/>
      <c r="J6" s="620" t="s">
        <v>223</v>
      </c>
      <c r="K6" s="19"/>
    </row>
    <row r="7" spans="1:12">
      <c r="A7" s="626" t="s">
        <v>512</v>
      </c>
      <c r="B7" s="627"/>
      <c r="C7" s="627">
        <v>10</v>
      </c>
      <c r="D7" s="627"/>
      <c r="E7" s="628">
        <v>10</v>
      </c>
      <c r="F7" s="627">
        <v>4</v>
      </c>
      <c r="G7" s="627">
        <v>1</v>
      </c>
      <c r="H7" s="627"/>
      <c r="I7" s="629">
        <v>25</v>
      </c>
      <c r="J7" s="630">
        <v>217.26999999999998</v>
      </c>
      <c r="K7" s="24"/>
    </row>
    <row r="8" spans="1:12">
      <c r="A8" s="665" t="s">
        <v>555</v>
      </c>
      <c r="B8" s="621"/>
      <c r="C8" s="622">
        <v>1</v>
      </c>
      <c r="D8" s="622">
        <v>1</v>
      </c>
      <c r="E8" s="623">
        <v>1</v>
      </c>
      <c r="F8" s="622"/>
      <c r="G8" s="622"/>
      <c r="H8" s="622"/>
      <c r="I8" s="624">
        <v>3</v>
      </c>
      <c r="J8" s="625">
        <v>36.9</v>
      </c>
      <c r="K8" s="22"/>
    </row>
    <row r="9" spans="1:12">
      <c r="A9" s="626" t="s">
        <v>676</v>
      </c>
      <c r="B9" s="627"/>
      <c r="C9" s="627"/>
      <c r="D9" s="627">
        <v>1</v>
      </c>
      <c r="E9" s="628">
        <v>1</v>
      </c>
      <c r="F9" s="627"/>
      <c r="G9" s="627"/>
      <c r="H9" s="627"/>
      <c r="I9" s="629">
        <v>2</v>
      </c>
      <c r="J9" s="630">
        <v>24.17</v>
      </c>
      <c r="K9" s="22"/>
    </row>
    <row r="10" spans="1:12" ht="15.6">
      <c r="A10" s="665" t="s">
        <v>617</v>
      </c>
      <c r="B10" s="621"/>
      <c r="C10" s="622"/>
      <c r="D10" s="622"/>
      <c r="E10" s="623">
        <v>1</v>
      </c>
      <c r="F10" s="622"/>
      <c r="G10" s="622"/>
      <c r="H10" s="622"/>
      <c r="I10" s="624">
        <v>1</v>
      </c>
      <c r="J10" s="625">
        <v>3.67</v>
      </c>
      <c r="K10" s="22"/>
    </row>
    <row r="11" spans="1:12">
      <c r="A11" s="626" t="s">
        <v>214</v>
      </c>
      <c r="B11" s="629">
        <f t="shared" ref="B11:J11" si="0">+SUM(B7:B10)</f>
        <v>0</v>
      </c>
      <c r="C11" s="629">
        <f t="shared" si="0"/>
        <v>11</v>
      </c>
      <c r="D11" s="629">
        <f t="shared" si="0"/>
        <v>2</v>
      </c>
      <c r="E11" s="752">
        <f t="shared" si="0"/>
        <v>13</v>
      </c>
      <c r="F11" s="629">
        <f t="shared" si="0"/>
        <v>4</v>
      </c>
      <c r="G11" s="629">
        <f t="shared" si="0"/>
        <v>1</v>
      </c>
      <c r="H11" s="629">
        <f t="shared" si="0"/>
        <v>0</v>
      </c>
      <c r="I11" s="629">
        <f t="shared" si="0"/>
        <v>31</v>
      </c>
      <c r="J11" s="713">
        <f t="shared" si="0"/>
        <v>282.01</v>
      </c>
      <c r="K11" s="22"/>
    </row>
    <row r="12" spans="1:12" ht="11.25" customHeight="1">
      <c r="A12" s="856"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julio 2018</v>
      </c>
      <c r="B12" s="856"/>
      <c r="C12" s="856"/>
      <c r="D12" s="856"/>
      <c r="E12" s="856"/>
      <c r="F12" s="856"/>
      <c r="G12" s="856"/>
      <c r="H12" s="856"/>
      <c r="I12" s="856"/>
      <c r="J12" s="856"/>
      <c r="K12" s="22"/>
    </row>
    <row r="13" spans="1:12" ht="11.25" customHeight="1">
      <c r="K13" s="22"/>
    </row>
    <row r="14" spans="1:12" s="685" customFormat="1" ht="11.25" customHeight="1">
      <c r="A14" s="855" t="s">
        <v>556</v>
      </c>
      <c r="B14" s="855"/>
      <c r="C14" s="855"/>
      <c r="D14" s="855"/>
      <c r="E14" s="855"/>
      <c r="F14" s="855"/>
      <c r="G14" s="855"/>
      <c r="H14" s="855"/>
      <c r="I14" s="855"/>
      <c r="J14" s="855"/>
      <c r="K14" s="684"/>
    </row>
    <row r="15" spans="1:12" ht="11.25" customHeight="1">
      <c r="A15" s="17"/>
      <c r="B15" s="265"/>
      <c r="C15" s="264"/>
      <c r="D15" s="264"/>
      <c r="E15" s="264"/>
      <c r="F15" s="264"/>
      <c r="G15" s="218"/>
      <c r="H15" s="218"/>
      <c r="I15" s="138"/>
      <c r="J15" s="25"/>
      <c r="K15" s="25"/>
      <c r="L15" s="22"/>
    </row>
    <row r="16" spans="1:12" ht="11.25" customHeight="1">
      <c r="A16" s="848" t="str">
        <f>"FALLAS  POR TIPO DE CAUSA  -  "&amp;UPPER('1. Resumen'!Q4)&amp;" "&amp;'1. Resumen'!Q5</f>
        <v>FALLAS  POR TIPO DE CAUSA  -  JULIO 2018</v>
      </c>
      <c r="B16" s="848"/>
      <c r="C16" s="848"/>
      <c r="D16" s="848"/>
      <c r="E16" s="848" t="str">
        <f>"FALLAS  POR TIPO DE EQUIPO  -  "&amp;UPPER('1. Resumen'!Q4)&amp;" "&amp;'1. Resumen'!Q5</f>
        <v>FALLAS  POR TIPO DE EQUIPO  -  JULIO 2018</v>
      </c>
      <c r="F16" s="848"/>
      <c r="G16" s="848"/>
      <c r="H16" s="848"/>
      <c r="I16" s="848"/>
      <c r="J16" s="848"/>
      <c r="K16" s="25"/>
      <c r="L16" s="22"/>
    </row>
    <row r="17" spans="1:12" ht="11.25" customHeight="1">
      <c r="A17" s="17"/>
      <c r="E17" s="264"/>
      <c r="F17" s="264"/>
      <c r="G17" s="218"/>
      <c r="H17" s="218"/>
      <c r="I17" s="138"/>
      <c r="J17" s="111"/>
      <c r="K17" s="111"/>
      <c r="L17" s="22"/>
    </row>
    <row r="18" spans="1:12" ht="11.25" customHeight="1">
      <c r="A18" s="17"/>
      <c r="B18" s="265"/>
      <c r="C18" s="264"/>
      <c r="D18" s="264"/>
      <c r="E18" s="264"/>
      <c r="F18" s="264"/>
      <c r="G18" s="218"/>
      <c r="H18" s="218"/>
      <c r="I18" s="138"/>
      <c r="J18" s="111"/>
      <c r="K18" s="111"/>
      <c r="L18" s="30"/>
    </row>
    <row r="19" spans="1:12" ht="11.25" customHeight="1">
      <c r="A19" s="17"/>
      <c r="B19" s="265"/>
      <c r="C19" s="264"/>
      <c r="D19" s="264"/>
      <c r="E19" s="264"/>
      <c r="F19" s="264"/>
      <c r="G19" s="218"/>
      <c r="H19" s="218"/>
      <c r="I19" s="138"/>
      <c r="J19" s="111"/>
      <c r="K19" s="111"/>
      <c r="L19" s="22"/>
    </row>
    <row r="20" spans="1:12" ht="11.25" customHeight="1">
      <c r="A20" s="17"/>
      <c r="B20" s="265"/>
      <c r="C20" s="264"/>
      <c r="D20" s="264"/>
      <c r="E20" s="264"/>
      <c r="F20" s="264"/>
      <c r="G20" s="218"/>
      <c r="H20" s="218"/>
      <c r="I20" s="138"/>
      <c r="J20" s="111"/>
      <c r="K20" s="111"/>
      <c r="L20" s="22"/>
    </row>
    <row r="21" spans="1:12" ht="11.25" customHeight="1">
      <c r="A21" s="17"/>
      <c r="B21" s="265"/>
      <c r="C21" s="264"/>
      <c r="D21" s="264"/>
      <c r="E21" s="264"/>
      <c r="F21" s="264"/>
      <c r="G21" s="218"/>
      <c r="H21" s="218"/>
      <c r="I21" s="138"/>
      <c r="J21" s="111"/>
      <c r="K21" s="111"/>
      <c r="L21" s="22"/>
    </row>
    <row r="22" spans="1:12" ht="11.25" customHeight="1">
      <c r="A22" s="17"/>
      <c r="B22" s="265"/>
      <c r="C22" s="264"/>
      <c r="D22" s="264"/>
      <c r="E22" s="264"/>
      <c r="F22" s="264"/>
      <c r="G22" s="218"/>
      <c r="H22" s="218"/>
      <c r="I22" s="138"/>
      <c r="J22" s="111"/>
      <c r="K22" s="111"/>
      <c r="L22" s="30"/>
    </row>
    <row r="23" spans="1:12" ht="11.25" customHeight="1">
      <c r="A23" s="17"/>
      <c r="B23" s="265"/>
      <c r="C23" s="264"/>
      <c r="D23" s="264"/>
      <c r="E23" s="264"/>
      <c r="F23" s="264"/>
      <c r="G23" s="218"/>
      <c r="H23" s="218"/>
      <c r="I23" s="138"/>
      <c r="J23" s="111"/>
      <c r="K23" s="111"/>
      <c r="L23" s="22"/>
    </row>
    <row r="24" spans="1:12" ht="11.25" customHeight="1">
      <c r="A24" s="17"/>
      <c r="B24" s="265"/>
      <c r="C24" s="264"/>
      <c r="D24" s="264"/>
      <c r="E24" s="264"/>
      <c r="F24" s="264"/>
      <c r="G24" s="218"/>
      <c r="H24" s="218"/>
      <c r="I24" s="138"/>
      <c r="J24" s="111"/>
      <c r="K24" s="111"/>
      <c r="L24" s="22"/>
    </row>
    <row r="25" spans="1:12" ht="11.25" customHeight="1">
      <c r="A25" s="17"/>
      <c r="B25" s="265"/>
      <c r="C25" s="264"/>
      <c r="D25" s="264"/>
      <c r="E25" s="264"/>
      <c r="F25" s="264"/>
      <c r="G25" s="218"/>
      <c r="H25" s="218"/>
      <c r="I25" s="138"/>
      <c r="J25" s="111"/>
      <c r="K25" s="111"/>
      <c r="L25" s="22"/>
    </row>
    <row r="26" spans="1:12" ht="11.25" customHeight="1">
      <c r="A26" s="17"/>
      <c r="B26" s="265"/>
      <c r="C26" s="264"/>
      <c r="D26" s="264"/>
      <c r="E26" s="264"/>
      <c r="F26" s="264"/>
      <c r="G26" s="218"/>
      <c r="H26" s="218"/>
      <c r="I26" s="138"/>
      <c r="J26" s="111"/>
      <c r="K26" s="111"/>
      <c r="L26" s="22"/>
    </row>
    <row r="27" spans="1:12" ht="11.25" customHeight="1">
      <c r="A27" s="17"/>
      <c r="B27" s="265"/>
      <c r="C27" s="264"/>
      <c r="D27" s="264"/>
      <c r="E27" s="264"/>
      <c r="F27" s="264"/>
      <c r="G27" s="218"/>
      <c r="H27" s="218"/>
      <c r="I27" s="138"/>
      <c r="J27" s="111"/>
      <c r="K27" s="111"/>
      <c r="L27" s="22"/>
    </row>
    <row r="28" spans="1:12" ht="11.25" customHeight="1">
      <c r="A28" s="17"/>
      <c r="B28" s="265"/>
      <c r="C28" s="264"/>
      <c r="D28" s="264"/>
      <c r="E28" s="264"/>
      <c r="F28" s="264"/>
      <c r="G28" s="218"/>
      <c r="H28" s="218"/>
      <c r="I28" s="138"/>
      <c r="J28" s="111"/>
      <c r="K28" s="111"/>
      <c r="L28" s="22"/>
    </row>
    <row r="29" spans="1:12" ht="11.25" customHeight="1">
      <c r="A29" s="17"/>
      <c r="B29" s="265"/>
      <c r="C29" s="264"/>
      <c r="D29" s="264"/>
      <c r="E29" s="264"/>
      <c r="F29" s="264"/>
      <c r="G29" s="218"/>
      <c r="H29" s="218"/>
      <c r="I29" s="138"/>
      <c r="J29" s="111"/>
      <c r="K29" s="111"/>
      <c r="L29" s="22"/>
    </row>
    <row r="30" spans="1:12" ht="11.25" customHeight="1">
      <c r="A30" s="17"/>
      <c r="B30" s="265"/>
      <c r="C30" s="264"/>
      <c r="D30" s="264"/>
      <c r="E30" s="264"/>
      <c r="F30" s="264"/>
      <c r="G30" s="218"/>
      <c r="H30" s="218"/>
      <c r="I30" s="138"/>
      <c r="J30" s="111"/>
      <c r="K30" s="111"/>
      <c r="L30" s="22"/>
    </row>
    <row r="31" spans="1:12" ht="11.25" customHeight="1">
      <c r="A31" s="17"/>
      <c r="B31" s="265"/>
      <c r="C31" s="264"/>
      <c r="D31" s="264"/>
      <c r="E31" s="264"/>
      <c r="F31" s="264"/>
      <c r="G31" s="218"/>
      <c r="H31" s="218"/>
      <c r="I31" s="138"/>
      <c r="J31" s="111"/>
      <c r="K31" s="111"/>
      <c r="L31" s="22"/>
    </row>
    <row r="32" spans="1:12" ht="11.25" customHeight="1">
      <c r="A32" s="17"/>
      <c r="B32" s="265"/>
      <c r="C32" s="264"/>
      <c r="D32" s="264"/>
      <c r="E32" s="264"/>
      <c r="F32" s="264"/>
      <c r="G32" s="218"/>
      <c r="H32" s="218"/>
      <c r="I32" s="138"/>
      <c r="J32" s="111"/>
      <c r="K32" s="111"/>
      <c r="L32" s="22"/>
    </row>
    <row r="33" spans="1:12" ht="11.25" customHeight="1">
      <c r="A33" s="17"/>
      <c r="B33" s="265"/>
      <c r="C33" s="264"/>
      <c r="D33" s="264"/>
      <c r="E33" s="264"/>
      <c r="F33" s="264"/>
      <c r="G33" s="218"/>
      <c r="H33" s="218"/>
      <c r="I33" s="138"/>
      <c r="J33" s="111"/>
      <c r="K33" s="111"/>
      <c r="L33" s="22"/>
    </row>
    <row r="34" spans="1:12" ht="23.25" customHeight="1">
      <c r="A34" s="847" t="s">
        <v>549</v>
      </c>
      <c r="B34" s="847"/>
      <c r="C34" s="847"/>
      <c r="D34" s="368"/>
      <c r="E34" s="850" t="s">
        <v>550</v>
      </c>
      <c r="F34" s="850"/>
      <c r="G34" s="850"/>
      <c r="H34" s="850"/>
      <c r="I34" s="850"/>
      <c r="J34" s="850"/>
      <c r="K34" s="25"/>
      <c r="L34" s="22"/>
    </row>
    <row r="35" spans="1:12" ht="11.25" customHeight="1">
      <c r="A35" s="17"/>
      <c r="B35" s="132"/>
      <c r="C35" s="132"/>
      <c r="D35" s="132"/>
      <c r="E35" s="132"/>
      <c r="F35" s="132"/>
      <c r="G35" s="25"/>
      <c r="H35" s="25"/>
      <c r="I35" s="25"/>
      <c r="J35" s="25"/>
      <c r="K35" s="25"/>
      <c r="L35" s="22"/>
    </row>
    <row r="36" spans="1:12" ht="6.75" customHeight="1">
      <c r="A36" s="17"/>
      <c r="B36" s="132"/>
      <c r="C36" s="132"/>
      <c r="D36" s="132"/>
      <c r="E36" s="132"/>
      <c r="F36" s="132"/>
      <c r="G36" s="25"/>
      <c r="H36" s="25"/>
      <c r="I36" s="25"/>
      <c r="J36" s="25"/>
      <c r="K36" s="25"/>
      <c r="L36" s="266"/>
    </row>
    <row r="37" spans="1:12" ht="11.25" customHeight="1">
      <c r="A37" s="849" t="str">
        <f>"ENERGIA INTERRUMPIDA APROXIMADA POR TIPO DE EQUIPO (MWh)  -  "&amp;UPPER('1. Resumen'!Q4)&amp;" "&amp;'1. Resumen'!Q5</f>
        <v>ENERGIA INTERRUMPIDA APROXIMADA POR TIPO DE EQUIPO (MWh)  -  JULIO 2018</v>
      </c>
      <c r="B37" s="849"/>
      <c r="C37" s="849"/>
      <c r="D37" s="849"/>
      <c r="E37" s="849"/>
      <c r="F37" s="849"/>
      <c r="G37" s="849"/>
      <c r="H37" s="849"/>
      <c r="I37" s="849"/>
      <c r="J37" s="849"/>
      <c r="K37" s="25"/>
      <c r="L37" s="266"/>
    </row>
    <row r="38" spans="1:12" ht="11.25" customHeight="1">
      <c r="A38" s="17"/>
      <c r="B38" s="132"/>
      <c r="C38" s="132"/>
      <c r="D38" s="132"/>
      <c r="E38" s="132"/>
      <c r="F38" s="132"/>
      <c r="G38" s="25"/>
      <c r="H38" s="25"/>
      <c r="I38" s="25"/>
      <c r="J38" s="25"/>
      <c r="K38" s="25"/>
      <c r="L38" s="266"/>
    </row>
    <row r="39" spans="1:12" ht="11.25" customHeight="1">
      <c r="A39" s="17"/>
      <c r="B39" s="132"/>
      <c r="C39" s="25"/>
      <c r="D39" s="25"/>
      <c r="E39" s="25"/>
      <c r="F39" s="25"/>
      <c r="G39" s="25"/>
      <c r="H39" s="25"/>
      <c r="I39" s="25"/>
      <c r="J39" s="25"/>
      <c r="K39" s="25"/>
      <c r="L39" s="266"/>
    </row>
    <row r="40" spans="1:12" ht="11.25" customHeight="1">
      <c r="A40" s="17"/>
      <c r="B40" s="132"/>
      <c r="C40" s="25"/>
      <c r="D40" s="25"/>
      <c r="E40" s="25"/>
      <c r="F40" s="25"/>
      <c r="G40" s="25"/>
      <c r="H40" s="25"/>
    </row>
    <row r="41" spans="1:12" ht="13.2">
      <c r="A41" s="17"/>
      <c r="B41" s="132"/>
      <c r="J41" s="25"/>
      <c r="K41" s="25"/>
      <c r="L41" s="266"/>
    </row>
    <row r="42" spans="1:12" ht="13.2">
      <c r="A42" s="17"/>
      <c r="B42" s="132"/>
      <c r="C42" s="132"/>
      <c r="D42" s="132"/>
      <c r="E42" s="132"/>
      <c r="F42" s="132"/>
      <c r="G42" s="25"/>
      <c r="H42" s="25"/>
      <c r="I42" s="25"/>
      <c r="J42" s="25"/>
      <c r="K42" s="25"/>
      <c r="L42" s="266"/>
    </row>
    <row r="43" spans="1:12" ht="13.2">
      <c r="A43" s="17"/>
      <c r="B43" s="132"/>
      <c r="C43" s="132"/>
      <c r="D43" s="132"/>
      <c r="E43" s="132"/>
      <c r="F43" s="132"/>
      <c r="G43" s="25"/>
      <c r="H43" s="25"/>
      <c r="I43" s="25"/>
      <c r="J43" s="25"/>
      <c r="K43" s="25"/>
      <c r="L43" s="266"/>
    </row>
    <row r="44" spans="1:12" ht="13.2">
      <c r="A44" s="17"/>
      <c r="B44" s="132"/>
      <c r="C44" s="132"/>
      <c r="D44" s="132"/>
      <c r="E44" s="132"/>
      <c r="F44" s="132"/>
      <c r="G44" s="25"/>
      <c r="H44" s="25"/>
      <c r="I44" s="25"/>
      <c r="J44" s="25"/>
      <c r="K44" s="25"/>
      <c r="L44" s="266"/>
    </row>
    <row r="45" spans="1:12" ht="13.2">
      <c r="A45" s="17"/>
      <c r="B45" s="132"/>
      <c r="C45" s="132"/>
      <c r="D45" s="132"/>
      <c r="E45" s="132"/>
      <c r="F45" s="132"/>
      <c r="G45" s="25"/>
      <c r="H45" s="25"/>
      <c r="I45" s="25"/>
      <c r="J45" s="25"/>
      <c r="K45" s="25"/>
      <c r="L45" s="266"/>
    </row>
    <row r="46" spans="1:12" ht="13.2">
      <c r="A46" s="182"/>
      <c r="B46" s="25"/>
      <c r="C46" s="25"/>
      <c r="D46" s="25"/>
      <c r="E46" s="25"/>
      <c r="F46" s="25"/>
      <c r="G46" s="25"/>
      <c r="H46" s="25"/>
      <c r="I46" s="25"/>
      <c r="J46" s="25"/>
      <c r="K46" s="25"/>
      <c r="L46" s="266"/>
    </row>
    <row r="47" spans="1:12" ht="13.2">
      <c r="A47" s="182"/>
      <c r="B47" s="25"/>
      <c r="C47" s="25"/>
      <c r="D47" s="25"/>
      <c r="E47" s="25"/>
      <c r="F47" s="25"/>
      <c r="G47" s="25"/>
      <c r="H47" s="25"/>
      <c r="I47" s="25"/>
      <c r="J47" s="25"/>
      <c r="K47" s="25"/>
      <c r="L47" s="266"/>
    </row>
    <row r="48" spans="1:12" ht="13.2">
      <c r="A48" s="182"/>
      <c r="B48" s="25"/>
      <c r="C48" s="25"/>
      <c r="D48" s="25"/>
      <c r="E48" s="25"/>
      <c r="F48" s="25"/>
      <c r="G48" s="25"/>
      <c r="H48" s="25"/>
      <c r="I48" s="25"/>
      <c r="J48" s="25"/>
      <c r="K48" s="25"/>
      <c r="L48" s="266"/>
    </row>
    <row r="49" spans="1:12" ht="13.2">
      <c r="A49" s="182"/>
      <c r="B49" s="25"/>
      <c r="C49" s="25"/>
      <c r="D49" s="25"/>
      <c r="E49" s="25"/>
      <c r="F49" s="25"/>
      <c r="G49" s="25"/>
      <c r="H49" s="25"/>
      <c r="I49" s="25"/>
      <c r="J49" s="25"/>
      <c r="K49" s="25"/>
      <c r="L49" s="266"/>
    </row>
    <row r="50" spans="1:12" ht="13.2">
      <c r="A50" s="182"/>
      <c r="B50" s="25"/>
      <c r="C50" s="25"/>
      <c r="D50" s="25"/>
      <c r="E50" s="25"/>
      <c r="F50" s="25"/>
      <c r="G50" s="25"/>
      <c r="H50" s="25"/>
      <c r="I50" s="25"/>
      <c r="J50" s="25"/>
      <c r="K50" s="25"/>
      <c r="L50" s="266"/>
    </row>
    <row r="51" spans="1:12" ht="13.2">
      <c r="A51" s="182"/>
      <c r="B51" s="25"/>
      <c r="C51" s="25"/>
      <c r="D51" s="25"/>
      <c r="E51" s="25"/>
      <c r="F51" s="25"/>
      <c r="G51" s="25"/>
      <c r="H51" s="25"/>
      <c r="I51" s="25"/>
      <c r="J51" s="25"/>
      <c r="K51" s="25"/>
      <c r="L51" s="266"/>
    </row>
    <row r="52" spans="1:12">
      <c r="A52" s="368" t="str">
        <f>"Gráfico N°26: Comparación de la energía interrumpida aproximada por tipo de equipo en "&amp;'1. Resumen'!Q4&amp;" "&amp;'1. Resumen'!Q5</f>
        <v>Gráfico N°26: Comparación de la energía interrumpida aproximada por tipo de equipo en julio 2018</v>
      </c>
      <c r="B52" s="25"/>
      <c r="C52" s="25"/>
      <c r="D52" s="25"/>
      <c r="E52" s="25"/>
      <c r="F52" s="25"/>
      <c r="G52" s="25"/>
      <c r="H52" s="25"/>
      <c r="I52" s="25"/>
      <c r="J52" s="25"/>
      <c r="K52" s="25"/>
      <c r="L52" s="266"/>
    </row>
    <row r="53" spans="1:12">
      <c r="B53" s="25"/>
      <c r="C53" s="25"/>
      <c r="D53" s="25"/>
      <c r="E53" s="25"/>
      <c r="F53" s="25"/>
      <c r="G53" s="25"/>
      <c r="H53" s="25"/>
      <c r="I53" s="25"/>
      <c r="J53" s="25"/>
      <c r="K53" s="25"/>
      <c r="L53" s="266"/>
    </row>
    <row r="54" spans="1:12" ht="24.75" customHeight="1">
      <c r="A54" s="845" t="s">
        <v>224</v>
      </c>
      <c r="B54" s="845"/>
      <c r="C54" s="845"/>
      <c r="D54" s="845"/>
      <c r="E54" s="845"/>
      <c r="F54" s="845"/>
      <c r="G54" s="845"/>
      <c r="H54" s="845"/>
      <c r="I54" s="845"/>
      <c r="J54" s="845"/>
      <c r="K54" s="25"/>
      <c r="L54" s="266"/>
    </row>
    <row r="55" spans="1:12" ht="11.25" customHeight="1">
      <c r="A55" s="846" t="s">
        <v>225</v>
      </c>
      <c r="B55" s="846"/>
      <c r="C55" s="846"/>
      <c r="D55" s="846"/>
      <c r="E55" s="846"/>
      <c r="F55" s="846"/>
      <c r="G55" s="846"/>
      <c r="H55" s="846"/>
      <c r="I55" s="846"/>
      <c r="J55" s="846"/>
      <c r="K55" s="25"/>
      <c r="L55" s="266"/>
    </row>
    <row r="56" spans="1:12" ht="13.2">
      <c r="A56" s="182"/>
      <c r="B56" s="25"/>
      <c r="C56" s="25"/>
      <c r="D56" s="25"/>
      <c r="E56" s="25"/>
      <c r="F56" s="25"/>
      <c r="G56" s="25"/>
      <c r="H56" s="25"/>
      <c r="I56" s="25"/>
      <c r="J56" s="25"/>
      <c r="K56" s="25"/>
      <c r="L56" s="266"/>
    </row>
    <row r="57" spans="1:12" ht="13.2">
      <c r="A57" s="182"/>
      <c r="B57" s="25"/>
      <c r="C57" s="25"/>
      <c r="D57" s="25"/>
      <c r="E57" s="25"/>
      <c r="F57" s="25"/>
      <c r="G57" s="25"/>
      <c r="H57" s="25"/>
      <c r="I57" s="25"/>
      <c r="J57" s="25"/>
      <c r="K57" s="25"/>
      <c r="L57" s="266"/>
    </row>
    <row r="58" spans="1:12" ht="13.2">
      <c r="A58" s="182"/>
      <c r="B58" s="25"/>
      <c r="C58" s="25"/>
      <c r="D58" s="25"/>
      <c r="E58" s="25"/>
      <c r="F58" s="25"/>
      <c r="G58" s="25"/>
      <c r="H58" s="25"/>
      <c r="I58" s="25"/>
      <c r="J58" s="25"/>
      <c r="K58" s="25"/>
      <c r="L58" s="266"/>
    </row>
    <row r="59" spans="1:12" ht="13.2">
      <c r="A59" s="182"/>
      <c r="B59" s="25"/>
      <c r="C59" s="25"/>
      <c r="D59" s="25"/>
      <c r="E59" s="25"/>
      <c r="F59" s="25"/>
      <c r="G59" s="25"/>
      <c r="H59" s="25"/>
      <c r="I59" s="25"/>
      <c r="J59" s="25"/>
      <c r="K59" s="25"/>
      <c r="L59" s="266"/>
    </row>
    <row r="60" spans="1:12" ht="13.2">
      <c r="A60" s="182"/>
      <c r="B60" s="25"/>
      <c r="C60" s="25"/>
      <c r="D60" s="25"/>
      <c r="E60" s="25"/>
      <c r="F60" s="25"/>
      <c r="G60" s="25"/>
      <c r="H60" s="25"/>
      <c r="I60" s="25"/>
      <c r="J60" s="25"/>
      <c r="K60" s="25"/>
      <c r="L60" s="266"/>
    </row>
    <row r="61" spans="1:12" ht="13.2">
      <c r="A61" s="182"/>
      <c r="B61" s="25"/>
      <c r="C61" s="25"/>
      <c r="D61" s="25"/>
      <c r="E61" s="25"/>
      <c r="F61" s="25"/>
      <c r="G61" s="25"/>
      <c r="H61" s="25"/>
      <c r="I61" s="25"/>
      <c r="J61" s="25"/>
      <c r="K61" s="25"/>
      <c r="L61" s="266"/>
    </row>
    <row r="62" spans="1:12" ht="13.2">
      <c r="A62" s="182"/>
      <c r="B62" s="25"/>
      <c r="C62" s="25"/>
      <c r="D62" s="25"/>
      <c r="E62" s="25"/>
      <c r="F62" s="25"/>
      <c r="G62" s="25"/>
      <c r="H62" s="25"/>
      <c r="I62" s="25"/>
      <c r="J62" s="25"/>
      <c r="K62" s="25"/>
      <c r="L62" s="266"/>
    </row>
    <row r="63" spans="1:12" ht="13.2">
      <c r="A63" s="182"/>
      <c r="B63" s="25"/>
      <c r="C63" s="25"/>
      <c r="D63" s="25"/>
      <c r="E63" s="25"/>
      <c r="F63" s="25"/>
      <c r="G63" s="25"/>
      <c r="H63" s="25"/>
      <c r="I63" s="25"/>
      <c r="J63" s="25"/>
      <c r="K63" s="25"/>
      <c r="L63" s="266"/>
    </row>
    <row r="64" spans="1:12" ht="13.2">
      <c r="A64" s="182"/>
      <c r="B64" s="25"/>
      <c r="C64" s="25"/>
      <c r="D64" s="25"/>
      <c r="E64" s="25"/>
      <c r="F64" s="25"/>
      <c r="G64" s="25"/>
      <c r="H64" s="25"/>
      <c r="I64" s="25"/>
      <c r="J64" s="25"/>
      <c r="K64" s="25"/>
      <c r="L64" s="266"/>
    </row>
    <row r="65" spans="1:12" ht="13.2">
      <c r="A65" s="182"/>
      <c r="B65" s="25"/>
      <c r="C65" s="25"/>
      <c r="D65" s="25"/>
      <c r="E65" s="25"/>
      <c r="F65" s="25"/>
      <c r="G65" s="25"/>
      <c r="H65" s="25"/>
      <c r="I65" s="25"/>
      <c r="J65" s="25"/>
      <c r="K65" s="25"/>
      <c r="L65" s="266"/>
    </row>
    <row r="66" spans="1:12" ht="13.2">
      <c r="A66" s="182"/>
      <c r="B66" s="25"/>
      <c r="J66" s="25"/>
      <c r="K66" s="25"/>
      <c r="L66" s="266"/>
    </row>
    <row r="67" spans="1:12" ht="13.2">
      <c r="A67" s="182"/>
      <c r="B67" s="25"/>
      <c r="J67" s="25"/>
      <c r="K67" s="25"/>
      <c r="L67" s="266"/>
    </row>
    <row r="68" spans="1:12" ht="13.2">
      <c r="A68" s="182"/>
      <c r="B68" s="25"/>
      <c r="J68" s="25"/>
      <c r="K68" s="25"/>
      <c r="L68" s="266"/>
    </row>
    <row r="69" spans="1:12" ht="13.2">
      <c r="A69" s="182"/>
      <c r="B69" s="25"/>
      <c r="J69" s="25"/>
      <c r="K69" s="25"/>
      <c r="L69" s="266"/>
    </row>
    <row r="70" spans="1:12">
      <c r="B70" s="266"/>
      <c r="C70" s="266"/>
      <c r="D70" s="266"/>
      <c r="E70" s="266"/>
      <c r="F70" s="266"/>
      <c r="G70" s="266"/>
      <c r="H70" s="266"/>
      <c r="I70" s="266"/>
      <c r="J70" s="266"/>
      <c r="K70" s="266"/>
      <c r="L70" s="266"/>
    </row>
    <row r="71" spans="1:12">
      <c r="B71" s="266"/>
      <c r="C71" s="266"/>
      <c r="D71" s="266"/>
      <c r="E71" s="266"/>
      <c r="F71" s="266"/>
      <c r="G71" s="266"/>
      <c r="H71" s="266"/>
      <c r="I71" s="266"/>
      <c r="J71" s="266"/>
      <c r="K71" s="266"/>
      <c r="L71" s="266"/>
    </row>
    <row r="72" spans="1:12">
      <c r="B72" s="266"/>
      <c r="C72" s="266"/>
      <c r="D72" s="266"/>
      <c r="E72" s="266"/>
      <c r="F72" s="266"/>
      <c r="G72" s="266"/>
      <c r="H72" s="266"/>
      <c r="I72" s="266"/>
      <c r="J72" s="266"/>
      <c r="K72" s="266"/>
      <c r="L72" s="266"/>
    </row>
    <row r="73" spans="1:12">
      <c r="B73" s="266"/>
      <c r="C73" s="266"/>
      <c r="D73" s="266"/>
      <c r="E73" s="266"/>
      <c r="F73" s="266"/>
      <c r="G73" s="266"/>
      <c r="H73" s="266"/>
      <c r="I73" s="266"/>
      <c r="J73" s="266"/>
      <c r="K73" s="266"/>
      <c r="L73" s="266"/>
    </row>
    <row r="74" spans="1:12">
      <c r="B74" s="266"/>
      <c r="C74" s="266"/>
      <c r="D74" s="266"/>
      <c r="E74" s="266"/>
      <c r="F74" s="266"/>
      <c r="G74" s="266"/>
      <c r="H74" s="266"/>
      <c r="I74" s="266"/>
      <c r="J74" s="266"/>
      <c r="K74" s="266"/>
      <c r="L74" s="266"/>
    </row>
    <row r="75" spans="1:12">
      <c r="B75" s="266"/>
      <c r="C75" s="266"/>
      <c r="D75" s="266"/>
      <c r="E75" s="266"/>
      <c r="F75" s="266"/>
      <c r="G75" s="266"/>
      <c r="H75" s="266"/>
      <c r="I75" s="266"/>
      <c r="J75" s="266"/>
      <c r="K75" s="266"/>
      <c r="L75" s="266"/>
    </row>
    <row r="76" spans="1:12">
      <c r="B76" s="266"/>
      <c r="C76" s="266"/>
      <c r="D76" s="266"/>
      <c r="E76" s="266"/>
      <c r="F76" s="266"/>
      <c r="G76" s="266"/>
      <c r="H76" s="266"/>
      <c r="I76" s="266"/>
      <c r="J76" s="266"/>
      <c r="K76" s="266"/>
      <c r="L76" s="266"/>
    </row>
    <row r="77" spans="1:12">
      <c r="B77" s="266"/>
      <c r="C77" s="266"/>
      <c r="D77" s="266"/>
      <c r="E77" s="266"/>
      <c r="F77" s="266"/>
      <c r="G77" s="266"/>
      <c r="H77" s="266"/>
      <c r="I77" s="266"/>
      <c r="J77" s="266"/>
      <c r="K77" s="266"/>
      <c r="L77" s="266"/>
    </row>
    <row r="78" spans="1:12">
      <c r="B78" s="266"/>
      <c r="C78" s="266"/>
      <c r="D78" s="266"/>
      <c r="E78" s="266"/>
      <c r="F78" s="266"/>
      <c r="G78" s="266"/>
      <c r="H78" s="266"/>
      <c r="I78" s="266"/>
      <c r="J78" s="266"/>
      <c r="K78" s="266"/>
      <c r="L78" s="266"/>
    </row>
    <row r="79" spans="1:12">
      <c r="B79" s="266"/>
      <c r="C79" s="266"/>
      <c r="D79" s="266"/>
      <c r="E79" s="266"/>
      <c r="F79" s="266"/>
      <c r="G79" s="266"/>
      <c r="H79" s="266"/>
      <c r="I79" s="266"/>
      <c r="J79" s="266"/>
      <c r="K79" s="266"/>
      <c r="L79" s="266"/>
    </row>
    <row r="80" spans="1:12">
      <c r="B80" s="266"/>
      <c r="C80" s="266"/>
      <c r="D80" s="266"/>
      <c r="E80" s="266"/>
      <c r="F80" s="266"/>
      <c r="G80" s="266"/>
      <c r="H80" s="266"/>
      <c r="I80" s="266"/>
      <c r="J80" s="266"/>
      <c r="K80" s="266"/>
      <c r="L80" s="266"/>
    </row>
    <row r="81" spans="2:12">
      <c r="B81" s="266"/>
      <c r="C81" s="266"/>
      <c r="D81" s="266"/>
      <c r="E81" s="266"/>
      <c r="F81" s="266"/>
      <c r="G81" s="266"/>
      <c r="H81" s="266"/>
      <c r="I81" s="266"/>
      <c r="J81" s="266"/>
      <c r="K81" s="266"/>
      <c r="L81" s="266"/>
    </row>
    <row r="82" spans="2:12">
      <c r="B82" s="266"/>
      <c r="C82" s="266"/>
      <c r="D82" s="266"/>
      <c r="E82" s="266"/>
      <c r="F82" s="266"/>
      <c r="G82" s="266"/>
      <c r="H82" s="266"/>
      <c r="I82" s="266"/>
      <c r="J82" s="266"/>
      <c r="K82" s="266"/>
      <c r="L82" s="266"/>
    </row>
    <row r="83" spans="2:12">
      <c r="B83" s="266"/>
      <c r="C83" s="266"/>
      <c r="D83" s="266"/>
      <c r="E83" s="266"/>
      <c r="F83" s="266"/>
      <c r="G83" s="266"/>
      <c r="H83" s="266"/>
      <c r="I83" s="266"/>
      <c r="J83" s="266"/>
      <c r="K83" s="266"/>
      <c r="L83" s="266"/>
    </row>
    <row r="84" spans="2:12">
      <c r="B84" s="266"/>
      <c r="C84" s="266"/>
      <c r="D84" s="266"/>
      <c r="E84" s="266"/>
      <c r="F84" s="266"/>
      <c r="G84" s="266"/>
      <c r="H84" s="266"/>
      <c r="I84" s="266"/>
      <c r="J84" s="266"/>
      <c r="K84" s="266"/>
      <c r="L84" s="266"/>
    </row>
    <row r="85" spans="2:12">
      <c r="B85" s="266"/>
      <c r="C85" s="266"/>
      <c r="D85" s="266"/>
      <c r="E85" s="266"/>
      <c r="F85" s="266"/>
      <c r="G85" s="266"/>
      <c r="H85" s="266"/>
      <c r="I85" s="266"/>
      <c r="J85" s="266"/>
      <c r="K85" s="266"/>
      <c r="L85" s="266"/>
    </row>
    <row r="86" spans="2:12">
      <c r="B86" s="266"/>
      <c r="C86" s="266"/>
      <c r="D86" s="266"/>
      <c r="E86" s="266"/>
      <c r="F86" s="266"/>
      <c r="G86" s="266"/>
      <c r="H86" s="266"/>
      <c r="I86" s="266"/>
      <c r="J86" s="266"/>
      <c r="K86" s="266"/>
      <c r="L86" s="266"/>
    </row>
    <row r="87" spans="2:12">
      <c r="B87" s="266"/>
      <c r="C87" s="266"/>
      <c r="D87" s="266"/>
      <c r="E87" s="266"/>
      <c r="F87" s="266"/>
      <c r="G87" s="266"/>
      <c r="H87" s="266"/>
      <c r="I87" s="266"/>
      <c r="J87" s="266"/>
      <c r="K87" s="266"/>
      <c r="L87" s="266"/>
    </row>
    <row r="88" spans="2:12">
      <c r="B88" s="266"/>
      <c r="C88" s="266"/>
      <c r="D88" s="266"/>
      <c r="E88" s="266"/>
      <c r="F88" s="266"/>
      <c r="G88" s="266"/>
      <c r="H88" s="266"/>
      <c r="I88" s="266"/>
      <c r="J88" s="266"/>
      <c r="K88" s="266"/>
      <c r="L88" s="266"/>
    </row>
    <row r="89" spans="2:12">
      <c r="B89" s="266"/>
      <c r="C89" s="266"/>
      <c r="D89" s="266"/>
      <c r="E89" s="266"/>
      <c r="F89" s="266"/>
      <c r="G89" s="266"/>
      <c r="H89" s="266"/>
      <c r="I89" s="266"/>
      <c r="J89" s="266"/>
      <c r="K89" s="266"/>
      <c r="L89" s="266"/>
    </row>
    <row r="90" spans="2:12">
      <c r="B90" s="266"/>
      <c r="C90" s="266"/>
      <c r="D90" s="266"/>
      <c r="E90" s="266"/>
      <c r="F90" s="266"/>
      <c r="G90" s="266"/>
      <c r="H90" s="266"/>
      <c r="I90" s="266"/>
      <c r="J90" s="266"/>
      <c r="K90" s="266"/>
      <c r="L90" s="266"/>
    </row>
    <row r="91" spans="2:12">
      <c r="B91" s="266"/>
      <c r="C91" s="266"/>
      <c r="D91" s="266"/>
      <c r="E91" s="266"/>
      <c r="F91" s="266"/>
      <c r="G91" s="266"/>
      <c r="H91" s="266"/>
      <c r="I91" s="266"/>
      <c r="J91" s="266"/>
      <c r="K91" s="266"/>
      <c r="L91" s="266"/>
    </row>
    <row r="92" spans="2:12">
      <c r="B92" s="266"/>
      <c r="C92" s="266"/>
      <c r="D92" s="266"/>
      <c r="E92" s="266"/>
      <c r="F92" s="266"/>
      <c r="G92" s="266"/>
      <c r="H92" s="266"/>
      <c r="I92" s="266"/>
      <c r="J92" s="266"/>
      <c r="K92" s="266"/>
      <c r="L92" s="266"/>
    </row>
    <row r="93" spans="2:12">
      <c r="B93" s="266"/>
      <c r="C93" s="266"/>
      <c r="D93" s="266"/>
      <c r="E93" s="266"/>
      <c r="F93" s="266"/>
      <c r="G93" s="266"/>
      <c r="H93" s="266"/>
      <c r="I93" s="266"/>
      <c r="J93" s="266"/>
      <c r="K93" s="266"/>
      <c r="L93" s="266"/>
    </row>
    <row r="94" spans="2:12">
      <c r="B94" s="266"/>
      <c r="C94" s="266"/>
      <c r="D94" s="266"/>
      <c r="E94" s="266"/>
      <c r="F94" s="266"/>
      <c r="G94" s="266"/>
      <c r="H94" s="266"/>
      <c r="I94" s="266"/>
      <c r="J94" s="266"/>
      <c r="K94" s="266"/>
      <c r="L94" s="266"/>
    </row>
    <row r="95" spans="2:12">
      <c r="B95" s="266"/>
      <c r="C95" s="266"/>
      <c r="D95" s="266"/>
      <c r="E95" s="266"/>
      <c r="F95" s="266"/>
      <c r="G95" s="266"/>
      <c r="H95" s="266"/>
      <c r="I95" s="266"/>
      <c r="J95" s="266"/>
      <c r="K95" s="266"/>
      <c r="L95" s="266"/>
    </row>
    <row r="96" spans="2:12">
      <c r="B96" s="266"/>
      <c r="C96" s="266"/>
      <c r="D96" s="266"/>
      <c r="E96" s="266"/>
      <c r="F96" s="266"/>
      <c r="G96" s="266"/>
      <c r="H96" s="266"/>
      <c r="I96" s="266"/>
      <c r="J96" s="266"/>
      <c r="K96" s="266"/>
      <c r="L96" s="266"/>
    </row>
    <row r="97" spans="2:12">
      <c r="B97" s="266"/>
      <c r="C97" s="266"/>
      <c r="D97" s="266"/>
      <c r="E97" s="266"/>
      <c r="F97" s="266"/>
      <c r="G97" s="266"/>
      <c r="H97" s="266"/>
      <c r="I97" s="266"/>
      <c r="J97" s="266"/>
      <c r="K97" s="266"/>
      <c r="L97" s="266"/>
    </row>
    <row r="98" spans="2:12">
      <c r="B98" s="266"/>
      <c r="C98" s="266"/>
      <c r="D98" s="266"/>
      <c r="E98" s="266"/>
      <c r="F98" s="266"/>
      <c r="G98" s="266"/>
      <c r="H98" s="266"/>
      <c r="I98" s="266"/>
      <c r="J98" s="266"/>
      <c r="K98" s="266"/>
      <c r="L98" s="266"/>
    </row>
    <row r="99" spans="2:12">
      <c r="B99" s="266"/>
      <c r="C99" s="266"/>
      <c r="D99" s="266"/>
      <c r="E99" s="266"/>
      <c r="F99" s="266"/>
      <c r="G99" s="266"/>
      <c r="H99" s="266"/>
      <c r="I99" s="266"/>
      <c r="J99" s="266"/>
      <c r="K99" s="266"/>
      <c r="L99" s="266"/>
    </row>
    <row r="100" spans="2:12">
      <c r="B100" s="266"/>
      <c r="C100" s="266"/>
      <c r="D100" s="266"/>
      <c r="E100" s="266"/>
      <c r="F100" s="266"/>
      <c r="G100" s="266"/>
      <c r="H100" s="266"/>
      <c r="I100" s="266"/>
      <c r="J100" s="266"/>
      <c r="K100" s="266"/>
      <c r="L100" s="266"/>
    </row>
    <row r="101" spans="2:12">
      <c r="B101" s="266"/>
      <c r="C101" s="266"/>
      <c r="D101" s="266"/>
      <c r="E101" s="266"/>
      <c r="F101" s="266"/>
      <c r="G101" s="266"/>
      <c r="H101" s="266"/>
      <c r="I101" s="266"/>
      <c r="J101" s="266"/>
      <c r="K101" s="266"/>
      <c r="L101" s="266"/>
    </row>
    <row r="102" spans="2:12">
      <c r="B102" s="266"/>
      <c r="C102" s="266"/>
      <c r="D102" s="266"/>
      <c r="E102" s="266"/>
      <c r="F102" s="266"/>
      <c r="G102" s="266"/>
      <c r="H102" s="266"/>
      <c r="I102" s="266"/>
      <c r="J102" s="266"/>
      <c r="K102" s="266"/>
      <c r="L102" s="266"/>
    </row>
    <row r="103" spans="2:12">
      <c r="B103" s="266"/>
      <c r="C103" s="266"/>
      <c r="D103" s="266"/>
      <c r="E103" s="266"/>
      <c r="F103" s="266"/>
      <c r="G103" s="266"/>
      <c r="H103" s="266"/>
      <c r="I103" s="266"/>
      <c r="J103" s="266"/>
      <c r="K103" s="266"/>
      <c r="L103" s="266"/>
    </row>
    <row r="104" spans="2:12">
      <c r="B104" s="266"/>
      <c r="C104" s="266"/>
      <c r="D104" s="266"/>
      <c r="E104" s="266"/>
      <c r="F104" s="266"/>
      <c r="G104" s="266"/>
      <c r="H104" s="266"/>
      <c r="I104" s="266"/>
      <c r="J104" s="266"/>
      <c r="K104" s="266"/>
      <c r="L104" s="266"/>
    </row>
    <row r="105" spans="2:12">
      <c r="B105" s="266"/>
      <c r="C105" s="266"/>
      <c r="D105" s="266"/>
      <c r="E105" s="266"/>
      <c r="F105" s="266"/>
      <c r="G105" s="266"/>
      <c r="H105" s="266"/>
      <c r="I105" s="266"/>
      <c r="J105" s="266"/>
      <c r="K105" s="266"/>
      <c r="L105" s="266"/>
    </row>
    <row r="106" spans="2:12">
      <c r="B106" s="266"/>
      <c r="C106" s="266"/>
      <c r="D106" s="266"/>
      <c r="E106" s="266"/>
      <c r="F106" s="266"/>
      <c r="G106" s="266"/>
      <c r="H106" s="266"/>
      <c r="I106" s="266"/>
      <c r="J106" s="266"/>
      <c r="K106" s="266"/>
      <c r="L106" s="266"/>
    </row>
    <row r="107" spans="2:12">
      <c r="B107" s="266"/>
      <c r="C107" s="266"/>
      <c r="D107" s="266"/>
      <c r="E107" s="266"/>
      <c r="F107" s="266"/>
      <c r="G107" s="266"/>
      <c r="H107" s="266"/>
      <c r="I107" s="266"/>
      <c r="J107" s="266"/>
      <c r="K107" s="266"/>
      <c r="L107" s="266"/>
    </row>
    <row r="108" spans="2:12">
      <c r="B108" s="266"/>
      <c r="C108" s="266"/>
      <c r="D108" s="266"/>
      <c r="E108" s="266"/>
      <c r="F108" s="266"/>
      <c r="G108" s="266"/>
      <c r="H108" s="266"/>
      <c r="I108" s="266"/>
      <c r="J108" s="266"/>
      <c r="K108" s="266"/>
      <c r="L108" s="266"/>
    </row>
    <row r="109" spans="2:12">
      <c r="B109" s="266"/>
      <c r="C109" s="266"/>
      <c r="D109" s="266"/>
      <c r="E109" s="266"/>
      <c r="F109" s="266"/>
      <c r="G109" s="266"/>
      <c r="H109" s="266"/>
      <c r="I109" s="266"/>
      <c r="J109" s="266"/>
      <c r="K109" s="266"/>
      <c r="L109" s="266"/>
    </row>
    <row r="110" spans="2:12">
      <c r="B110" s="266"/>
      <c r="C110" s="266"/>
      <c r="D110" s="266"/>
      <c r="E110" s="266"/>
      <c r="F110" s="266"/>
      <c r="G110" s="266"/>
      <c r="H110" s="266"/>
      <c r="I110" s="266"/>
      <c r="J110" s="266"/>
      <c r="K110" s="266"/>
      <c r="L110" s="266"/>
    </row>
    <row r="111" spans="2:12">
      <c r="B111" s="266"/>
      <c r="C111" s="266"/>
      <c r="D111" s="266"/>
      <c r="E111" s="266"/>
      <c r="F111" s="266"/>
      <c r="G111" s="266"/>
      <c r="H111" s="266"/>
      <c r="I111" s="266"/>
      <c r="J111" s="266"/>
      <c r="K111" s="266"/>
      <c r="L111" s="266"/>
    </row>
    <row r="112" spans="2:12">
      <c r="B112" s="266"/>
      <c r="C112" s="266"/>
      <c r="D112" s="266"/>
      <c r="E112" s="266"/>
      <c r="F112" s="266"/>
      <c r="G112" s="266"/>
      <c r="H112" s="266"/>
      <c r="I112" s="266"/>
      <c r="J112" s="266"/>
      <c r="K112" s="266"/>
      <c r="L112" s="266"/>
    </row>
    <row r="113" spans="2:12">
      <c r="B113" s="266"/>
      <c r="C113" s="266"/>
      <c r="D113" s="266"/>
      <c r="E113" s="266"/>
      <c r="F113" s="266"/>
      <c r="G113" s="266"/>
      <c r="H113" s="266"/>
      <c r="I113" s="266"/>
      <c r="J113" s="266"/>
      <c r="K113" s="266"/>
      <c r="L113" s="266"/>
    </row>
    <row r="114" spans="2:12">
      <c r="B114" s="266"/>
      <c r="C114" s="266"/>
      <c r="D114" s="266"/>
      <c r="E114" s="266"/>
      <c r="F114" s="266"/>
      <c r="G114" s="266"/>
      <c r="H114" s="266"/>
      <c r="I114" s="266"/>
      <c r="J114" s="266"/>
      <c r="K114" s="266"/>
      <c r="L114" s="266"/>
    </row>
    <row r="115" spans="2:12">
      <c r="B115" s="266"/>
      <c r="C115" s="266"/>
      <c r="D115" s="266"/>
      <c r="E115" s="266"/>
      <c r="F115" s="266"/>
      <c r="G115" s="266"/>
      <c r="H115" s="266"/>
      <c r="I115" s="266"/>
      <c r="J115" s="266"/>
      <c r="K115" s="266"/>
      <c r="L115" s="266"/>
    </row>
    <row r="116" spans="2:12">
      <c r="B116" s="266"/>
      <c r="C116" s="266"/>
      <c r="D116" s="266"/>
      <c r="E116" s="266"/>
      <c r="F116" s="266"/>
      <c r="G116" s="266"/>
      <c r="H116" s="266"/>
      <c r="I116" s="266"/>
      <c r="J116" s="266"/>
      <c r="K116" s="266"/>
      <c r="L116" s="266"/>
    </row>
    <row r="117" spans="2:12">
      <c r="B117" s="266"/>
      <c r="C117" s="266"/>
      <c r="D117" s="266"/>
      <c r="E117" s="266"/>
      <c r="F117" s="266"/>
      <c r="G117" s="266"/>
      <c r="H117" s="266"/>
      <c r="I117" s="266"/>
      <c r="J117" s="266"/>
      <c r="K117" s="266"/>
      <c r="L117" s="266"/>
    </row>
    <row r="118" spans="2:12">
      <c r="B118" s="266"/>
      <c r="C118" s="266"/>
      <c r="D118" s="266"/>
      <c r="E118" s="266"/>
      <c r="F118" s="266"/>
      <c r="G118" s="266"/>
      <c r="H118" s="266"/>
      <c r="I118" s="266"/>
      <c r="J118" s="266"/>
      <c r="K118" s="266"/>
      <c r="L118" s="266"/>
    </row>
    <row r="119" spans="2:12">
      <c r="B119" s="266"/>
      <c r="C119" s="266"/>
      <c r="D119" s="266"/>
      <c r="E119" s="266"/>
      <c r="F119" s="266"/>
      <c r="G119" s="266"/>
      <c r="H119" s="266"/>
      <c r="I119" s="266"/>
      <c r="J119" s="266"/>
      <c r="K119" s="266"/>
      <c r="L119" s="266"/>
    </row>
    <row r="120" spans="2:12">
      <c r="B120" s="266"/>
      <c r="C120" s="266"/>
      <c r="D120" s="266"/>
      <c r="E120" s="266"/>
      <c r="F120" s="266"/>
      <c r="G120" s="266"/>
      <c r="H120" s="266"/>
      <c r="I120" s="266"/>
      <c r="J120" s="266"/>
      <c r="K120" s="266"/>
      <c r="L120" s="266"/>
    </row>
    <row r="121" spans="2:12">
      <c r="B121" s="266"/>
      <c r="C121" s="266"/>
      <c r="D121" s="266"/>
      <c r="E121" s="266"/>
      <c r="F121" s="266"/>
      <c r="G121" s="266"/>
      <c r="H121" s="266"/>
      <c r="I121" s="266"/>
      <c r="J121" s="266"/>
      <c r="K121" s="266"/>
      <c r="L121" s="266"/>
    </row>
    <row r="122" spans="2:12">
      <c r="B122" s="266"/>
      <c r="C122" s="266"/>
      <c r="D122" s="266"/>
      <c r="E122" s="266"/>
      <c r="F122" s="266"/>
      <c r="G122" s="266"/>
      <c r="H122" s="266"/>
      <c r="I122" s="266"/>
      <c r="J122" s="266"/>
      <c r="K122" s="266"/>
      <c r="L122" s="266"/>
    </row>
    <row r="123" spans="2:12">
      <c r="B123" s="266"/>
      <c r="C123" s="266"/>
      <c r="D123" s="266"/>
      <c r="E123" s="266"/>
      <c r="F123" s="266"/>
      <c r="G123" s="266"/>
      <c r="H123" s="266"/>
      <c r="I123" s="266"/>
      <c r="J123" s="266"/>
      <c r="K123" s="266"/>
      <c r="L123" s="266"/>
    </row>
    <row r="124" spans="2:12">
      <c r="B124" s="266"/>
      <c r="C124" s="266"/>
      <c r="D124" s="266"/>
      <c r="E124" s="266"/>
      <c r="F124" s="266"/>
      <c r="G124" s="266"/>
      <c r="H124" s="266"/>
      <c r="I124" s="266"/>
      <c r="J124" s="266"/>
      <c r="K124" s="266"/>
      <c r="L124" s="266"/>
    </row>
    <row r="125" spans="2:12">
      <c r="B125" s="266"/>
      <c r="C125" s="266"/>
      <c r="D125" s="266"/>
      <c r="E125" s="266"/>
      <c r="F125" s="266"/>
      <c r="G125" s="266"/>
      <c r="H125" s="266"/>
      <c r="I125" s="266"/>
      <c r="J125" s="266"/>
      <c r="K125" s="266"/>
      <c r="L125" s="266"/>
    </row>
    <row r="126" spans="2:12">
      <c r="B126" s="266"/>
      <c r="C126" s="266"/>
      <c r="D126" s="266"/>
      <c r="E126" s="266"/>
      <c r="F126" s="266"/>
      <c r="G126" s="266"/>
      <c r="H126" s="266"/>
      <c r="I126" s="266"/>
      <c r="J126" s="266"/>
      <c r="K126" s="266"/>
      <c r="L126" s="266"/>
    </row>
    <row r="127" spans="2:12">
      <c r="B127" s="266"/>
      <c r="C127" s="266"/>
      <c r="D127" s="266"/>
      <c r="E127" s="266"/>
      <c r="F127" s="266"/>
      <c r="G127" s="266"/>
      <c r="H127" s="266"/>
      <c r="I127" s="266"/>
      <c r="J127" s="266"/>
      <c r="K127" s="266"/>
      <c r="L127" s="266"/>
    </row>
    <row r="128" spans="2:12">
      <c r="B128" s="266"/>
      <c r="C128" s="266"/>
      <c r="D128" s="266"/>
      <c r="E128" s="266"/>
      <c r="F128" s="266"/>
      <c r="G128" s="266"/>
      <c r="H128" s="266"/>
      <c r="I128" s="266"/>
      <c r="J128" s="266"/>
      <c r="K128" s="266"/>
      <c r="L128" s="266"/>
    </row>
    <row r="129" spans="2:12">
      <c r="B129" s="266"/>
      <c r="C129" s="266"/>
      <c r="D129" s="266"/>
      <c r="E129" s="266"/>
      <c r="F129" s="266"/>
      <c r="G129" s="266"/>
      <c r="H129" s="266"/>
      <c r="I129" s="266"/>
      <c r="J129" s="266"/>
      <c r="K129" s="266"/>
      <c r="L129" s="266"/>
    </row>
    <row r="130" spans="2:12">
      <c r="B130" s="266"/>
      <c r="C130" s="266"/>
      <c r="D130" s="266"/>
      <c r="E130" s="266"/>
      <c r="F130" s="266"/>
      <c r="G130" s="266"/>
      <c r="H130" s="266"/>
      <c r="I130" s="266"/>
      <c r="J130" s="266"/>
      <c r="K130" s="266"/>
      <c r="L130" s="266"/>
    </row>
    <row r="131" spans="2:12">
      <c r="B131" s="266"/>
      <c r="C131" s="266"/>
      <c r="D131" s="266"/>
      <c r="E131" s="266"/>
      <c r="F131" s="266"/>
      <c r="G131" s="266"/>
      <c r="H131" s="266"/>
      <c r="I131" s="266"/>
      <c r="J131" s="266"/>
      <c r="K131" s="266"/>
      <c r="L131" s="266"/>
    </row>
    <row r="132" spans="2:12">
      <c r="B132" s="266"/>
      <c r="C132" s="266"/>
      <c r="D132" s="266"/>
      <c r="E132" s="266"/>
      <c r="F132" s="266"/>
      <c r="G132" s="266"/>
      <c r="H132" s="266"/>
      <c r="I132" s="266"/>
      <c r="J132" s="266"/>
      <c r="K132" s="266"/>
      <c r="L132" s="266"/>
    </row>
    <row r="133" spans="2:12">
      <c r="B133" s="266"/>
      <c r="C133" s="266"/>
      <c r="D133" s="266"/>
      <c r="E133" s="266"/>
      <c r="F133" s="266"/>
      <c r="G133" s="266"/>
      <c r="H133" s="266"/>
      <c r="I133" s="266"/>
      <c r="J133" s="266"/>
      <c r="K133" s="266"/>
      <c r="L133" s="266"/>
    </row>
    <row r="134" spans="2:12">
      <c r="B134" s="266"/>
      <c r="C134" s="266"/>
      <c r="D134" s="266"/>
      <c r="E134" s="266"/>
      <c r="F134" s="266"/>
      <c r="G134" s="266"/>
      <c r="H134" s="266"/>
      <c r="I134" s="266"/>
      <c r="J134" s="266"/>
      <c r="K134" s="266"/>
      <c r="L134" s="266"/>
    </row>
    <row r="135" spans="2:12">
      <c r="B135" s="266"/>
      <c r="C135" s="266"/>
      <c r="D135" s="266"/>
      <c r="E135" s="266"/>
      <c r="F135" s="266"/>
      <c r="G135" s="266"/>
      <c r="H135" s="266"/>
      <c r="I135" s="266"/>
      <c r="J135" s="266"/>
      <c r="K135" s="266"/>
      <c r="L135" s="266"/>
    </row>
    <row r="136" spans="2:12">
      <c r="B136" s="266"/>
      <c r="C136" s="266"/>
      <c r="D136" s="266"/>
      <c r="E136" s="266"/>
      <c r="F136" s="266"/>
      <c r="G136" s="266"/>
      <c r="H136" s="266"/>
      <c r="I136" s="266"/>
      <c r="J136" s="266"/>
      <c r="K136" s="266"/>
      <c r="L136" s="266"/>
    </row>
    <row r="137" spans="2:12">
      <c r="B137" s="266"/>
      <c r="C137" s="266"/>
      <c r="D137" s="266"/>
      <c r="E137" s="266"/>
      <c r="F137" s="266"/>
      <c r="G137" s="266"/>
      <c r="H137" s="266"/>
      <c r="I137" s="266"/>
      <c r="J137" s="266"/>
      <c r="K137" s="266"/>
      <c r="L137" s="266"/>
    </row>
    <row r="138" spans="2:12">
      <c r="B138" s="266"/>
      <c r="C138" s="266"/>
      <c r="D138" s="266"/>
      <c r="E138" s="266"/>
      <c r="F138" s="266"/>
      <c r="G138" s="266"/>
      <c r="H138" s="266"/>
      <c r="I138" s="266"/>
      <c r="J138" s="266"/>
      <c r="K138" s="266"/>
      <c r="L138" s="266"/>
    </row>
    <row r="139" spans="2:12">
      <c r="B139" s="266"/>
      <c r="C139" s="266"/>
      <c r="D139" s="266"/>
      <c r="E139" s="266"/>
      <c r="F139" s="266"/>
      <c r="G139" s="266"/>
      <c r="H139" s="266"/>
      <c r="I139" s="266"/>
      <c r="J139" s="266"/>
      <c r="K139" s="266"/>
      <c r="L139" s="266"/>
    </row>
    <row r="140" spans="2:12">
      <c r="B140" s="266"/>
      <c r="C140" s="266"/>
      <c r="D140" s="266"/>
      <c r="E140" s="266"/>
      <c r="F140" s="266"/>
      <c r="G140" s="266"/>
      <c r="H140" s="266"/>
      <c r="I140" s="266"/>
      <c r="J140" s="266"/>
      <c r="K140" s="266"/>
      <c r="L140" s="266"/>
    </row>
    <row r="141" spans="2:12">
      <c r="B141" s="266"/>
      <c r="C141" s="266"/>
      <c r="D141" s="266"/>
      <c r="E141" s="266"/>
      <c r="F141" s="266"/>
      <c r="G141" s="266"/>
      <c r="H141" s="266"/>
      <c r="I141" s="266"/>
      <c r="J141" s="266"/>
      <c r="K141" s="266"/>
      <c r="L141" s="266"/>
    </row>
    <row r="142" spans="2:12">
      <c r="B142" s="266"/>
      <c r="C142" s="266"/>
      <c r="D142" s="266"/>
      <c r="E142" s="266"/>
      <c r="F142" s="266"/>
      <c r="G142" s="266"/>
      <c r="H142" s="266"/>
      <c r="I142" s="266"/>
      <c r="J142" s="266"/>
      <c r="K142" s="266"/>
      <c r="L142" s="266"/>
    </row>
    <row r="143" spans="2:12">
      <c r="B143" s="266"/>
      <c r="C143" s="266"/>
      <c r="D143" s="266"/>
      <c r="E143" s="266"/>
      <c r="F143" s="266"/>
      <c r="G143" s="266"/>
      <c r="H143" s="266"/>
      <c r="I143" s="266"/>
      <c r="J143" s="266"/>
      <c r="K143" s="266"/>
      <c r="L143" s="266"/>
    </row>
    <row r="144" spans="2:12">
      <c r="B144" s="266"/>
      <c r="C144" s="266"/>
      <c r="D144" s="266"/>
      <c r="E144" s="266"/>
      <c r="F144" s="266"/>
      <c r="G144" s="266"/>
      <c r="H144" s="266"/>
      <c r="I144" s="266"/>
      <c r="J144" s="266"/>
      <c r="K144" s="266"/>
      <c r="L144" s="266"/>
    </row>
    <row r="145" spans="2:12">
      <c r="B145" s="266"/>
      <c r="C145" s="266"/>
      <c r="D145" s="266"/>
      <c r="E145" s="266"/>
      <c r="F145" s="266"/>
      <c r="G145" s="266"/>
      <c r="H145" s="266"/>
      <c r="I145" s="266"/>
      <c r="J145" s="266"/>
      <c r="K145" s="266"/>
      <c r="L145" s="266"/>
    </row>
    <row r="146" spans="2:12">
      <c r="B146" s="266"/>
      <c r="C146" s="266"/>
      <c r="D146" s="266"/>
      <c r="E146" s="266"/>
      <c r="F146" s="266"/>
      <c r="G146" s="266"/>
      <c r="H146" s="266"/>
      <c r="I146" s="266"/>
      <c r="J146" s="266"/>
      <c r="K146" s="266"/>
      <c r="L146" s="266"/>
    </row>
    <row r="147" spans="2:12">
      <c r="B147" s="266"/>
      <c r="C147" s="266"/>
      <c r="D147" s="266"/>
      <c r="E147" s="266"/>
      <c r="F147" s="266"/>
      <c r="G147" s="266"/>
      <c r="H147" s="266"/>
      <c r="I147" s="266"/>
      <c r="J147" s="266"/>
      <c r="K147" s="266"/>
      <c r="L147" s="266"/>
    </row>
    <row r="148" spans="2:12">
      <c r="B148" s="266"/>
      <c r="C148" s="266"/>
      <c r="D148" s="266"/>
      <c r="E148" s="266"/>
      <c r="F148" s="266"/>
      <c r="G148" s="266"/>
      <c r="H148" s="266"/>
      <c r="I148" s="266"/>
      <c r="J148" s="266"/>
      <c r="K148" s="266"/>
      <c r="L148" s="266"/>
    </row>
    <row r="149" spans="2:12">
      <c r="B149" s="266"/>
      <c r="C149" s="266"/>
      <c r="D149" s="266"/>
      <c r="E149" s="266"/>
      <c r="F149" s="266"/>
      <c r="G149" s="266"/>
      <c r="H149" s="266"/>
      <c r="I149" s="266"/>
      <c r="J149" s="266"/>
      <c r="K149" s="266"/>
      <c r="L149" s="266"/>
    </row>
    <row r="150" spans="2:12">
      <c r="B150" s="266"/>
      <c r="C150" s="266"/>
      <c r="D150" s="266"/>
      <c r="E150" s="266"/>
      <c r="F150" s="266"/>
      <c r="G150" s="266"/>
      <c r="H150" s="266"/>
      <c r="I150" s="266"/>
      <c r="J150" s="266"/>
      <c r="K150" s="266"/>
      <c r="L150" s="266"/>
    </row>
    <row r="151" spans="2:12">
      <c r="B151" s="266"/>
      <c r="C151" s="266"/>
      <c r="D151" s="266"/>
      <c r="E151" s="266"/>
      <c r="F151" s="266"/>
      <c r="G151" s="266"/>
      <c r="H151" s="266"/>
      <c r="I151" s="266"/>
      <c r="J151" s="266"/>
      <c r="K151" s="266"/>
      <c r="L151" s="266"/>
    </row>
    <row r="152" spans="2:12">
      <c r="B152" s="266"/>
      <c r="C152" s="266"/>
      <c r="D152" s="266"/>
      <c r="E152" s="266"/>
      <c r="F152" s="266"/>
      <c r="G152" s="266"/>
      <c r="H152" s="266"/>
      <c r="I152" s="266"/>
      <c r="J152" s="266"/>
      <c r="K152" s="266"/>
      <c r="L152" s="266"/>
    </row>
    <row r="153" spans="2:12">
      <c r="B153" s="266"/>
      <c r="C153" s="266"/>
      <c r="D153" s="266"/>
      <c r="E153" s="266"/>
      <c r="F153" s="266"/>
      <c r="G153" s="266"/>
      <c r="H153" s="266"/>
      <c r="I153" s="266"/>
      <c r="J153" s="266"/>
      <c r="K153" s="266"/>
      <c r="L153" s="266"/>
    </row>
    <row r="154" spans="2:12">
      <c r="B154" s="266"/>
      <c r="C154" s="266"/>
      <c r="D154" s="266"/>
      <c r="E154" s="266"/>
      <c r="F154" s="266"/>
      <c r="G154" s="266"/>
      <c r="H154" s="266"/>
      <c r="I154" s="266"/>
      <c r="J154" s="266"/>
      <c r="K154" s="266"/>
      <c r="L154" s="266"/>
    </row>
    <row r="155" spans="2:12">
      <c r="B155" s="266"/>
      <c r="C155" s="266"/>
      <c r="D155" s="266"/>
      <c r="E155" s="266"/>
      <c r="F155" s="266"/>
      <c r="G155" s="266"/>
      <c r="H155" s="266"/>
      <c r="I155" s="266"/>
      <c r="J155" s="266"/>
      <c r="K155" s="266"/>
      <c r="L155" s="266"/>
    </row>
    <row r="156" spans="2:12">
      <c r="B156" s="266"/>
      <c r="C156" s="266"/>
      <c r="D156" s="266"/>
      <c r="E156" s="266"/>
      <c r="F156" s="266"/>
      <c r="G156" s="266"/>
      <c r="H156" s="266"/>
      <c r="I156" s="266"/>
      <c r="J156" s="266"/>
      <c r="K156" s="266"/>
      <c r="L156" s="266"/>
    </row>
    <row r="157" spans="2:12">
      <c r="B157" s="266"/>
      <c r="C157" s="266"/>
      <c r="D157" s="266"/>
      <c r="E157" s="266"/>
      <c r="F157" s="266"/>
      <c r="G157" s="266"/>
      <c r="H157" s="266"/>
      <c r="I157" s="266"/>
      <c r="J157" s="266"/>
      <c r="K157" s="266"/>
      <c r="L157" s="266"/>
    </row>
    <row r="158" spans="2:12">
      <c r="B158" s="266"/>
      <c r="C158" s="266"/>
      <c r="D158" s="266"/>
      <c r="E158" s="266"/>
      <c r="F158" s="266"/>
      <c r="G158" s="266"/>
      <c r="H158" s="266"/>
      <c r="I158" s="266"/>
      <c r="J158" s="266"/>
      <c r="K158" s="266"/>
      <c r="L158" s="266"/>
    </row>
    <row r="159" spans="2:12">
      <c r="B159" s="266"/>
      <c r="C159" s="266"/>
      <c r="D159" s="266"/>
      <c r="E159" s="266"/>
      <c r="F159" s="266"/>
      <c r="G159" s="266"/>
      <c r="H159" s="266"/>
      <c r="I159" s="266"/>
      <c r="J159" s="266"/>
      <c r="K159" s="266"/>
      <c r="L159" s="266"/>
    </row>
    <row r="160" spans="2:12">
      <c r="B160" s="266"/>
      <c r="C160" s="266"/>
      <c r="D160" s="266"/>
      <c r="E160" s="266"/>
      <c r="F160" s="266"/>
      <c r="G160" s="266"/>
      <c r="H160" s="266"/>
      <c r="I160" s="266"/>
      <c r="J160" s="266"/>
      <c r="K160" s="266"/>
      <c r="L160" s="266"/>
    </row>
    <row r="161" spans="2:12">
      <c r="B161" s="266"/>
      <c r="C161" s="266"/>
      <c r="D161" s="266"/>
      <c r="E161" s="266"/>
      <c r="F161" s="266"/>
      <c r="G161" s="266"/>
      <c r="H161" s="266"/>
      <c r="I161" s="266"/>
      <c r="J161" s="266"/>
      <c r="K161" s="266"/>
      <c r="L161" s="266"/>
    </row>
    <row r="162" spans="2:12">
      <c r="B162" s="266"/>
      <c r="C162" s="266"/>
      <c r="D162" s="266"/>
      <c r="E162" s="266"/>
      <c r="F162" s="266"/>
      <c r="G162" s="266"/>
      <c r="H162" s="266"/>
      <c r="I162" s="266"/>
      <c r="J162" s="266"/>
      <c r="K162" s="266"/>
      <c r="L162" s="266"/>
    </row>
    <row r="163" spans="2:12">
      <c r="B163" s="266"/>
      <c r="C163" s="266"/>
      <c r="D163" s="266"/>
      <c r="E163" s="266"/>
      <c r="F163" s="266"/>
      <c r="G163" s="266"/>
      <c r="H163" s="266"/>
      <c r="I163" s="266"/>
      <c r="J163" s="266"/>
      <c r="K163" s="266"/>
      <c r="L163" s="266"/>
    </row>
    <row r="164" spans="2:12">
      <c r="B164" s="266"/>
      <c r="C164" s="266"/>
      <c r="D164" s="266"/>
      <c r="E164" s="266"/>
      <c r="F164" s="266"/>
      <c r="G164" s="266"/>
      <c r="H164" s="266"/>
      <c r="I164" s="266"/>
      <c r="J164" s="266"/>
      <c r="K164" s="266"/>
      <c r="L164" s="266"/>
    </row>
    <row r="165" spans="2:12">
      <c r="B165" s="266"/>
      <c r="C165" s="266"/>
      <c r="D165" s="266"/>
      <c r="E165" s="266"/>
      <c r="F165" s="266"/>
      <c r="G165" s="266"/>
      <c r="H165" s="266"/>
      <c r="I165" s="266"/>
      <c r="J165" s="266"/>
      <c r="K165" s="266"/>
      <c r="L165" s="266"/>
    </row>
    <row r="166" spans="2:12">
      <c r="B166" s="266"/>
      <c r="C166" s="266"/>
      <c r="D166" s="266"/>
      <c r="E166" s="266"/>
      <c r="F166" s="266"/>
      <c r="G166" s="266"/>
      <c r="H166" s="266"/>
      <c r="I166" s="266"/>
      <c r="J166" s="266"/>
      <c r="K166" s="266"/>
      <c r="L166" s="266"/>
    </row>
    <row r="167" spans="2:12">
      <c r="B167" s="266"/>
      <c r="C167" s="266"/>
      <c r="D167" s="266"/>
      <c r="E167" s="266"/>
      <c r="F167" s="266"/>
      <c r="G167" s="266"/>
      <c r="H167" s="266"/>
      <c r="I167" s="266"/>
      <c r="J167" s="266"/>
      <c r="K167" s="266"/>
      <c r="L167" s="266"/>
    </row>
    <row r="168" spans="2:12">
      <c r="B168" s="266"/>
      <c r="C168" s="266"/>
      <c r="D168" s="266"/>
      <c r="E168" s="266"/>
      <c r="F168" s="266"/>
      <c r="G168" s="266"/>
      <c r="H168" s="266"/>
      <c r="I168" s="266"/>
      <c r="J168" s="266"/>
      <c r="K168" s="266"/>
      <c r="L168" s="266"/>
    </row>
    <row r="169" spans="2:12">
      <c r="B169" s="266"/>
      <c r="C169" s="266"/>
      <c r="D169" s="266"/>
      <c r="E169" s="266"/>
      <c r="F169" s="266"/>
      <c r="G169" s="266"/>
      <c r="H169" s="266"/>
      <c r="I169" s="266"/>
      <c r="J169" s="266"/>
      <c r="K169" s="266"/>
      <c r="L169" s="266"/>
    </row>
    <row r="170" spans="2:12">
      <c r="B170" s="266"/>
      <c r="C170" s="266"/>
      <c r="D170" s="266"/>
      <c r="E170" s="266"/>
      <c r="F170" s="266"/>
      <c r="G170" s="266"/>
      <c r="H170" s="266"/>
      <c r="I170" s="266"/>
      <c r="J170" s="266"/>
      <c r="K170" s="266"/>
      <c r="L170" s="266"/>
    </row>
    <row r="171" spans="2:12">
      <c r="B171" s="266"/>
      <c r="C171" s="266"/>
      <c r="D171" s="266"/>
      <c r="E171" s="266"/>
      <c r="F171" s="266"/>
      <c r="G171" s="266"/>
      <c r="H171" s="266"/>
      <c r="I171" s="266"/>
      <c r="J171" s="266"/>
      <c r="K171" s="266"/>
      <c r="L171" s="266"/>
    </row>
    <row r="172" spans="2:12">
      <c r="B172" s="266"/>
      <c r="C172" s="266"/>
      <c r="D172" s="266"/>
      <c r="E172" s="266"/>
      <c r="F172" s="266"/>
      <c r="G172" s="266"/>
      <c r="H172" s="266"/>
      <c r="I172" s="266"/>
      <c r="J172" s="266"/>
      <c r="K172" s="266"/>
      <c r="L172" s="266"/>
    </row>
    <row r="173" spans="2:12">
      <c r="B173" s="266"/>
      <c r="C173" s="266"/>
      <c r="D173" s="266"/>
      <c r="E173" s="266"/>
      <c r="F173" s="266"/>
      <c r="G173" s="266"/>
      <c r="H173" s="266"/>
      <c r="I173" s="266"/>
      <c r="J173" s="266"/>
      <c r="K173" s="266"/>
      <c r="L173" s="266"/>
    </row>
    <row r="174" spans="2:12">
      <c r="B174" s="266"/>
      <c r="C174" s="266"/>
      <c r="D174" s="266"/>
      <c r="E174" s="266"/>
      <c r="F174" s="266"/>
      <c r="G174" s="266"/>
      <c r="H174" s="266"/>
      <c r="I174" s="266"/>
      <c r="J174" s="266"/>
      <c r="K174" s="266"/>
      <c r="L174" s="266"/>
    </row>
    <row r="175" spans="2:12">
      <c r="B175" s="266"/>
      <c r="C175" s="266"/>
      <c r="D175" s="266"/>
      <c r="E175" s="266"/>
      <c r="F175" s="266"/>
      <c r="G175" s="266"/>
      <c r="H175" s="266"/>
      <c r="I175" s="266"/>
      <c r="J175" s="266"/>
      <c r="K175" s="266"/>
      <c r="L175" s="266"/>
    </row>
    <row r="176" spans="2:12">
      <c r="B176" s="266"/>
      <c r="C176" s="266"/>
      <c r="D176" s="266"/>
      <c r="E176" s="266"/>
      <c r="F176" s="266"/>
      <c r="G176" s="266"/>
      <c r="H176" s="266"/>
      <c r="I176" s="266"/>
      <c r="J176" s="266"/>
      <c r="K176" s="266"/>
      <c r="L176" s="266"/>
    </row>
    <row r="177" spans="2:12">
      <c r="B177" s="266"/>
      <c r="C177" s="266"/>
      <c r="D177" s="266"/>
      <c r="E177" s="266"/>
      <c r="F177" s="266"/>
      <c r="G177" s="266"/>
      <c r="H177" s="266"/>
      <c r="I177" s="266"/>
      <c r="J177" s="266"/>
      <c r="K177" s="266"/>
      <c r="L177" s="266"/>
    </row>
    <row r="178" spans="2:12">
      <c r="B178" s="266"/>
      <c r="C178" s="266"/>
      <c r="D178" s="266"/>
      <c r="E178" s="266"/>
      <c r="F178" s="266"/>
      <c r="G178" s="266"/>
      <c r="H178" s="266"/>
      <c r="I178" s="266"/>
      <c r="J178" s="266"/>
      <c r="K178" s="266"/>
      <c r="L178" s="266"/>
    </row>
    <row r="179" spans="2:12">
      <c r="B179" s="266"/>
      <c r="C179" s="266"/>
      <c r="D179" s="266"/>
      <c r="E179" s="266"/>
      <c r="F179" s="266"/>
      <c r="G179" s="266"/>
      <c r="H179" s="266"/>
      <c r="I179" s="266"/>
      <c r="J179" s="266"/>
      <c r="K179" s="266"/>
      <c r="L179" s="266"/>
    </row>
    <row r="180" spans="2:12">
      <c r="B180" s="266"/>
      <c r="C180" s="266"/>
      <c r="D180" s="266"/>
      <c r="E180" s="266"/>
      <c r="F180" s="266"/>
      <c r="G180" s="266"/>
      <c r="H180" s="266"/>
      <c r="I180" s="266"/>
      <c r="J180" s="266"/>
      <c r="K180" s="266"/>
      <c r="L180" s="266"/>
    </row>
    <row r="181" spans="2:12">
      <c r="B181" s="266"/>
      <c r="C181" s="266"/>
      <c r="D181" s="266"/>
      <c r="E181" s="266"/>
      <c r="F181" s="266"/>
      <c r="G181" s="266"/>
      <c r="H181" s="266"/>
      <c r="I181" s="266"/>
      <c r="J181" s="266"/>
      <c r="K181" s="266"/>
      <c r="L181" s="266"/>
    </row>
    <row r="182" spans="2:12">
      <c r="B182" s="266"/>
      <c r="C182" s="266"/>
      <c r="D182" s="266"/>
      <c r="E182" s="266"/>
      <c r="F182" s="266"/>
      <c r="G182" s="266"/>
      <c r="H182" s="266"/>
      <c r="I182" s="266"/>
      <c r="J182" s="266"/>
      <c r="K182" s="266"/>
      <c r="L182" s="266"/>
    </row>
    <row r="183" spans="2:12">
      <c r="B183" s="266"/>
      <c r="C183" s="266"/>
      <c r="D183" s="266"/>
      <c r="E183" s="266"/>
      <c r="F183" s="266"/>
      <c r="G183" s="266"/>
      <c r="H183" s="266"/>
      <c r="I183" s="266"/>
      <c r="J183" s="266"/>
      <c r="K183" s="266"/>
      <c r="L183" s="266"/>
    </row>
    <row r="184" spans="2:12">
      <c r="B184" s="266"/>
      <c r="C184" s="266"/>
      <c r="D184" s="266"/>
      <c r="E184" s="266"/>
      <c r="F184" s="266"/>
      <c r="G184" s="266"/>
      <c r="H184" s="266"/>
      <c r="I184" s="266"/>
      <c r="J184" s="266"/>
      <c r="K184" s="266"/>
      <c r="L184" s="266"/>
    </row>
    <row r="185" spans="2:12">
      <c r="B185" s="266"/>
      <c r="C185" s="266"/>
      <c r="D185" s="266"/>
      <c r="E185" s="266"/>
      <c r="F185" s="266"/>
      <c r="G185" s="266"/>
      <c r="H185" s="266"/>
      <c r="I185" s="266"/>
      <c r="J185" s="266"/>
      <c r="K185" s="266"/>
      <c r="L185" s="266"/>
    </row>
    <row r="186" spans="2:12">
      <c r="B186" s="266"/>
      <c r="C186" s="266"/>
      <c r="D186" s="266"/>
      <c r="E186" s="266"/>
      <c r="F186" s="266"/>
      <c r="G186" s="266"/>
      <c r="H186" s="266"/>
      <c r="I186" s="266"/>
      <c r="J186" s="266"/>
      <c r="K186" s="266"/>
      <c r="L186" s="266"/>
    </row>
    <row r="187" spans="2:12">
      <c r="B187" s="266"/>
      <c r="C187" s="266"/>
      <c r="D187" s="266"/>
      <c r="E187" s="266"/>
      <c r="F187" s="266"/>
      <c r="G187" s="266"/>
      <c r="H187" s="266"/>
      <c r="I187" s="266"/>
      <c r="J187" s="266"/>
      <c r="K187" s="266"/>
      <c r="L187" s="266"/>
    </row>
    <row r="188" spans="2:12">
      <c r="B188" s="266"/>
      <c r="C188" s="266"/>
      <c r="D188" s="266"/>
      <c r="E188" s="266"/>
      <c r="F188" s="266"/>
      <c r="G188" s="266"/>
      <c r="H188" s="266"/>
      <c r="I188" s="266"/>
      <c r="J188" s="266"/>
      <c r="K188" s="266"/>
      <c r="L188" s="266"/>
    </row>
    <row r="189" spans="2:12">
      <c r="B189" s="266"/>
      <c r="C189" s="266"/>
      <c r="D189" s="266"/>
      <c r="E189" s="266"/>
      <c r="F189" s="266"/>
      <c r="G189" s="266"/>
      <c r="H189" s="266"/>
      <c r="I189" s="266"/>
      <c r="J189" s="266"/>
      <c r="K189" s="266"/>
      <c r="L189" s="266"/>
    </row>
    <row r="190" spans="2:12">
      <c r="B190" s="266"/>
      <c r="C190" s="266"/>
      <c r="D190" s="266"/>
      <c r="E190" s="266"/>
      <c r="F190" s="266"/>
      <c r="G190" s="266"/>
      <c r="H190" s="266"/>
      <c r="I190" s="266"/>
      <c r="J190" s="266"/>
      <c r="K190" s="266"/>
      <c r="L190" s="266"/>
    </row>
    <row r="191" spans="2:12">
      <c r="B191" s="266"/>
      <c r="C191" s="266"/>
      <c r="D191" s="266"/>
      <c r="E191" s="266"/>
      <c r="F191" s="266"/>
      <c r="G191" s="266"/>
      <c r="H191" s="266"/>
      <c r="I191" s="266"/>
      <c r="J191" s="266"/>
      <c r="K191" s="266"/>
      <c r="L191" s="266"/>
    </row>
    <row r="192" spans="2:12">
      <c r="B192" s="266"/>
      <c r="C192" s="266"/>
      <c r="D192" s="266"/>
      <c r="E192" s="266"/>
      <c r="F192" s="266"/>
      <c r="G192" s="266"/>
      <c r="H192" s="266"/>
      <c r="I192" s="266"/>
      <c r="J192" s="266"/>
      <c r="K192" s="266"/>
      <c r="L192" s="266"/>
    </row>
    <row r="193" spans="2:12">
      <c r="B193" s="266"/>
      <c r="C193" s="266"/>
      <c r="D193" s="266"/>
      <c r="E193" s="266"/>
      <c r="F193" s="266"/>
      <c r="G193" s="266"/>
      <c r="H193" s="266"/>
      <c r="I193" s="266"/>
      <c r="J193" s="266"/>
      <c r="K193" s="266"/>
      <c r="L193" s="266"/>
    </row>
    <row r="194" spans="2:12">
      <c r="B194" s="266"/>
      <c r="C194" s="266"/>
      <c r="D194" s="266"/>
      <c r="E194" s="266"/>
      <c r="F194" s="266"/>
      <c r="G194" s="266"/>
      <c r="H194" s="266"/>
      <c r="I194" s="266"/>
      <c r="J194" s="266"/>
      <c r="K194" s="266"/>
      <c r="L194" s="266"/>
    </row>
    <row r="195" spans="2:12">
      <c r="B195" s="266"/>
      <c r="C195" s="266"/>
      <c r="D195" s="266"/>
      <c r="E195" s="266"/>
      <c r="F195" s="266"/>
      <c r="G195" s="266"/>
      <c r="H195" s="266"/>
      <c r="I195" s="266"/>
      <c r="J195" s="266"/>
      <c r="K195" s="266"/>
      <c r="L195" s="266"/>
    </row>
    <row r="196" spans="2:12">
      <c r="B196" s="266"/>
      <c r="C196" s="266"/>
      <c r="D196" s="266"/>
      <c r="E196" s="266"/>
      <c r="F196" s="266"/>
      <c r="G196" s="266"/>
      <c r="H196" s="266"/>
      <c r="I196" s="266"/>
      <c r="J196" s="266"/>
      <c r="K196" s="266"/>
      <c r="L196" s="266"/>
    </row>
    <row r="197" spans="2:12">
      <c r="B197" s="266"/>
      <c r="C197" s="266"/>
      <c r="D197" s="266"/>
      <c r="E197" s="266"/>
      <c r="F197" s="266"/>
      <c r="G197" s="266"/>
      <c r="H197" s="266"/>
      <c r="I197" s="266"/>
      <c r="J197" s="266"/>
      <c r="K197" s="266"/>
      <c r="L197" s="266"/>
    </row>
    <row r="198" spans="2:12">
      <c r="B198" s="266"/>
      <c r="C198" s="266"/>
      <c r="D198" s="266"/>
      <c r="E198" s="266"/>
      <c r="F198" s="266"/>
      <c r="G198" s="266"/>
      <c r="H198" s="266"/>
      <c r="I198" s="266"/>
      <c r="J198" s="266"/>
      <c r="K198" s="266"/>
      <c r="L198" s="266"/>
    </row>
    <row r="199" spans="2:12">
      <c r="B199" s="266"/>
      <c r="C199" s="266"/>
      <c r="D199" s="266"/>
      <c r="E199" s="266"/>
      <c r="F199" s="266"/>
      <c r="G199" s="266"/>
      <c r="H199" s="266"/>
      <c r="I199" s="266"/>
      <c r="J199" s="266"/>
      <c r="K199" s="266"/>
      <c r="L199" s="266"/>
    </row>
    <row r="200" spans="2:12">
      <c r="B200" s="266"/>
      <c r="C200" s="266"/>
      <c r="D200" s="266"/>
      <c r="E200" s="266"/>
      <c r="F200" s="266"/>
      <c r="G200" s="266"/>
      <c r="H200" s="266"/>
      <c r="I200" s="266"/>
      <c r="J200" s="266"/>
      <c r="K200" s="266"/>
      <c r="L200" s="266"/>
    </row>
    <row r="201" spans="2:12">
      <c r="B201" s="266"/>
      <c r="C201" s="266"/>
      <c r="D201" s="266"/>
      <c r="E201" s="266"/>
      <c r="F201" s="266"/>
      <c r="G201" s="266"/>
      <c r="H201" s="266"/>
      <c r="I201" s="266"/>
      <c r="J201" s="266"/>
      <c r="K201" s="266"/>
      <c r="L201" s="266"/>
    </row>
    <row r="202" spans="2:12">
      <c r="B202" s="266"/>
      <c r="C202" s="266"/>
      <c r="D202" s="266"/>
      <c r="E202" s="266"/>
      <c r="F202" s="266"/>
      <c r="G202" s="266"/>
      <c r="H202" s="266"/>
      <c r="I202" s="266"/>
      <c r="J202" s="266"/>
      <c r="K202" s="266"/>
      <c r="L202" s="266"/>
    </row>
    <row r="203" spans="2:12">
      <c r="B203" s="266"/>
      <c r="C203" s="266"/>
      <c r="D203" s="266"/>
      <c r="E203" s="266"/>
      <c r="F203" s="266"/>
      <c r="G203" s="266"/>
      <c r="H203" s="266"/>
      <c r="I203" s="266"/>
      <c r="J203" s="266"/>
      <c r="K203" s="266"/>
      <c r="L203" s="266"/>
    </row>
    <row r="204" spans="2:12">
      <c r="B204" s="266"/>
      <c r="C204" s="266"/>
      <c r="D204" s="266"/>
      <c r="E204" s="266"/>
      <c r="F204" s="266"/>
      <c r="G204" s="266"/>
      <c r="H204" s="266"/>
      <c r="I204" s="266"/>
      <c r="J204" s="266"/>
      <c r="K204" s="266"/>
      <c r="L204" s="266"/>
    </row>
    <row r="205" spans="2:12">
      <c r="B205" s="266"/>
      <c r="C205" s="266"/>
      <c r="D205" s="266"/>
      <c r="E205" s="266"/>
      <c r="F205" s="266"/>
      <c r="G205" s="266"/>
      <c r="H205" s="266"/>
      <c r="I205" s="266"/>
      <c r="J205" s="266"/>
      <c r="K205" s="266"/>
      <c r="L205" s="266"/>
    </row>
    <row r="206" spans="2:12">
      <c r="B206" s="266"/>
      <c r="C206" s="266"/>
      <c r="D206" s="266"/>
      <c r="E206" s="266"/>
      <c r="F206" s="266"/>
      <c r="G206" s="266"/>
      <c r="H206" s="266"/>
      <c r="I206" s="266"/>
      <c r="J206" s="266"/>
      <c r="K206" s="266"/>
      <c r="L206" s="266"/>
    </row>
    <row r="207" spans="2:12">
      <c r="B207" s="266"/>
      <c r="C207" s="266"/>
      <c r="D207" s="266"/>
      <c r="E207" s="266"/>
      <c r="F207" s="266"/>
      <c r="G207" s="266"/>
      <c r="H207" s="266"/>
      <c r="I207" s="266"/>
      <c r="J207" s="266"/>
      <c r="K207" s="266"/>
      <c r="L207" s="266"/>
    </row>
    <row r="208" spans="2:12">
      <c r="B208" s="266"/>
      <c r="C208" s="266"/>
      <c r="D208" s="266"/>
      <c r="E208" s="266"/>
      <c r="F208" s="266"/>
      <c r="G208" s="266"/>
      <c r="H208" s="266"/>
      <c r="I208" s="266"/>
      <c r="J208" s="266"/>
      <c r="K208" s="266"/>
      <c r="L208" s="266"/>
    </row>
    <row r="209" spans="2:12">
      <c r="B209" s="266"/>
      <c r="C209" s="266"/>
      <c r="D209" s="266"/>
      <c r="E209" s="266"/>
      <c r="F209" s="266"/>
      <c r="G209" s="266"/>
      <c r="H209" s="266"/>
      <c r="I209" s="266"/>
      <c r="J209" s="266"/>
      <c r="K209" s="266"/>
      <c r="L209" s="266"/>
    </row>
    <row r="210" spans="2:12">
      <c r="B210" s="266"/>
      <c r="C210" s="266"/>
      <c r="D210" s="266"/>
      <c r="E210" s="266"/>
      <c r="F210" s="266"/>
      <c r="G210" s="266"/>
      <c r="H210" s="266"/>
      <c r="I210" s="266"/>
      <c r="J210" s="266"/>
      <c r="K210" s="266"/>
      <c r="L210" s="266"/>
    </row>
    <row r="211" spans="2:12">
      <c r="B211" s="266"/>
      <c r="C211" s="266"/>
      <c r="D211" s="266"/>
      <c r="E211" s="266"/>
      <c r="F211" s="266"/>
      <c r="G211" s="266"/>
      <c r="H211" s="266"/>
      <c r="I211" s="266"/>
      <c r="J211" s="266"/>
      <c r="K211" s="266"/>
      <c r="L211" s="266"/>
    </row>
    <row r="212" spans="2:12">
      <c r="B212" s="266"/>
      <c r="C212" s="266"/>
      <c r="D212" s="266"/>
      <c r="E212" s="266"/>
      <c r="F212" s="266"/>
      <c r="G212" s="266"/>
      <c r="H212" s="266"/>
      <c r="I212" s="266"/>
      <c r="J212" s="266"/>
      <c r="K212" s="266"/>
      <c r="L212" s="266"/>
    </row>
    <row r="213" spans="2:12">
      <c r="B213" s="266"/>
      <c r="C213" s="266"/>
      <c r="D213" s="266"/>
      <c r="E213" s="266"/>
      <c r="F213" s="266"/>
      <c r="G213" s="266"/>
      <c r="H213" s="266"/>
      <c r="I213" s="266"/>
      <c r="J213" s="266"/>
      <c r="K213" s="266"/>
      <c r="L213" s="266"/>
    </row>
    <row r="214" spans="2:12">
      <c r="B214" s="266"/>
      <c r="C214" s="266"/>
      <c r="D214" s="266"/>
      <c r="E214" s="266"/>
      <c r="F214" s="266"/>
      <c r="G214" s="266"/>
      <c r="H214" s="266"/>
      <c r="I214" s="266"/>
      <c r="J214" s="266"/>
      <c r="K214" s="266"/>
      <c r="L214" s="266"/>
    </row>
    <row r="215" spans="2:12">
      <c r="B215" s="266"/>
      <c r="C215" s="266"/>
      <c r="D215" s="266"/>
      <c r="E215" s="266"/>
      <c r="F215" s="266"/>
      <c r="G215" s="266"/>
      <c r="H215" s="266"/>
      <c r="I215" s="266"/>
      <c r="J215" s="266"/>
      <c r="K215" s="266"/>
      <c r="L215" s="266"/>
    </row>
    <row r="216" spans="2:12">
      <c r="B216" s="266"/>
      <c r="C216" s="266"/>
      <c r="D216" s="266"/>
      <c r="E216" s="266"/>
      <c r="F216" s="266"/>
      <c r="G216" s="266"/>
      <c r="H216" s="266"/>
      <c r="I216" s="266"/>
      <c r="J216" s="266"/>
      <c r="K216" s="266"/>
      <c r="L216" s="266"/>
    </row>
    <row r="217" spans="2:12">
      <c r="B217" s="266"/>
      <c r="C217" s="266"/>
      <c r="D217" s="266"/>
      <c r="E217" s="266"/>
      <c r="F217" s="266"/>
      <c r="G217" s="266"/>
      <c r="H217" s="266"/>
      <c r="I217" s="266"/>
      <c r="J217" s="266"/>
      <c r="K217" s="266"/>
      <c r="L217" s="266"/>
    </row>
    <row r="218" spans="2:12">
      <c r="B218" s="266"/>
      <c r="C218" s="266"/>
      <c r="D218" s="266"/>
      <c r="E218" s="266"/>
      <c r="F218" s="266"/>
      <c r="G218" s="266"/>
      <c r="H218" s="266"/>
      <c r="I218" s="266"/>
      <c r="J218" s="266"/>
      <c r="K218" s="266"/>
      <c r="L218" s="266"/>
    </row>
    <row r="219" spans="2:12">
      <c r="B219" s="266"/>
      <c r="C219" s="266"/>
      <c r="D219" s="266"/>
      <c r="E219" s="266"/>
      <c r="F219" s="266"/>
      <c r="G219" s="266"/>
      <c r="H219" s="266"/>
      <c r="I219" s="266"/>
      <c r="J219" s="266"/>
      <c r="K219" s="266"/>
      <c r="L219" s="266"/>
    </row>
    <row r="220" spans="2:12">
      <c r="B220" s="266"/>
      <c r="C220" s="266"/>
      <c r="D220" s="266"/>
      <c r="E220" s="266"/>
      <c r="F220" s="266"/>
      <c r="G220" s="266"/>
      <c r="H220" s="266"/>
      <c r="I220" s="266"/>
      <c r="J220" s="266"/>
      <c r="K220" s="266"/>
      <c r="L220" s="266"/>
    </row>
    <row r="221" spans="2:12">
      <c r="B221" s="266"/>
      <c r="C221" s="266"/>
      <c r="D221" s="266"/>
      <c r="E221" s="266"/>
      <c r="F221" s="266"/>
      <c r="G221" s="266"/>
      <c r="H221" s="266"/>
      <c r="I221" s="266"/>
      <c r="J221" s="266"/>
      <c r="K221" s="266"/>
      <c r="L221" s="266"/>
    </row>
    <row r="222" spans="2:12">
      <c r="B222" s="266"/>
      <c r="C222" s="266"/>
      <c r="D222" s="266"/>
      <c r="E222" s="266"/>
      <c r="F222" s="266"/>
      <c r="G222" s="266"/>
      <c r="H222" s="266"/>
      <c r="I222" s="266"/>
      <c r="J222" s="266"/>
      <c r="K222" s="266"/>
      <c r="L222" s="266"/>
    </row>
    <row r="223" spans="2:12">
      <c r="B223" s="266"/>
      <c r="C223" s="266"/>
      <c r="D223" s="266"/>
      <c r="E223" s="266"/>
      <c r="F223" s="266"/>
      <c r="G223" s="266"/>
      <c r="H223" s="266"/>
      <c r="I223" s="266"/>
      <c r="J223" s="266"/>
      <c r="K223" s="266"/>
      <c r="L223" s="266"/>
    </row>
    <row r="224" spans="2:12">
      <c r="B224" s="266"/>
      <c r="C224" s="266"/>
      <c r="D224" s="266"/>
      <c r="E224" s="266"/>
      <c r="F224" s="266"/>
      <c r="G224" s="266"/>
      <c r="H224" s="266"/>
      <c r="I224" s="266"/>
      <c r="J224" s="266"/>
      <c r="K224" s="266"/>
      <c r="L224" s="266"/>
    </row>
    <row r="225" spans="2:12">
      <c r="B225" s="266"/>
      <c r="C225" s="266"/>
      <c r="D225" s="266"/>
      <c r="E225" s="266"/>
      <c r="F225" s="266"/>
      <c r="G225" s="266"/>
      <c r="H225" s="266"/>
      <c r="I225" s="266"/>
      <c r="J225" s="266"/>
      <c r="K225" s="266"/>
      <c r="L225" s="266"/>
    </row>
    <row r="226" spans="2:12">
      <c r="B226" s="266"/>
      <c r="C226" s="266"/>
      <c r="D226" s="266"/>
      <c r="E226" s="266"/>
      <c r="F226" s="266"/>
      <c r="G226" s="266"/>
      <c r="H226" s="266"/>
      <c r="I226" s="266"/>
      <c r="J226" s="266"/>
      <c r="K226" s="266"/>
      <c r="L226" s="266"/>
    </row>
    <row r="227" spans="2:12">
      <c r="B227" s="266"/>
      <c r="C227" s="266"/>
      <c r="D227" s="266"/>
      <c r="E227" s="266"/>
      <c r="F227" s="266"/>
      <c r="G227" s="266"/>
      <c r="H227" s="266"/>
      <c r="I227" s="266"/>
      <c r="J227" s="266"/>
      <c r="K227" s="266"/>
      <c r="L227" s="266"/>
    </row>
    <row r="228" spans="2:12">
      <c r="B228" s="266"/>
      <c r="C228" s="266"/>
      <c r="D228" s="266"/>
      <c r="E228" s="266"/>
      <c r="F228" s="266"/>
      <c r="G228" s="266"/>
      <c r="H228" s="266"/>
      <c r="I228" s="266"/>
      <c r="J228" s="266"/>
      <c r="K228" s="266"/>
      <c r="L228" s="266"/>
    </row>
    <row r="229" spans="2:12">
      <c r="B229" s="266"/>
      <c r="C229" s="266"/>
      <c r="D229" s="266"/>
      <c r="E229" s="266"/>
      <c r="F229" s="266"/>
      <c r="G229" s="266"/>
      <c r="H229" s="266"/>
      <c r="I229" s="266"/>
      <c r="J229" s="266"/>
      <c r="K229" s="266"/>
      <c r="L229" s="266"/>
    </row>
    <row r="230" spans="2:12">
      <c r="B230" s="266"/>
      <c r="C230" s="266"/>
      <c r="D230" s="266"/>
      <c r="E230" s="266"/>
      <c r="F230" s="266"/>
      <c r="G230" s="266"/>
      <c r="H230" s="266"/>
      <c r="I230" s="266"/>
      <c r="J230" s="266"/>
      <c r="K230" s="266"/>
      <c r="L230" s="266"/>
    </row>
    <row r="231" spans="2:12">
      <c r="B231" s="266"/>
      <c r="C231" s="266"/>
      <c r="D231" s="266"/>
      <c r="E231" s="266"/>
      <c r="F231" s="266"/>
      <c r="G231" s="266"/>
      <c r="H231" s="266"/>
      <c r="I231" s="266"/>
      <c r="J231" s="266"/>
      <c r="K231" s="266"/>
      <c r="L231" s="266"/>
    </row>
    <row r="232" spans="2:12">
      <c r="B232" s="266"/>
      <c r="C232" s="266"/>
      <c r="D232" s="266"/>
      <c r="E232" s="266"/>
      <c r="F232" s="266"/>
      <c r="G232" s="266"/>
      <c r="H232" s="266"/>
      <c r="I232" s="266"/>
      <c r="J232" s="266"/>
      <c r="K232" s="266"/>
      <c r="L232" s="266"/>
    </row>
    <row r="233" spans="2:12">
      <c r="B233" s="266"/>
      <c r="C233" s="266"/>
      <c r="D233" s="266"/>
      <c r="E233" s="266"/>
      <c r="F233" s="266"/>
      <c r="G233" s="266"/>
      <c r="H233" s="266"/>
      <c r="I233" s="266"/>
      <c r="J233" s="266"/>
      <c r="K233" s="266"/>
      <c r="L233" s="266"/>
    </row>
    <row r="234" spans="2:12">
      <c r="B234" s="266"/>
      <c r="C234" s="266"/>
      <c r="D234" s="266"/>
      <c r="E234" s="266"/>
      <c r="F234" s="266"/>
      <c r="G234" s="266"/>
      <c r="H234" s="266"/>
      <c r="I234" s="266"/>
      <c r="J234" s="266"/>
      <c r="K234" s="266"/>
      <c r="L234" s="266"/>
    </row>
    <row r="235" spans="2:12">
      <c r="B235" s="266"/>
      <c r="C235" s="266"/>
      <c r="D235" s="266"/>
      <c r="E235" s="266"/>
      <c r="F235" s="266"/>
      <c r="G235" s="266"/>
      <c r="H235" s="266"/>
      <c r="I235" s="266"/>
      <c r="J235" s="266"/>
      <c r="K235" s="266"/>
      <c r="L235" s="266"/>
    </row>
    <row r="236" spans="2:12">
      <c r="B236" s="266"/>
      <c r="C236" s="266"/>
      <c r="D236" s="266"/>
      <c r="E236" s="266"/>
      <c r="F236" s="266"/>
      <c r="G236" s="266"/>
      <c r="H236" s="266"/>
      <c r="I236" s="266"/>
      <c r="J236" s="266"/>
      <c r="K236" s="266"/>
      <c r="L236" s="266"/>
    </row>
    <row r="237" spans="2:12">
      <c r="B237" s="266"/>
      <c r="C237" s="266"/>
      <c r="D237" s="266"/>
      <c r="E237" s="266"/>
      <c r="F237" s="266"/>
      <c r="G237" s="266"/>
      <c r="H237" s="266"/>
      <c r="I237" s="266"/>
      <c r="J237" s="266"/>
      <c r="K237" s="266"/>
      <c r="L237" s="266"/>
    </row>
    <row r="238" spans="2:12">
      <c r="B238" s="266"/>
      <c r="C238" s="266"/>
      <c r="D238" s="266"/>
      <c r="E238" s="266"/>
      <c r="F238" s="266"/>
      <c r="G238" s="266"/>
      <c r="H238" s="266"/>
      <c r="I238" s="266"/>
      <c r="J238" s="266"/>
      <c r="K238" s="266"/>
      <c r="L238" s="266"/>
    </row>
    <row r="239" spans="2:12">
      <c r="B239" s="266"/>
      <c r="C239" s="266"/>
      <c r="D239" s="266"/>
      <c r="E239" s="266"/>
      <c r="F239" s="266"/>
      <c r="G239" s="266"/>
      <c r="H239" s="266"/>
      <c r="I239" s="266"/>
      <c r="J239" s="266"/>
      <c r="K239" s="266"/>
      <c r="L239" s="266"/>
    </row>
    <row r="240" spans="2:12">
      <c r="B240" s="266"/>
      <c r="C240" s="266"/>
      <c r="D240" s="266"/>
      <c r="E240" s="266"/>
      <c r="F240" s="266"/>
      <c r="G240" s="266"/>
      <c r="H240" s="266"/>
      <c r="I240" s="266"/>
      <c r="J240" s="266"/>
      <c r="K240" s="266"/>
      <c r="L240" s="266"/>
    </row>
    <row r="241" spans="2:12">
      <c r="B241" s="266"/>
      <c r="C241" s="266"/>
      <c r="D241" s="266"/>
      <c r="E241" s="266"/>
      <c r="F241" s="266"/>
      <c r="G241" s="266"/>
      <c r="H241" s="266"/>
      <c r="I241" s="266"/>
      <c r="J241" s="266"/>
      <c r="K241" s="266"/>
      <c r="L241" s="266"/>
    </row>
    <row r="242" spans="2:12">
      <c r="B242" s="266"/>
      <c r="C242" s="266"/>
      <c r="D242" s="266"/>
      <c r="E242" s="266"/>
      <c r="F242" s="266"/>
      <c r="G242" s="266"/>
      <c r="H242" s="266"/>
      <c r="I242" s="266"/>
      <c r="J242" s="266"/>
      <c r="K242" s="266"/>
      <c r="L242" s="266"/>
    </row>
    <row r="243" spans="2:12">
      <c r="B243" s="266"/>
      <c r="C243" s="266"/>
      <c r="D243" s="266"/>
      <c r="E243" s="266"/>
      <c r="F243" s="266"/>
      <c r="G243" s="266"/>
      <c r="H243" s="266"/>
      <c r="I243" s="266"/>
      <c r="J243" s="266"/>
      <c r="K243" s="266"/>
      <c r="L243" s="266"/>
    </row>
    <row r="244" spans="2:12">
      <c r="B244" s="266"/>
      <c r="C244" s="266"/>
      <c r="D244" s="266"/>
      <c r="E244" s="266"/>
      <c r="F244" s="266"/>
      <c r="G244" s="266"/>
      <c r="H244" s="266"/>
      <c r="I244" s="266"/>
      <c r="J244" s="266"/>
      <c r="K244" s="266"/>
      <c r="L244" s="266"/>
    </row>
    <row r="245" spans="2:12">
      <c r="B245" s="266"/>
      <c r="C245" s="266"/>
      <c r="D245" s="266"/>
      <c r="E245" s="266"/>
      <c r="F245" s="266"/>
      <c r="G245" s="266"/>
      <c r="H245" s="266"/>
      <c r="I245" s="266"/>
      <c r="J245" s="266"/>
      <c r="K245" s="266"/>
      <c r="L245" s="266"/>
    </row>
    <row r="246" spans="2:12">
      <c r="B246" s="266"/>
      <c r="C246" s="266"/>
      <c r="D246" s="266"/>
      <c r="E246" s="266"/>
      <c r="F246" s="266"/>
      <c r="G246" s="266"/>
      <c r="H246" s="266"/>
      <c r="I246" s="266"/>
      <c r="J246" s="266"/>
      <c r="K246" s="266"/>
      <c r="L246" s="266"/>
    </row>
    <row r="247" spans="2:12">
      <c r="B247" s="266"/>
      <c r="C247" s="266"/>
      <c r="D247" s="266"/>
      <c r="E247" s="266"/>
      <c r="F247" s="266"/>
      <c r="G247" s="266"/>
      <c r="H247" s="266"/>
      <c r="I247" s="266"/>
      <c r="J247" s="266"/>
      <c r="K247" s="266"/>
      <c r="L247" s="266"/>
    </row>
    <row r="248" spans="2:12">
      <c r="B248" s="266"/>
      <c r="C248" s="266"/>
      <c r="D248" s="266"/>
      <c r="E248" s="266"/>
      <c r="F248" s="266"/>
      <c r="G248" s="266"/>
      <c r="H248" s="266"/>
      <c r="I248" s="266"/>
      <c r="J248" s="266"/>
      <c r="K248" s="266"/>
      <c r="L248" s="266"/>
    </row>
    <row r="249" spans="2:12">
      <c r="B249" s="266"/>
      <c r="C249" s="266"/>
      <c r="D249" s="266"/>
      <c r="E249" s="266"/>
      <c r="F249" s="266"/>
      <c r="G249" s="266"/>
      <c r="H249" s="266"/>
      <c r="I249" s="266"/>
      <c r="J249" s="266"/>
      <c r="K249" s="266"/>
      <c r="L249" s="266"/>
    </row>
  </sheetData>
  <mergeCells count="12">
    <mergeCell ref="A5:A6"/>
    <mergeCell ref="A2:J2"/>
    <mergeCell ref="A4:J4"/>
    <mergeCell ref="A14:J14"/>
    <mergeCell ref="A12:J12"/>
    <mergeCell ref="A54:J54"/>
    <mergeCell ref="A55:J55"/>
    <mergeCell ref="A34:C34"/>
    <mergeCell ref="A16:D16"/>
    <mergeCell ref="E16:J16"/>
    <mergeCell ref="A37:J37"/>
    <mergeCell ref="E34:J34"/>
  </mergeCells>
  <pageMargins left="0.7" right="0.7" top="0.86956521739130432" bottom="0.61458333333333337" header="0.3" footer="0.3"/>
  <pageSetup scale="97" orientation="portrait" r:id="rId1"/>
  <headerFooter>
    <oddHeader>&amp;R&amp;7Informe de la Operación Mensual - Julio 2018
INFSGI-MES-07-2018
14/08/2018
Versión: 01</oddHeader>
    <oddFooter>&amp;L&amp;7COES SINAC, 2018
&amp;C17&amp;R&amp;7Dirección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735F-B667-4EC8-A3BD-6AC278BC6178}">
  <sheetPr>
    <tabColor theme="4"/>
  </sheetPr>
  <dimension ref="A3:L56"/>
  <sheetViews>
    <sheetView showGridLines="0" view="pageBreakPreview" topLeftCell="B1" zoomScaleNormal="130" zoomScaleSheetLayoutView="100" zoomScalePageLayoutView="130" workbookViewId="0">
      <selection activeCell="Q29" sqref="Q29"/>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760" t="s">
        <v>0</v>
      </c>
      <c r="B3" s="760"/>
      <c r="C3" s="760"/>
      <c r="D3" s="760"/>
      <c r="E3" s="760"/>
      <c r="F3" s="760"/>
      <c r="G3" s="760"/>
      <c r="H3" s="760"/>
      <c r="I3" s="760"/>
      <c r="J3" s="760"/>
      <c r="K3" s="760"/>
      <c r="L3" s="760"/>
    </row>
    <row r="4" spans="1:12">
      <c r="A4" s="760"/>
      <c r="B4" s="760"/>
      <c r="C4" s="760"/>
      <c r="D4" s="760"/>
      <c r="E4" s="760"/>
      <c r="F4" s="760"/>
      <c r="G4" s="760"/>
      <c r="H4" s="760"/>
      <c r="I4" s="760"/>
      <c r="J4" s="760"/>
      <c r="K4" s="760"/>
      <c r="L4" s="760"/>
    </row>
    <row r="5" spans="1:12" ht="11.4">
      <c r="A5" s="3"/>
      <c r="B5" s="267"/>
      <c r="C5" s="2"/>
      <c r="D5" s="2"/>
      <c r="E5" s="37"/>
      <c r="F5" s="2"/>
      <c r="G5" s="2"/>
      <c r="H5" s="2"/>
      <c r="I5" s="2"/>
      <c r="J5" s="2"/>
      <c r="K5" s="2"/>
      <c r="L5" s="8" t="s">
        <v>1</v>
      </c>
    </row>
    <row r="6" spans="1:12" ht="11.4">
      <c r="A6" s="3"/>
      <c r="B6" s="267"/>
      <c r="C6" s="2"/>
      <c r="D6" s="2"/>
      <c r="E6" s="37"/>
      <c r="F6" s="2"/>
      <c r="G6" s="2"/>
      <c r="H6" s="2"/>
      <c r="I6" s="2"/>
      <c r="J6" s="2"/>
      <c r="K6" s="2"/>
      <c r="L6" s="5"/>
    </row>
    <row r="7" spans="1:12" ht="19.5" customHeight="1">
      <c r="A7" s="20" t="s">
        <v>514</v>
      </c>
      <c r="B7" s="268"/>
      <c r="C7" s="25"/>
      <c r="D7" s="25"/>
      <c r="E7" s="25"/>
      <c r="F7" s="25"/>
      <c r="G7" s="25"/>
      <c r="H7" s="25"/>
      <c r="I7" s="25"/>
      <c r="J7" s="25"/>
      <c r="K7" s="25"/>
      <c r="L7" s="25"/>
    </row>
    <row r="8" spans="1:12" ht="17.25" customHeight="1">
      <c r="A8" s="25"/>
      <c r="B8" s="25" t="s">
        <v>619</v>
      </c>
      <c r="C8" s="23"/>
      <c r="D8" s="23"/>
      <c r="E8" s="23"/>
      <c r="F8" s="23"/>
      <c r="G8" s="23"/>
      <c r="H8" s="23"/>
      <c r="I8" s="23"/>
      <c r="J8" s="21"/>
      <c r="K8" s="21"/>
      <c r="L8" s="24">
        <v>1</v>
      </c>
    </row>
    <row r="9" spans="1:12" ht="9.75" customHeight="1">
      <c r="A9" s="25"/>
      <c r="B9" s="25"/>
      <c r="C9" s="23"/>
      <c r="D9" s="23"/>
      <c r="E9" s="23"/>
      <c r="F9" s="23"/>
      <c r="G9" s="23"/>
      <c r="H9" s="23"/>
      <c r="I9" s="23"/>
      <c r="J9" s="23"/>
      <c r="K9" s="23"/>
      <c r="L9" s="24"/>
    </row>
    <row r="10" spans="1:12" ht="19.5" customHeight="1">
      <c r="A10" s="20" t="s">
        <v>477</v>
      </c>
      <c r="B10" s="269"/>
      <c r="C10" s="25"/>
      <c r="D10" s="25"/>
      <c r="E10" s="25"/>
      <c r="F10" s="25"/>
      <c r="G10" s="25"/>
      <c r="H10" s="25"/>
      <c r="I10" s="25"/>
      <c r="J10" s="25"/>
      <c r="K10" s="25"/>
      <c r="L10" s="22"/>
    </row>
    <row r="11" spans="1:12" ht="19.5" customHeight="1">
      <c r="A11" s="27"/>
      <c r="B11" s="25" t="s">
        <v>251</v>
      </c>
      <c r="C11" s="25"/>
      <c r="D11" s="25"/>
      <c r="E11" s="25"/>
      <c r="F11" s="21"/>
      <c r="G11" s="21"/>
      <c r="H11" s="21"/>
      <c r="I11" s="21"/>
      <c r="J11" s="21"/>
      <c r="K11" s="21"/>
      <c r="L11" s="22" t="s">
        <v>2</v>
      </c>
    </row>
    <row r="12" spans="1:12" ht="19.5" customHeight="1">
      <c r="A12" s="27"/>
      <c r="B12" s="25" t="s">
        <v>489</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504</v>
      </c>
      <c r="B14" s="25"/>
      <c r="C14" s="25"/>
      <c r="D14" s="25"/>
      <c r="E14" s="25"/>
      <c r="F14" s="25"/>
      <c r="G14" s="25"/>
      <c r="H14" s="25"/>
      <c r="I14" s="25"/>
      <c r="J14" s="25"/>
      <c r="K14" s="25"/>
      <c r="L14" s="22"/>
    </row>
    <row r="15" spans="1:12" ht="19.5" customHeight="1">
      <c r="A15" s="27"/>
      <c r="B15" s="25" t="s">
        <v>478</v>
      </c>
      <c r="C15" s="25"/>
      <c r="D15" s="25"/>
      <c r="E15" s="25"/>
      <c r="F15" s="21"/>
      <c r="G15" s="21"/>
      <c r="H15" s="21"/>
      <c r="I15" s="21"/>
      <c r="J15" s="21"/>
      <c r="K15" s="21"/>
      <c r="L15" s="22" t="s">
        <v>3</v>
      </c>
    </row>
    <row r="16" spans="1:12" ht="19.5" customHeight="1">
      <c r="A16" s="27"/>
      <c r="B16" s="25" t="s">
        <v>487</v>
      </c>
      <c r="C16" s="25"/>
      <c r="D16" s="25"/>
      <c r="E16" s="25"/>
      <c r="F16" s="25"/>
      <c r="G16" s="21"/>
      <c r="H16" s="21"/>
      <c r="I16" s="21"/>
      <c r="J16" s="21"/>
      <c r="K16" s="21"/>
      <c r="L16" s="22" t="s">
        <v>4</v>
      </c>
    </row>
    <row r="17" spans="1:12" ht="19.5" customHeight="1">
      <c r="A17" s="27"/>
      <c r="B17" s="25" t="s">
        <v>479</v>
      </c>
      <c r="C17" s="25"/>
      <c r="D17" s="25"/>
      <c r="E17" s="25"/>
      <c r="F17" s="25"/>
      <c r="G17" s="21"/>
      <c r="H17" s="21"/>
      <c r="I17" s="21"/>
      <c r="J17" s="21"/>
      <c r="K17" s="21"/>
      <c r="L17" s="22" t="s">
        <v>5</v>
      </c>
    </row>
    <row r="18" spans="1:12" ht="19.5" customHeight="1">
      <c r="A18" s="27"/>
      <c r="B18" s="25" t="s">
        <v>480</v>
      </c>
      <c r="C18" s="25"/>
      <c r="D18" s="25"/>
      <c r="E18" s="25"/>
      <c r="F18" s="21"/>
      <c r="G18" s="21"/>
      <c r="H18" s="21"/>
      <c r="I18" s="21"/>
      <c r="J18" s="21"/>
      <c r="K18" s="21"/>
      <c r="L18" s="22" t="s">
        <v>6</v>
      </c>
    </row>
    <row r="19" spans="1:12" ht="19.5" customHeight="1">
      <c r="A19" s="27"/>
      <c r="B19" s="25" t="s">
        <v>481</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503</v>
      </c>
      <c r="B21" s="25"/>
      <c r="C21" s="25"/>
      <c r="D21" s="25"/>
      <c r="E21" s="25"/>
      <c r="F21" s="25"/>
      <c r="G21" s="25"/>
      <c r="H21" s="25"/>
      <c r="I21" s="25"/>
      <c r="J21" s="25"/>
      <c r="K21" s="25"/>
      <c r="L21" s="30"/>
    </row>
    <row r="22" spans="1:12" ht="19.5" customHeight="1">
      <c r="A22" s="25"/>
      <c r="B22" s="25" t="s">
        <v>505</v>
      </c>
      <c r="C22" s="25"/>
      <c r="D22" s="25"/>
      <c r="E22" s="25"/>
      <c r="F22" s="25"/>
      <c r="G22" s="21"/>
      <c r="H22" s="21"/>
      <c r="I22" s="21"/>
      <c r="J22" s="21"/>
      <c r="K22" s="21"/>
      <c r="L22" s="22" t="s">
        <v>9</v>
      </c>
    </row>
    <row r="23" spans="1:12" ht="19.5" customHeight="1">
      <c r="A23" s="31"/>
      <c r="B23" s="25" t="s">
        <v>506</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289</v>
      </c>
      <c r="B25" s="25"/>
      <c r="C25" s="25"/>
      <c r="D25" s="25"/>
      <c r="E25" s="25"/>
      <c r="F25" s="25"/>
      <c r="G25" s="25"/>
      <c r="H25" s="25"/>
      <c r="I25" s="25"/>
      <c r="J25" s="25"/>
      <c r="K25" s="25"/>
      <c r="L25" s="30"/>
    </row>
    <row r="26" spans="1:12" ht="19.5" customHeight="1">
      <c r="A26" s="25"/>
      <c r="B26" s="25" t="s">
        <v>508</v>
      </c>
      <c r="C26" s="25"/>
      <c r="D26" s="25"/>
      <c r="E26" s="25"/>
      <c r="F26" s="21"/>
      <c r="G26" s="21"/>
      <c r="H26" s="21"/>
      <c r="I26" s="21"/>
      <c r="J26" s="21"/>
      <c r="K26" s="33"/>
      <c r="L26" s="22" t="s">
        <v>11</v>
      </c>
    </row>
    <row r="27" spans="1:12" ht="19.5" customHeight="1">
      <c r="A27" s="25"/>
      <c r="B27" s="25" t="s">
        <v>482</v>
      </c>
      <c r="C27" s="25"/>
      <c r="D27" s="25"/>
      <c r="E27" s="25"/>
      <c r="F27" s="25"/>
      <c r="G27" s="21"/>
      <c r="H27" s="21"/>
      <c r="I27" s="21"/>
      <c r="J27" s="21"/>
      <c r="K27" s="33"/>
      <c r="L27" s="22" t="s">
        <v>11</v>
      </c>
    </row>
    <row r="28" spans="1:12" ht="19.5" customHeight="1">
      <c r="A28" s="31"/>
      <c r="B28" s="25" t="s">
        <v>507</v>
      </c>
      <c r="C28" s="25"/>
      <c r="D28" s="25"/>
      <c r="E28" s="25"/>
      <c r="F28" s="21"/>
      <c r="G28" s="21"/>
      <c r="H28" s="33"/>
      <c r="I28" s="33"/>
      <c r="J28" s="33"/>
      <c r="K28" s="33"/>
      <c r="L28" s="22" t="s">
        <v>12</v>
      </c>
    </row>
    <row r="29" spans="1:12" ht="19.5" customHeight="1">
      <c r="A29" s="31"/>
      <c r="B29" s="25" t="s">
        <v>488</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495</v>
      </c>
      <c r="B31" s="25"/>
      <c r="C31" s="25"/>
      <c r="D31" s="25"/>
      <c r="E31" s="25"/>
      <c r="F31" s="25"/>
      <c r="G31" s="25"/>
      <c r="H31" s="25"/>
      <c r="I31" s="25"/>
      <c r="J31" s="25"/>
      <c r="K31" s="25"/>
      <c r="L31" s="22"/>
    </row>
    <row r="32" spans="1:12" ht="19.5" customHeight="1">
      <c r="A32" s="31"/>
      <c r="B32" s="25" t="s">
        <v>509</v>
      </c>
      <c r="C32" s="25"/>
      <c r="D32" s="25"/>
      <c r="E32" s="25"/>
      <c r="F32" s="25"/>
      <c r="G32" s="21"/>
      <c r="H32" s="21"/>
      <c r="I32" s="21"/>
      <c r="J32" s="21"/>
      <c r="K32" s="21"/>
      <c r="L32" s="22" t="s">
        <v>13</v>
      </c>
    </row>
    <row r="33" spans="1:12" ht="19.5" customHeight="1">
      <c r="A33" s="31"/>
      <c r="B33" s="25" t="s">
        <v>483</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484</v>
      </c>
      <c r="B35" s="26"/>
      <c r="C35" s="32"/>
      <c r="D35" s="26"/>
      <c r="E35" s="26"/>
      <c r="F35" s="26"/>
      <c r="G35" s="26"/>
      <c r="H35" s="26"/>
      <c r="I35" s="26"/>
      <c r="J35" s="26"/>
      <c r="K35" s="26"/>
      <c r="L35" s="22"/>
    </row>
    <row r="36" spans="1:12" ht="19.5" customHeight="1">
      <c r="A36" s="27"/>
      <c r="B36" s="25" t="s">
        <v>510</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485</v>
      </c>
      <c r="B38" s="35"/>
      <c r="C38" s="25"/>
      <c r="D38" s="25"/>
      <c r="E38" s="25"/>
      <c r="F38" s="25"/>
      <c r="G38" s="25"/>
      <c r="H38" s="25"/>
      <c r="I38" s="25"/>
      <c r="J38" s="25"/>
      <c r="K38" s="25"/>
      <c r="L38" s="38"/>
    </row>
    <row r="39" spans="1:12" ht="19.5" customHeight="1">
      <c r="A39" s="27"/>
      <c r="B39" s="25" t="s">
        <v>486</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226</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511</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EF7A307D-331A-4A98-B391-D9F2CB5EDE46}"/>
    <hyperlink ref="L16" location="Table2!A1" display="Table2!A1" xr:uid="{E6404FB7-85D2-44E2-83F2-EB5669C2CE33}"/>
    <hyperlink ref="L17" location="Table3!A1" display="Table3!A1" xr:uid="{1055BEB9-DD65-4A9F-A258-94C852444247}"/>
    <hyperlink ref="L19" location="Table4!A1" display="Table4!A1" xr:uid="{31C7E96D-1FAA-4F57-B83B-2F9F2D3CB828}"/>
    <hyperlink ref="L22" location="Table5!A1" display="Table5!A1" xr:uid="{35469B94-C409-44E7-A2E1-28A0A6F74E7D}"/>
    <hyperlink ref="L36" location="Table6!A1" display="Table6!A1" xr:uid="{77E25608-FFD3-4595-90A5-D9F3FC8CA19B}"/>
    <hyperlink ref="L23" location="Table5!A1" display="Table5!A1" xr:uid="{E03211D1-9663-4A00-A814-4753AF68170E}"/>
    <hyperlink ref="L26" location="Table5!A1" display="Table5!A1" xr:uid="{A333BB67-48E0-4C19-A204-535D64526A98}"/>
    <hyperlink ref="L28" location="Table5!A1" display="Table5!A1" xr:uid="{5D321501-6A96-4765-9594-5B1A16DA2887}"/>
    <hyperlink ref="L32" location="Table5!A1" display="Table5!A1" xr:uid="{069EA9F3-8D1E-4C06-B121-F310E280745B}"/>
    <hyperlink ref="L11" location="Table1!A1" display="Table1!A1" xr:uid="{C9FD1813-F1F4-4CDD-BF1D-7C6D0CB34064}"/>
    <hyperlink ref="L42" location="'Principles and Definitions'!A1" display="ii" xr:uid="{DC72B0F8-7BED-4535-A37F-C990FED4BF9D}"/>
    <hyperlink ref="L43" location="'Principles and Definitions'!A1" display="ii" xr:uid="{5A0D0925-BBB5-4C94-BADF-B95E1BEC5180}"/>
    <hyperlink ref="L44" location="'Principles and Definitions'!A1" display="ii" xr:uid="{BB884647-44F1-4A41-8415-1FE4771FBFE5}"/>
    <hyperlink ref="L29" location="Table5!A1" display="Table5!A1" xr:uid="{D85DFFEB-8369-4901-908E-1250AAE3ACA6}"/>
    <hyperlink ref="L33" location="Table5!A1" display="Table5!A1" xr:uid="{0DA2B7B7-5DAE-4265-9065-9297344895AE}"/>
  </hyperlinks>
  <pageMargins left="0.5803571428571429" right="0.38690476190476192" top="0.5803571428571429" bottom="0.52083333333333337" header="0.3" footer="0.3"/>
  <pageSetup scale="96"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BED6-562D-4B0B-8226-D6E91D4875EB}">
  <sheetPr>
    <tabColor theme="4"/>
  </sheetPr>
  <dimension ref="A1:L161"/>
  <sheetViews>
    <sheetView showGridLines="0" view="pageBreakPreview" zoomScale="145" zoomScaleNormal="100" zoomScaleSheetLayoutView="145" zoomScalePageLayoutView="145" workbookViewId="0">
      <selection activeCell="Q29" sqref="Q29"/>
    </sheetView>
  </sheetViews>
  <sheetFormatPr baseColWidth="10" defaultColWidth="9.28515625" defaultRowHeight="10.199999999999999"/>
  <cols>
    <col min="1" max="1" width="21.85546875" customWidth="1"/>
    <col min="2" max="2" width="20.85546875" customWidth="1"/>
    <col min="3" max="3" width="15.85546875" customWidth="1"/>
    <col min="4" max="4" width="17" customWidth="1"/>
    <col min="5" max="5" width="13.42578125" customWidth="1"/>
    <col min="6" max="6" width="13.85546875" customWidth="1"/>
    <col min="7" max="7" width="14.42578125" customWidth="1"/>
    <col min="10" max="11" width="9.28515625" customWidth="1"/>
  </cols>
  <sheetData>
    <row r="1" spans="1:12" ht="11.25" customHeight="1">
      <c r="A1" s="385" t="s">
        <v>316</v>
      </c>
      <c r="B1" s="370"/>
      <c r="C1" s="370"/>
      <c r="D1" s="370"/>
      <c r="E1" s="370"/>
      <c r="F1" s="370"/>
      <c r="G1" s="370"/>
    </row>
    <row r="2" spans="1:12" ht="14.25" customHeight="1">
      <c r="A2" s="857" t="s">
        <v>286</v>
      </c>
      <c r="B2" s="860" t="s">
        <v>57</v>
      </c>
      <c r="C2" s="863" t="str">
        <f>"ENERGÍA PRODUCIDA "&amp;UPPER('1. Resumen'!Q4)&amp;" "&amp;'1. Resumen'!Q5</f>
        <v>ENERGÍA PRODUCIDA JULIO 2018</v>
      </c>
      <c r="D2" s="863"/>
      <c r="E2" s="863"/>
      <c r="F2" s="863"/>
      <c r="G2" s="386" t="s">
        <v>317</v>
      </c>
      <c r="H2" s="244"/>
      <c r="I2" s="244"/>
      <c r="J2" s="244"/>
      <c r="K2" s="244"/>
    </row>
    <row r="3" spans="1:12" ht="11.25" customHeight="1">
      <c r="A3" s="858"/>
      <c r="B3" s="861"/>
      <c r="C3" s="864" t="s">
        <v>318</v>
      </c>
      <c r="D3" s="864"/>
      <c r="E3" s="864"/>
      <c r="F3" s="865" t="str">
        <f>"TOTAL 
"&amp;UPPER('1. Resumen'!Q4)</f>
        <v>TOTAL 
JULIO</v>
      </c>
      <c r="G3" s="387" t="s">
        <v>319</v>
      </c>
      <c r="H3" s="235"/>
      <c r="I3" s="235"/>
      <c r="J3" s="235"/>
      <c r="K3" s="235"/>
      <c r="L3" s="36"/>
    </row>
    <row r="4" spans="1:12" ht="12.75" customHeight="1">
      <c r="A4" s="858"/>
      <c r="B4" s="861"/>
      <c r="C4" s="371" t="s">
        <v>240</v>
      </c>
      <c r="D4" s="371" t="s">
        <v>241</v>
      </c>
      <c r="E4" s="371" t="s">
        <v>320</v>
      </c>
      <c r="F4" s="866"/>
      <c r="G4" s="387">
        <v>2018</v>
      </c>
      <c r="H4" s="237"/>
      <c r="I4" s="236"/>
      <c r="J4" s="236"/>
      <c r="K4" s="236"/>
      <c r="L4" s="36"/>
    </row>
    <row r="5" spans="1:12" ht="11.25" customHeight="1">
      <c r="A5" s="859"/>
      <c r="B5" s="862"/>
      <c r="C5" s="388" t="s">
        <v>321</v>
      </c>
      <c r="D5" s="388" t="s">
        <v>321</v>
      </c>
      <c r="E5" s="388" t="s">
        <v>321</v>
      </c>
      <c r="F5" s="388" t="s">
        <v>321</v>
      </c>
      <c r="G5" s="389" t="s">
        <v>223</v>
      </c>
      <c r="H5" s="237"/>
      <c r="I5" s="237"/>
      <c r="J5" s="237"/>
      <c r="K5" s="237"/>
      <c r="L5" s="8"/>
    </row>
    <row r="6" spans="1:12" ht="11.25" customHeight="1">
      <c r="A6" s="380" t="s">
        <v>127</v>
      </c>
      <c r="B6" s="372" t="s">
        <v>91</v>
      </c>
      <c r="C6" s="373"/>
      <c r="D6" s="373"/>
      <c r="E6" s="373">
        <v>0</v>
      </c>
      <c r="F6" s="373">
        <v>0</v>
      </c>
      <c r="G6" s="374">
        <v>0</v>
      </c>
      <c r="H6" s="237"/>
      <c r="I6" s="237"/>
      <c r="J6" s="237"/>
      <c r="K6" s="237"/>
      <c r="L6" s="5"/>
    </row>
    <row r="7" spans="1:12" ht="11.25" customHeight="1">
      <c r="A7" s="381" t="s">
        <v>322</v>
      </c>
      <c r="B7" s="382"/>
      <c r="C7" s="383"/>
      <c r="D7" s="383"/>
      <c r="E7" s="383">
        <v>0</v>
      </c>
      <c r="F7" s="383">
        <v>0</v>
      </c>
      <c r="G7" s="384">
        <v>0</v>
      </c>
      <c r="H7" s="237"/>
      <c r="I7" s="237"/>
      <c r="J7" s="237"/>
      <c r="K7" s="237"/>
      <c r="L7" s="15"/>
    </row>
    <row r="8" spans="1:12" ht="11.25" customHeight="1">
      <c r="A8" s="375" t="s">
        <v>126</v>
      </c>
      <c r="B8" s="376" t="s">
        <v>66</v>
      </c>
      <c r="C8" s="377"/>
      <c r="D8" s="377"/>
      <c r="E8" s="377">
        <v>3054.7518500000001</v>
      </c>
      <c r="F8" s="377">
        <v>3054.7518500000001</v>
      </c>
      <c r="G8" s="378">
        <v>67278.840407500014</v>
      </c>
      <c r="H8" s="237"/>
      <c r="I8" s="237"/>
      <c r="J8" s="237"/>
      <c r="K8" s="237"/>
      <c r="L8" s="12"/>
    </row>
    <row r="9" spans="1:12" ht="11.25" customHeight="1">
      <c r="A9" s="381" t="s">
        <v>323</v>
      </c>
      <c r="B9" s="382"/>
      <c r="C9" s="383"/>
      <c r="D9" s="383"/>
      <c r="E9" s="383">
        <v>3054.7518500000001</v>
      </c>
      <c r="F9" s="383">
        <v>3054.7518500000001</v>
      </c>
      <c r="G9" s="384">
        <v>67278.840407500014</v>
      </c>
      <c r="H9" s="237"/>
      <c r="I9" s="237"/>
      <c r="J9" s="237"/>
      <c r="K9" s="238"/>
      <c r="L9" s="22"/>
    </row>
    <row r="10" spans="1:12" ht="11.25" customHeight="1">
      <c r="A10" s="375" t="s">
        <v>111</v>
      </c>
      <c r="B10" s="376" t="s">
        <v>88</v>
      </c>
      <c r="C10" s="377"/>
      <c r="D10" s="377"/>
      <c r="E10" s="377">
        <v>8119.1125700000002</v>
      </c>
      <c r="F10" s="377">
        <v>8119.1125700000002</v>
      </c>
      <c r="G10" s="378">
        <v>50502.784532500002</v>
      </c>
      <c r="H10" s="237"/>
      <c r="I10" s="237"/>
      <c r="J10" s="237"/>
      <c r="K10" s="238"/>
      <c r="L10" s="22"/>
    </row>
    <row r="11" spans="1:12" ht="11.25" customHeight="1">
      <c r="A11" s="381" t="s">
        <v>324</v>
      </c>
      <c r="B11" s="382"/>
      <c r="C11" s="383"/>
      <c r="D11" s="383"/>
      <c r="E11" s="383">
        <v>8119.1125700000002</v>
      </c>
      <c r="F11" s="383">
        <v>8119.1125700000002</v>
      </c>
      <c r="G11" s="384">
        <v>50502.784532500002</v>
      </c>
      <c r="H11" s="237"/>
      <c r="I11" s="237"/>
      <c r="J11" s="237"/>
      <c r="K11" s="238"/>
      <c r="L11" s="22"/>
    </row>
    <row r="12" spans="1:12" ht="11.25" customHeight="1">
      <c r="A12" s="375" t="s">
        <v>99</v>
      </c>
      <c r="B12" s="376" t="s">
        <v>325</v>
      </c>
      <c r="C12" s="377">
        <v>63459.608374999996</v>
      </c>
      <c r="D12" s="377"/>
      <c r="E12" s="377"/>
      <c r="F12" s="377">
        <v>63459.608374999996</v>
      </c>
      <c r="G12" s="378">
        <v>840415.15162999998</v>
      </c>
      <c r="H12" s="237"/>
      <c r="I12" s="237"/>
      <c r="J12" s="237"/>
      <c r="K12" s="238"/>
      <c r="L12" s="22"/>
    </row>
    <row r="13" spans="1:12" ht="11.25" customHeight="1">
      <c r="A13" s="381" t="s">
        <v>326</v>
      </c>
      <c r="B13" s="382"/>
      <c r="C13" s="383">
        <v>63459.608374999996</v>
      </c>
      <c r="D13" s="383"/>
      <c r="E13" s="383"/>
      <c r="F13" s="383">
        <v>63459.608374999996</v>
      </c>
      <c r="G13" s="384">
        <v>840415.15162999998</v>
      </c>
      <c r="H13" s="237"/>
      <c r="I13" s="237"/>
      <c r="J13" s="237"/>
      <c r="K13" s="238"/>
      <c r="L13" s="24"/>
    </row>
    <row r="14" spans="1:12" ht="11.25" customHeight="1">
      <c r="A14" s="379" t="s">
        <v>269</v>
      </c>
      <c r="B14" s="376" t="s">
        <v>327</v>
      </c>
      <c r="C14" s="377"/>
      <c r="D14" s="377">
        <v>0</v>
      </c>
      <c r="E14" s="377"/>
      <c r="F14" s="377">
        <v>0</v>
      </c>
      <c r="G14" s="378">
        <v>424.5852625</v>
      </c>
      <c r="H14" s="237"/>
      <c r="I14" s="237"/>
      <c r="J14" s="237"/>
      <c r="K14" s="238"/>
      <c r="L14" s="22"/>
    </row>
    <row r="15" spans="1:12" ht="11.25" customHeight="1">
      <c r="A15" s="381" t="s">
        <v>328</v>
      </c>
      <c r="B15" s="382"/>
      <c r="C15" s="383"/>
      <c r="D15" s="383">
        <v>0</v>
      </c>
      <c r="E15" s="383"/>
      <c r="F15" s="383">
        <v>0</v>
      </c>
      <c r="G15" s="384">
        <v>424.5852625</v>
      </c>
      <c r="H15" s="237"/>
      <c r="I15" s="237"/>
      <c r="J15" s="237"/>
      <c r="K15" s="238"/>
      <c r="L15" s="22"/>
    </row>
    <row r="16" spans="1:12" ht="11.25" customHeight="1">
      <c r="A16" s="379" t="s">
        <v>98</v>
      </c>
      <c r="B16" s="376" t="s">
        <v>329</v>
      </c>
      <c r="C16" s="377">
        <v>57161.519329999996</v>
      </c>
      <c r="D16" s="377"/>
      <c r="E16" s="377"/>
      <c r="F16" s="377">
        <v>57161.519329999996</v>
      </c>
      <c r="G16" s="378">
        <v>606505.58787249995</v>
      </c>
      <c r="H16" s="237"/>
      <c r="I16" s="237"/>
      <c r="J16" s="237"/>
      <c r="K16" s="238"/>
      <c r="L16" s="22"/>
    </row>
    <row r="17" spans="1:12" ht="11.25" customHeight="1">
      <c r="A17" s="379"/>
      <c r="B17" s="376" t="s">
        <v>330</v>
      </c>
      <c r="C17" s="377">
        <v>16650.266877499998</v>
      </c>
      <c r="D17" s="377"/>
      <c r="E17" s="377"/>
      <c r="F17" s="377">
        <v>16650.266877499998</v>
      </c>
      <c r="G17" s="378">
        <v>176011.24345749998</v>
      </c>
      <c r="H17" s="237"/>
      <c r="I17" s="237"/>
      <c r="J17" s="237"/>
      <c r="K17" s="238"/>
      <c r="L17" s="30"/>
    </row>
    <row r="18" spans="1:12" ht="11.25" customHeight="1">
      <c r="A18" s="381" t="s">
        <v>331</v>
      </c>
      <c r="B18" s="382"/>
      <c r="C18" s="383">
        <v>73811.786207500001</v>
      </c>
      <c r="D18" s="383"/>
      <c r="E18" s="383"/>
      <c r="F18" s="383">
        <v>73811.786207500001</v>
      </c>
      <c r="G18" s="384">
        <v>782516.83132999996</v>
      </c>
      <c r="H18" s="237"/>
      <c r="I18" s="237"/>
      <c r="J18" s="237"/>
      <c r="K18" s="238"/>
      <c r="L18" s="22"/>
    </row>
    <row r="19" spans="1:12" ht="11.25" customHeight="1">
      <c r="A19" s="379" t="s">
        <v>96</v>
      </c>
      <c r="B19" s="376" t="s">
        <v>332</v>
      </c>
      <c r="C19" s="377">
        <v>1229.4427224999999</v>
      </c>
      <c r="D19" s="377"/>
      <c r="E19" s="377"/>
      <c r="F19" s="377">
        <v>1229.4427224999999</v>
      </c>
      <c r="G19" s="378">
        <v>7922.579205</v>
      </c>
      <c r="H19" s="237"/>
      <c r="I19" s="237"/>
      <c r="J19" s="237"/>
      <c r="K19" s="237"/>
      <c r="L19" s="16"/>
    </row>
    <row r="20" spans="1:12" ht="11.25" customHeight="1">
      <c r="A20" s="379"/>
      <c r="B20" s="376" t="s">
        <v>333</v>
      </c>
      <c r="C20" s="377">
        <v>423.79267999999996</v>
      </c>
      <c r="D20" s="377"/>
      <c r="E20" s="377"/>
      <c r="F20" s="377">
        <v>423.79267999999996</v>
      </c>
      <c r="G20" s="378">
        <v>2870.4884399999996</v>
      </c>
      <c r="H20" s="237"/>
      <c r="I20" s="237"/>
      <c r="J20" s="237"/>
      <c r="K20" s="237"/>
      <c r="L20" s="15"/>
    </row>
    <row r="21" spans="1:12" ht="11.25" customHeight="1">
      <c r="A21" s="379"/>
      <c r="B21" s="376" t="s">
        <v>334</v>
      </c>
      <c r="C21" s="377">
        <v>3336.8612674999999</v>
      </c>
      <c r="D21" s="377"/>
      <c r="E21" s="377"/>
      <c r="F21" s="377">
        <v>3336.8612674999999</v>
      </c>
      <c r="G21" s="378">
        <v>22777.733752500004</v>
      </c>
      <c r="H21" s="237"/>
      <c r="I21" s="237"/>
      <c r="J21" s="237"/>
      <c r="K21" s="237"/>
      <c r="L21" s="15"/>
    </row>
    <row r="22" spans="1:12" ht="11.25" customHeight="1">
      <c r="A22" s="379"/>
      <c r="B22" s="376" t="s">
        <v>335</v>
      </c>
      <c r="C22" s="377">
        <v>8903.4354225000006</v>
      </c>
      <c r="D22" s="377"/>
      <c r="E22" s="377"/>
      <c r="F22" s="377">
        <v>8903.4354225000006</v>
      </c>
      <c r="G22" s="378">
        <v>63886.153622500002</v>
      </c>
      <c r="H22" s="237"/>
      <c r="I22" s="237"/>
      <c r="J22" s="237"/>
      <c r="K22" s="238"/>
      <c r="L22" s="22"/>
    </row>
    <row r="23" spans="1:12" ht="11.25" customHeight="1">
      <c r="A23" s="379"/>
      <c r="B23" s="376" t="s">
        <v>336</v>
      </c>
      <c r="C23" s="377">
        <v>54752.706847499998</v>
      </c>
      <c r="D23" s="377"/>
      <c r="E23" s="377"/>
      <c r="F23" s="377">
        <v>54752.706847499998</v>
      </c>
      <c r="G23" s="378">
        <v>443913.95082499995</v>
      </c>
      <c r="H23" s="237"/>
      <c r="I23" s="237"/>
      <c r="J23" s="237"/>
      <c r="K23" s="238"/>
      <c r="L23" s="22"/>
    </row>
    <row r="24" spans="1:12" ht="11.25" customHeight="1">
      <c r="A24" s="379"/>
      <c r="B24" s="376" t="s">
        <v>337</v>
      </c>
      <c r="C24" s="377">
        <v>5497.7487775</v>
      </c>
      <c r="D24" s="377"/>
      <c r="E24" s="377"/>
      <c r="F24" s="377">
        <v>5497.7487775</v>
      </c>
      <c r="G24" s="378">
        <v>38778.876485000001</v>
      </c>
      <c r="H24" s="237"/>
      <c r="I24" s="237"/>
      <c r="J24" s="237"/>
      <c r="K24" s="238"/>
      <c r="L24" s="22"/>
    </row>
    <row r="25" spans="1:12" ht="11.25" customHeight="1">
      <c r="A25" s="379"/>
      <c r="B25" s="376" t="s">
        <v>338</v>
      </c>
      <c r="C25" s="377"/>
      <c r="D25" s="377">
        <v>103.41664499999999</v>
      </c>
      <c r="E25" s="377"/>
      <c r="F25" s="377">
        <v>103.41664499999999</v>
      </c>
      <c r="G25" s="378">
        <v>688.28702250000003</v>
      </c>
      <c r="H25" s="237"/>
      <c r="I25" s="237"/>
      <c r="J25" s="237"/>
      <c r="K25" s="239"/>
      <c r="L25" s="22"/>
    </row>
    <row r="26" spans="1:12" ht="11.25" customHeight="1">
      <c r="A26" s="379"/>
      <c r="B26" s="376" t="s">
        <v>339</v>
      </c>
      <c r="C26" s="377"/>
      <c r="D26" s="377">
        <v>157.20749000000001</v>
      </c>
      <c r="E26" s="377"/>
      <c r="F26" s="377">
        <v>157.20749000000001</v>
      </c>
      <c r="G26" s="378">
        <v>408.61432750000006</v>
      </c>
      <c r="H26" s="237"/>
      <c r="I26" s="237"/>
      <c r="J26" s="237"/>
      <c r="K26" s="239"/>
      <c r="L26" s="22"/>
    </row>
    <row r="27" spans="1:12" ht="11.25" customHeight="1">
      <c r="A27" s="379"/>
      <c r="B27" s="376" t="s">
        <v>340</v>
      </c>
      <c r="C27" s="377"/>
      <c r="D27" s="377">
        <v>1318.9611599999998</v>
      </c>
      <c r="E27" s="377"/>
      <c r="F27" s="377">
        <v>1318.9611599999998</v>
      </c>
      <c r="G27" s="378">
        <v>60165.495249999993</v>
      </c>
      <c r="H27" s="237"/>
      <c r="I27" s="237"/>
      <c r="J27" s="237"/>
      <c r="K27" s="239"/>
      <c r="L27" s="22"/>
    </row>
    <row r="28" spans="1:12" ht="11.25" customHeight="1">
      <c r="A28" s="381" t="s">
        <v>341</v>
      </c>
      <c r="B28" s="382"/>
      <c r="C28" s="383">
        <v>74143.9877175</v>
      </c>
      <c r="D28" s="383">
        <v>1579.5852949999999</v>
      </c>
      <c r="E28" s="383"/>
      <c r="F28" s="383">
        <v>75723.573012500012</v>
      </c>
      <c r="G28" s="384">
        <v>641412.17892999994</v>
      </c>
      <c r="H28" s="237"/>
      <c r="I28" s="237"/>
      <c r="J28" s="237"/>
      <c r="K28" s="239"/>
      <c r="L28" s="22"/>
    </row>
    <row r="29" spans="1:12" ht="11.25" customHeight="1">
      <c r="A29" s="379" t="s">
        <v>119</v>
      </c>
      <c r="B29" s="376" t="s">
        <v>73</v>
      </c>
      <c r="C29" s="377"/>
      <c r="D29" s="377"/>
      <c r="E29" s="377">
        <v>1808.3924999999999</v>
      </c>
      <c r="F29" s="377">
        <v>1808.3924999999999</v>
      </c>
      <c r="G29" s="378">
        <v>20758.268249999997</v>
      </c>
      <c r="H29" s="237"/>
      <c r="I29" s="237"/>
      <c r="J29" s="237"/>
      <c r="K29" s="239"/>
      <c r="L29" s="22"/>
    </row>
    <row r="30" spans="1:12" ht="11.25" customHeight="1">
      <c r="A30" s="381" t="s">
        <v>342</v>
      </c>
      <c r="B30" s="382"/>
      <c r="C30" s="383"/>
      <c r="D30" s="383"/>
      <c r="E30" s="383">
        <v>1808.3924999999999</v>
      </c>
      <c r="F30" s="383">
        <v>1808.3924999999999</v>
      </c>
      <c r="G30" s="384">
        <v>20758.268249999997</v>
      </c>
      <c r="H30" s="237"/>
      <c r="I30" s="237"/>
      <c r="J30" s="237"/>
      <c r="K30" s="239"/>
      <c r="L30" s="22"/>
    </row>
    <row r="31" spans="1:12" ht="11.25" customHeight="1">
      <c r="A31" s="379" t="s">
        <v>97</v>
      </c>
      <c r="B31" s="376" t="s">
        <v>343</v>
      </c>
      <c r="C31" s="377">
        <v>95862.467440000008</v>
      </c>
      <c r="D31" s="377"/>
      <c r="E31" s="377"/>
      <c r="F31" s="377">
        <v>95862.467440000008</v>
      </c>
      <c r="G31" s="378">
        <v>789591.21270250005</v>
      </c>
      <c r="H31" s="237"/>
      <c r="I31" s="237"/>
      <c r="J31" s="237"/>
      <c r="K31" s="239"/>
      <c r="L31" s="22"/>
    </row>
    <row r="32" spans="1:12" ht="11.25" customHeight="1">
      <c r="A32" s="381" t="s">
        <v>344</v>
      </c>
      <c r="B32" s="382"/>
      <c r="C32" s="383">
        <v>95862.467440000008</v>
      </c>
      <c r="D32" s="383"/>
      <c r="E32" s="383"/>
      <c r="F32" s="383">
        <v>95862.467440000008</v>
      </c>
      <c r="G32" s="384">
        <v>789591.21270250005</v>
      </c>
      <c r="H32" s="237"/>
      <c r="I32" s="237"/>
      <c r="J32" s="237"/>
      <c r="K32" s="239"/>
      <c r="L32" s="38"/>
    </row>
    <row r="33" spans="1:12" ht="11.25" customHeight="1">
      <c r="A33" s="379" t="s">
        <v>106</v>
      </c>
      <c r="B33" s="376" t="s">
        <v>345</v>
      </c>
      <c r="C33" s="377">
        <v>6019.4984999999997</v>
      </c>
      <c r="D33" s="377"/>
      <c r="E33" s="377"/>
      <c r="F33" s="377">
        <v>6019.4984999999997</v>
      </c>
      <c r="G33" s="378">
        <v>39023.915999999997</v>
      </c>
      <c r="H33" s="237"/>
      <c r="I33" s="237"/>
      <c r="J33" s="237"/>
      <c r="K33" s="239"/>
      <c r="L33" s="22"/>
    </row>
    <row r="34" spans="1:12" ht="11.25" customHeight="1">
      <c r="A34" s="379"/>
      <c r="B34" s="376" t="s">
        <v>346</v>
      </c>
      <c r="C34" s="377">
        <v>4073.0414999999998</v>
      </c>
      <c r="D34" s="377"/>
      <c r="E34" s="377"/>
      <c r="F34" s="377">
        <v>4073.0414999999998</v>
      </c>
      <c r="G34" s="378">
        <v>26437.460312499999</v>
      </c>
      <c r="H34" s="237"/>
      <c r="I34" s="237"/>
      <c r="J34" s="237"/>
      <c r="K34" s="239"/>
      <c r="L34" s="22"/>
    </row>
    <row r="35" spans="1:12" ht="11.25" customHeight="1">
      <c r="A35" s="379"/>
      <c r="B35" s="376" t="s">
        <v>347</v>
      </c>
      <c r="C35" s="377"/>
      <c r="D35" s="377">
        <v>13473.05862</v>
      </c>
      <c r="E35" s="377"/>
      <c r="F35" s="377">
        <v>13473.05862</v>
      </c>
      <c r="G35" s="378">
        <v>79221.126462500004</v>
      </c>
      <c r="H35" s="237"/>
      <c r="I35" s="237"/>
      <c r="J35" s="237"/>
      <c r="K35" s="239"/>
      <c r="L35" s="22"/>
    </row>
    <row r="36" spans="1:12" ht="11.25" customHeight="1">
      <c r="A36" s="381" t="s">
        <v>348</v>
      </c>
      <c r="B36" s="382"/>
      <c r="C36" s="383">
        <v>10092.539999999999</v>
      </c>
      <c r="D36" s="383">
        <v>13473.05862</v>
      </c>
      <c r="E36" s="383"/>
      <c r="F36" s="383">
        <v>23565.598619999997</v>
      </c>
      <c r="G36" s="384">
        <v>144682.502775</v>
      </c>
      <c r="H36" s="237"/>
      <c r="I36" s="237"/>
      <c r="J36" s="237"/>
      <c r="K36" s="239"/>
      <c r="L36" s="22"/>
    </row>
    <row r="37" spans="1:12" ht="11.25" customHeight="1">
      <c r="A37" s="379" t="s">
        <v>124</v>
      </c>
      <c r="B37" s="376" t="s">
        <v>78</v>
      </c>
      <c r="C37" s="377"/>
      <c r="D37" s="377"/>
      <c r="E37" s="377">
        <v>101.2069175</v>
      </c>
      <c r="F37" s="377">
        <v>101.2069175</v>
      </c>
      <c r="G37" s="378">
        <v>1542.2779049999999</v>
      </c>
      <c r="H37" s="237"/>
      <c r="I37" s="237"/>
      <c r="J37" s="237"/>
      <c r="K37" s="239"/>
      <c r="L37" s="22"/>
    </row>
    <row r="38" spans="1:12" ht="11.25" customHeight="1">
      <c r="A38" s="381" t="s">
        <v>349</v>
      </c>
      <c r="B38" s="382"/>
      <c r="C38" s="383"/>
      <c r="D38" s="383"/>
      <c r="E38" s="383">
        <v>101.2069175</v>
      </c>
      <c r="F38" s="383">
        <v>101.2069175</v>
      </c>
      <c r="G38" s="384">
        <v>1542.2779049999999</v>
      </c>
      <c r="H38" s="237"/>
      <c r="I38" s="237"/>
      <c r="J38" s="237"/>
      <c r="K38" s="239"/>
      <c r="L38" s="22"/>
    </row>
    <row r="39" spans="1:12" ht="11.25" customHeight="1">
      <c r="A39" s="379" t="s">
        <v>120</v>
      </c>
      <c r="B39" s="376" t="s">
        <v>76</v>
      </c>
      <c r="C39" s="377"/>
      <c r="D39" s="377"/>
      <c r="E39" s="377">
        <v>1738.023295</v>
      </c>
      <c r="F39" s="377">
        <v>1738.023295</v>
      </c>
      <c r="G39" s="378">
        <v>15733.596870000001</v>
      </c>
      <c r="H39" s="237"/>
      <c r="I39" s="237"/>
      <c r="J39" s="237"/>
      <c r="K39" s="240"/>
      <c r="L39" s="11"/>
    </row>
    <row r="40" spans="1:12" ht="11.25" customHeight="1">
      <c r="A40" s="381" t="s">
        <v>350</v>
      </c>
      <c r="B40" s="382"/>
      <c r="C40" s="383"/>
      <c r="D40" s="383"/>
      <c r="E40" s="383">
        <v>1738.023295</v>
      </c>
      <c r="F40" s="383">
        <v>1738.023295</v>
      </c>
      <c r="G40" s="384">
        <v>15733.596870000001</v>
      </c>
      <c r="H40" s="237"/>
      <c r="I40" s="237"/>
      <c r="J40" s="237"/>
      <c r="K40" s="240"/>
      <c r="L40" s="11"/>
    </row>
    <row r="41" spans="1:12" ht="11.25" customHeight="1">
      <c r="A41" s="379" t="s">
        <v>94</v>
      </c>
      <c r="B41" s="376" t="s">
        <v>351</v>
      </c>
      <c r="C41" s="377">
        <v>468635.85600000003</v>
      </c>
      <c r="D41" s="377"/>
      <c r="E41" s="377"/>
      <c r="F41" s="377">
        <v>468635.85600000003</v>
      </c>
      <c r="G41" s="378">
        <v>3039540.9558000001</v>
      </c>
      <c r="H41" s="237"/>
      <c r="I41" s="237"/>
      <c r="J41" s="237"/>
      <c r="K41" s="240"/>
      <c r="L41" s="11"/>
    </row>
    <row r="42" spans="1:12" ht="11.25" customHeight="1">
      <c r="A42" s="379"/>
      <c r="B42" s="376" t="s">
        <v>352</v>
      </c>
      <c r="C42" s="377">
        <v>147611.96496000001</v>
      </c>
      <c r="D42" s="377"/>
      <c r="E42" s="377"/>
      <c r="F42" s="377">
        <v>147611.96496000001</v>
      </c>
      <c r="G42" s="378">
        <v>949167.12432000006</v>
      </c>
      <c r="H42" s="237"/>
      <c r="I42" s="237"/>
      <c r="J42" s="237"/>
      <c r="K42" s="239"/>
    </row>
    <row r="43" spans="1:12" ht="11.25" customHeight="1">
      <c r="A43" s="379"/>
      <c r="B43" s="376" t="s">
        <v>353</v>
      </c>
      <c r="C43" s="377"/>
      <c r="D43" s="377">
        <v>569.92320749999999</v>
      </c>
      <c r="E43" s="377"/>
      <c r="F43" s="377">
        <v>569.92320749999999</v>
      </c>
      <c r="G43" s="378">
        <v>1992.92362</v>
      </c>
      <c r="H43" s="237"/>
      <c r="I43" s="237"/>
      <c r="J43" s="237"/>
      <c r="K43" s="239"/>
    </row>
    <row r="44" spans="1:12" ht="13.2">
      <c r="A44" s="381" t="s">
        <v>354</v>
      </c>
      <c r="B44" s="382"/>
      <c r="C44" s="383">
        <v>616247.82096000004</v>
      </c>
      <c r="D44" s="383">
        <v>569.92320749999999</v>
      </c>
      <c r="E44" s="383"/>
      <c r="F44" s="383">
        <v>616817.74416750006</v>
      </c>
      <c r="G44" s="384">
        <v>3990701.0037400001</v>
      </c>
      <c r="H44" s="237"/>
      <c r="I44" s="237"/>
      <c r="J44" s="237"/>
      <c r="K44" s="239"/>
    </row>
    <row r="45" spans="1:12" ht="13.2">
      <c r="A45" s="379" t="s">
        <v>270</v>
      </c>
      <c r="B45" s="376" t="s">
        <v>355</v>
      </c>
      <c r="C45" s="377">
        <v>76458.960017499994</v>
      </c>
      <c r="D45" s="377"/>
      <c r="E45" s="377"/>
      <c r="F45" s="377">
        <v>76458.960017499994</v>
      </c>
      <c r="G45" s="378">
        <v>1589573.1939475001</v>
      </c>
      <c r="H45" s="237"/>
      <c r="I45" s="237"/>
      <c r="J45" s="237"/>
      <c r="K45" s="239"/>
    </row>
    <row r="46" spans="1:12" ht="13.2">
      <c r="A46" s="379"/>
      <c r="B46" s="376" t="s">
        <v>356</v>
      </c>
      <c r="C46" s="377">
        <v>4546.5212675000002</v>
      </c>
      <c r="D46" s="377"/>
      <c r="E46" s="377"/>
      <c r="F46" s="377">
        <v>4546.5212675000002</v>
      </c>
      <c r="G46" s="378">
        <v>26058.013362500002</v>
      </c>
      <c r="H46" s="237"/>
      <c r="I46" s="237"/>
      <c r="J46" s="237"/>
      <c r="K46" s="239"/>
    </row>
    <row r="47" spans="1:12" ht="13.2">
      <c r="A47" s="381" t="s">
        <v>357</v>
      </c>
      <c r="B47" s="382"/>
      <c r="C47" s="383">
        <v>81005.481284999987</v>
      </c>
      <c r="D47" s="383"/>
      <c r="E47" s="383"/>
      <c r="F47" s="383">
        <v>81005.481284999987</v>
      </c>
      <c r="G47" s="384">
        <v>1615631.20731</v>
      </c>
      <c r="H47" s="237"/>
      <c r="I47" s="237"/>
      <c r="J47" s="237"/>
      <c r="K47" s="239"/>
    </row>
    <row r="48" spans="1:12" ht="13.2">
      <c r="A48" s="379" t="s">
        <v>271</v>
      </c>
      <c r="B48" s="376" t="s">
        <v>358</v>
      </c>
      <c r="C48" s="377">
        <v>40029.000622499996</v>
      </c>
      <c r="D48" s="377"/>
      <c r="E48" s="377"/>
      <c r="F48" s="377">
        <v>40029.000622499996</v>
      </c>
      <c r="G48" s="378">
        <v>213968.29295500001</v>
      </c>
      <c r="H48" s="237"/>
      <c r="I48" s="237"/>
      <c r="J48" s="237"/>
      <c r="K48" s="239"/>
    </row>
    <row r="49" spans="1:11">
      <c r="A49" s="381" t="s">
        <v>359</v>
      </c>
      <c r="B49" s="382"/>
      <c r="C49" s="383">
        <v>40029.000622499996</v>
      </c>
      <c r="D49" s="383"/>
      <c r="E49" s="383"/>
      <c r="F49" s="383">
        <v>40029.000622499996</v>
      </c>
      <c r="G49" s="384">
        <v>213968.29295500001</v>
      </c>
      <c r="H49" s="111"/>
      <c r="I49" s="111"/>
      <c r="J49" s="111"/>
      <c r="K49" s="239"/>
    </row>
    <row r="50" spans="1:11">
      <c r="A50" s="379" t="s">
        <v>272</v>
      </c>
      <c r="B50" s="376" t="s">
        <v>63</v>
      </c>
      <c r="C50" s="377"/>
      <c r="D50" s="377"/>
      <c r="E50" s="377">
        <v>4581.2578149999999</v>
      </c>
      <c r="F50" s="377">
        <v>4581.2578149999999</v>
      </c>
      <c r="G50" s="378">
        <v>64969.193429999999</v>
      </c>
      <c r="H50" s="111"/>
      <c r="I50" s="111"/>
      <c r="J50" s="111"/>
      <c r="K50" s="239"/>
    </row>
    <row r="51" spans="1:11">
      <c r="A51" s="379"/>
      <c r="B51" s="376" t="s">
        <v>60</v>
      </c>
      <c r="C51" s="377"/>
      <c r="D51" s="377"/>
      <c r="E51" s="377">
        <v>6633.3600500000002</v>
      </c>
      <c r="F51" s="377">
        <v>6633.3600500000002</v>
      </c>
      <c r="G51" s="378">
        <v>81532.435629999993</v>
      </c>
      <c r="H51" s="111"/>
      <c r="I51" s="111"/>
      <c r="J51" s="111"/>
      <c r="K51" s="239"/>
    </row>
    <row r="52" spans="1:11">
      <c r="A52" s="381" t="s">
        <v>360</v>
      </c>
      <c r="B52" s="382"/>
      <c r="C52" s="383"/>
      <c r="D52" s="383"/>
      <c r="E52" s="383">
        <v>11214.617865</v>
      </c>
      <c r="F52" s="383">
        <v>11214.617865</v>
      </c>
      <c r="G52" s="384">
        <v>146501.62906000001</v>
      </c>
      <c r="H52" s="111"/>
      <c r="I52" s="111"/>
      <c r="J52" s="111"/>
      <c r="K52" s="239"/>
    </row>
    <row r="53" spans="1:11" ht="13.2">
      <c r="A53" s="379" t="s">
        <v>93</v>
      </c>
      <c r="B53" s="376" t="s">
        <v>361</v>
      </c>
      <c r="C53" s="377">
        <v>19785.224869999998</v>
      </c>
      <c r="D53" s="377"/>
      <c r="E53" s="377"/>
      <c r="F53" s="377">
        <v>19785.224869999998</v>
      </c>
      <c r="G53" s="378">
        <v>128046.00348499999</v>
      </c>
      <c r="H53" s="111"/>
      <c r="I53" s="111"/>
      <c r="J53" s="237"/>
      <c r="K53" s="239"/>
    </row>
    <row r="54" spans="1:11">
      <c r="A54" s="379"/>
      <c r="B54" s="376" t="s">
        <v>362</v>
      </c>
      <c r="C54" s="377">
        <v>93584.308162500005</v>
      </c>
      <c r="D54" s="377"/>
      <c r="E54" s="377"/>
      <c r="F54" s="377">
        <v>93584.308162500005</v>
      </c>
      <c r="G54" s="378">
        <v>711699.02756750002</v>
      </c>
      <c r="H54" s="238"/>
      <c r="I54" s="238"/>
      <c r="J54" s="111"/>
      <c r="K54" s="239"/>
    </row>
    <row r="55" spans="1:11">
      <c r="A55" s="379"/>
      <c r="B55" s="376" t="s">
        <v>363</v>
      </c>
      <c r="C55" s="377">
        <v>65268.382815000004</v>
      </c>
      <c r="D55" s="377"/>
      <c r="E55" s="377"/>
      <c r="F55" s="377">
        <v>65268.382815000004</v>
      </c>
      <c r="G55" s="378">
        <v>557419.59868249996</v>
      </c>
      <c r="H55" s="238"/>
      <c r="I55" s="238"/>
      <c r="J55" s="111"/>
      <c r="K55" s="239"/>
    </row>
    <row r="56" spans="1:11">
      <c r="A56" s="379"/>
      <c r="B56" s="376" t="s">
        <v>364</v>
      </c>
      <c r="C56" s="377">
        <v>32059.644824999996</v>
      </c>
      <c r="D56" s="377"/>
      <c r="E56" s="377"/>
      <c r="F56" s="377">
        <v>32059.644824999996</v>
      </c>
      <c r="G56" s="378">
        <v>250271.75381000002</v>
      </c>
      <c r="H56" s="238"/>
      <c r="I56" s="238"/>
      <c r="J56" s="111"/>
      <c r="K56" s="239"/>
    </row>
    <row r="57" spans="1:11">
      <c r="A57" s="379"/>
      <c r="B57" s="376" t="s">
        <v>365</v>
      </c>
      <c r="C57" s="377"/>
      <c r="D57" s="377">
        <v>580.48533500000008</v>
      </c>
      <c r="E57" s="377"/>
      <c r="F57" s="377">
        <v>580.48533500000008</v>
      </c>
      <c r="G57" s="378">
        <v>50409.78901</v>
      </c>
      <c r="H57" s="238"/>
      <c r="I57" s="238"/>
      <c r="J57" s="111"/>
      <c r="K57" s="239"/>
    </row>
    <row r="58" spans="1:11" ht="13.2">
      <c r="A58" s="379"/>
      <c r="B58" s="376" t="s">
        <v>366</v>
      </c>
      <c r="C58" s="377"/>
      <c r="D58" s="377">
        <v>37327.142037500002</v>
      </c>
      <c r="E58" s="377"/>
      <c r="F58" s="377">
        <v>37327.142037500002</v>
      </c>
      <c r="G58" s="378">
        <v>430593.04120999994</v>
      </c>
      <c r="H58" s="238"/>
      <c r="I58" s="238"/>
      <c r="J58" s="237"/>
      <c r="K58" s="239"/>
    </row>
    <row r="59" spans="1:11">
      <c r="A59" s="379"/>
      <c r="B59" s="376" t="s">
        <v>367</v>
      </c>
      <c r="C59" s="377"/>
      <c r="D59" s="377">
        <v>293378.2324875</v>
      </c>
      <c r="E59" s="377"/>
      <c r="F59" s="377">
        <v>293378.2324875</v>
      </c>
      <c r="G59" s="378">
        <v>1633105.9609975</v>
      </c>
      <c r="H59" s="238"/>
      <c r="I59" s="238"/>
      <c r="J59" s="238"/>
      <c r="K59" s="238"/>
    </row>
    <row r="60" spans="1:11">
      <c r="A60" s="379"/>
      <c r="B60" s="376" t="s">
        <v>690</v>
      </c>
      <c r="C60" s="377">
        <v>119.8983575</v>
      </c>
      <c r="D60" s="377"/>
      <c r="E60" s="377"/>
      <c r="F60" s="377">
        <v>119.8983575</v>
      </c>
      <c r="G60" s="378">
        <v>202.11445500000002</v>
      </c>
    </row>
    <row r="61" spans="1:11">
      <c r="A61" s="381" t="s">
        <v>368</v>
      </c>
      <c r="B61" s="382"/>
      <c r="C61" s="383">
        <v>210817.45903000003</v>
      </c>
      <c r="D61" s="383">
        <v>331285.85986000003</v>
      </c>
      <c r="E61" s="383"/>
      <c r="F61" s="383">
        <v>542103.31889</v>
      </c>
      <c r="G61" s="384">
        <v>3761747.2892175</v>
      </c>
    </row>
    <row r="62" spans="1:11">
      <c r="A62" s="380" t="s">
        <v>101</v>
      </c>
      <c r="B62" s="372" t="s">
        <v>369</v>
      </c>
      <c r="C62" s="373"/>
      <c r="D62" s="373">
        <v>593.03380749999997</v>
      </c>
      <c r="E62" s="373"/>
      <c r="F62" s="373">
        <v>593.03380749999997</v>
      </c>
      <c r="G62" s="374">
        <v>131964.269035</v>
      </c>
    </row>
    <row r="63" spans="1:11">
      <c r="A63" s="379"/>
      <c r="B63" s="376" t="s">
        <v>370</v>
      </c>
      <c r="C63" s="377"/>
      <c r="D63" s="377">
        <v>23270.8464475</v>
      </c>
      <c r="E63" s="377"/>
      <c r="F63" s="377">
        <v>23270.8464475</v>
      </c>
      <c r="G63" s="378">
        <v>48919.60686</v>
      </c>
    </row>
    <row r="64" spans="1:11">
      <c r="A64" s="759"/>
      <c r="B64" s="376" t="s">
        <v>371</v>
      </c>
      <c r="C64" s="377"/>
      <c r="D64" s="377">
        <v>46805.98947</v>
      </c>
      <c r="E64" s="377"/>
      <c r="F64" s="377">
        <v>46805.98947</v>
      </c>
      <c r="G64" s="378">
        <v>111408.2158275</v>
      </c>
    </row>
    <row r="65" spans="1:7">
      <c r="A65" s="381" t="s">
        <v>372</v>
      </c>
      <c r="B65" s="382"/>
      <c r="C65" s="383"/>
      <c r="D65" s="383">
        <v>70669.869724999997</v>
      </c>
      <c r="E65" s="383"/>
      <c r="F65" s="383">
        <v>70669.869724999997</v>
      </c>
      <c r="G65" s="384">
        <v>292292.09172249999</v>
      </c>
    </row>
    <row r="66" spans="1:7">
      <c r="C66" s="560"/>
      <c r="D66" s="560"/>
      <c r="E66" s="560"/>
    </row>
    <row r="67" spans="1:7">
      <c r="C67" s="560"/>
      <c r="D67" s="560"/>
      <c r="E67" s="560"/>
    </row>
    <row r="68" spans="1:7">
      <c r="C68" s="560"/>
      <c r="D68" s="560"/>
      <c r="E68" s="560"/>
    </row>
    <row r="69" spans="1:7">
      <c r="C69" s="560"/>
      <c r="D69" s="560"/>
      <c r="E69" s="560"/>
    </row>
    <row r="70" spans="1:7">
      <c r="C70" s="560"/>
      <c r="D70" s="560"/>
      <c r="E70" s="560"/>
    </row>
    <row r="71" spans="1:7">
      <c r="C71" s="560"/>
      <c r="D71" s="560"/>
      <c r="E71" s="560"/>
    </row>
    <row r="72" spans="1:7">
      <c r="C72" s="560"/>
      <c r="D72" s="560"/>
      <c r="E72" s="560"/>
    </row>
    <row r="73" spans="1:7">
      <c r="C73" s="560"/>
      <c r="D73" s="560"/>
      <c r="E73" s="560"/>
    </row>
    <row r="74" spans="1:7">
      <c r="C74" s="560"/>
      <c r="D74" s="560"/>
      <c r="E74" s="560"/>
    </row>
    <row r="75" spans="1:7">
      <c r="C75" s="560"/>
      <c r="D75" s="560"/>
      <c r="E75" s="560"/>
    </row>
    <row r="76" spans="1:7">
      <c r="C76" s="560"/>
      <c r="D76" s="560"/>
      <c r="E76" s="560"/>
    </row>
    <row r="77" spans="1:7">
      <c r="C77" s="560"/>
      <c r="D77" s="560"/>
      <c r="E77" s="560"/>
    </row>
    <row r="78" spans="1:7">
      <c r="C78" s="560"/>
      <c r="D78" s="560"/>
      <c r="E78" s="560"/>
    </row>
    <row r="79" spans="1:7">
      <c r="C79" s="560"/>
      <c r="D79" s="560"/>
      <c r="E79" s="560"/>
    </row>
    <row r="80" spans="1:7">
      <c r="C80" s="560"/>
      <c r="D80" s="560"/>
      <c r="E80" s="560"/>
    </row>
    <row r="81" spans="3:5">
      <c r="C81" s="560"/>
      <c r="D81" s="560"/>
      <c r="E81" s="560"/>
    </row>
    <row r="82" spans="3:5">
      <c r="C82" s="560"/>
      <c r="D82" s="560"/>
      <c r="E82" s="560"/>
    </row>
    <row r="83" spans="3:5">
      <c r="C83" s="560"/>
      <c r="D83" s="560"/>
      <c r="E83" s="560"/>
    </row>
    <row r="84" spans="3:5">
      <c r="C84" s="560"/>
      <c r="D84" s="560"/>
      <c r="E84" s="560"/>
    </row>
    <row r="85" spans="3:5">
      <c r="C85" s="560"/>
      <c r="D85" s="560"/>
      <c r="E85" s="560"/>
    </row>
    <row r="86" spans="3:5">
      <c r="C86" s="560"/>
      <c r="D86" s="560"/>
      <c r="E86" s="560"/>
    </row>
    <row r="87" spans="3:5">
      <c r="C87" s="560"/>
      <c r="D87" s="560"/>
      <c r="E87" s="560"/>
    </row>
    <row r="88" spans="3:5">
      <c r="C88" s="560"/>
      <c r="D88" s="560"/>
      <c r="E88" s="560"/>
    </row>
    <row r="89" spans="3:5">
      <c r="C89" s="560"/>
      <c r="D89" s="560"/>
      <c r="E89" s="560"/>
    </row>
    <row r="90" spans="3:5">
      <c r="C90" s="560"/>
      <c r="D90" s="560"/>
      <c r="E90" s="560"/>
    </row>
    <row r="91" spans="3:5">
      <c r="C91" s="560"/>
      <c r="D91" s="560"/>
      <c r="E91" s="560"/>
    </row>
    <row r="92" spans="3:5">
      <c r="C92" s="560"/>
      <c r="D92" s="560"/>
      <c r="E92" s="560"/>
    </row>
    <row r="93" spans="3:5">
      <c r="C93" s="560"/>
      <c r="D93" s="560"/>
      <c r="E93" s="560"/>
    </row>
    <row r="94" spans="3:5">
      <c r="C94" s="560"/>
      <c r="D94" s="560"/>
      <c r="E94" s="560"/>
    </row>
    <row r="95" spans="3:5">
      <c r="C95" s="560"/>
      <c r="D95" s="560"/>
      <c r="E95" s="560"/>
    </row>
    <row r="96" spans="3:5">
      <c r="C96" s="560"/>
      <c r="D96" s="560"/>
      <c r="E96" s="560"/>
    </row>
    <row r="97" spans="3:5">
      <c r="C97" s="560"/>
      <c r="D97" s="560"/>
      <c r="E97" s="560"/>
    </row>
    <row r="98" spans="3:5">
      <c r="C98" s="560"/>
      <c r="D98" s="560"/>
      <c r="E98" s="560"/>
    </row>
    <row r="99" spans="3:5">
      <c r="C99" s="560"/>
      <c r="D99" s="560"/>
      <c r="E99" s="560"/>
    </row>
    <row r="100" spans="3:5">
      <c r="C100" s="560"/>
      <c r="D100" s="560"/>
      <c r="E100" s="560"/>
    </row>
    <row r="101" spans="3:5">
      <c r="C101" s="560"/>
      <c r="D101" s="560"/>
      <c r="E101" s="560"/>
    </row>
    <row r="102" spans="3:5">
      <c r="C102" s="560"/>
      <c r="D102" s="560"/>
      <c r="E102" s="560"/>
    </row>
    <row r="103" spans="3:5">
      <c r="C103" s="560"/>
      <c r="D103" s="560"/>
      <c r="E103" s="560"/>
    </row>
    <row r="104" spans="3:5">
      <c r="C104" s="560"/>
      <c r="D104" s="560"/>
      <c r="E104" s="560"/>
    </row>
    <row r="105" spans="3:5">
      <c r="C105" s="560"/>
      <c r="D105" s="560"/>
      <c r="E105" s="560"/>
    </row>
    <row r="106" spans="3:5">
      <c r="C106" s="560"/>
      <c r="D106" s="560"/>
      <c r="E106" s="560"/>
    </row>
    <row r="107" spans="3:5">
      <c r="C107" s="560"/>
      <c r="D107" s="560"/>
      <c r="E107" s="560"/>
    </row>
    <row r="108" spans="3:5">
      <c r="C108" s="560"/>
      <c r="D108" s="560"/>
      <c r="E108" s="560"/>
    </row>
    <row r="109" spans="3:5">
      <c r="C109" s="560"/>
      <c r="D109" s="560"/>
      <c r="E109" s="560"/>
    </row>
    <row r="110" spans="3:5">
      <c r="C110" s="560"/>
      <c r="D110" s="560"/>
      <c r="E110" s="560"/>
    </row>
    <row r="111" spans="3:5">
      <c r="C111" s="560"/>
      <c r="D111" s="560"/>
      <c r="E111" s="560"/>
    </row>
    <row r="112" spans="3:5">
      <c r="C112" s="560"/>
      <c r="D112" s="560"/>
      <c r="E112" s="560"/>
    </row>
    <row r="113" spans="3:5">
      <c r="C113" s="560"/>
      <c r="D113" s="560"/>
      <c r="E113" s="560"/>
    </row>
    <row r="114" spans="3:5">
      <c r="C114" s="560"/>
      <c r="D114" s="560"/>
      <c r="E114" s="560"/>
    </row>
    <row r="115" spans="3:5">
      <c r="C115" s="560"/>
      <c r="D115" s="560"/>
      <c r="E115" s="560"/>
    </row>
    <row r="116" spans="3:5">
      <c r="C116" s="560"/>
      <c r="D116" s="560"/>
      <c r="E116" s="560"/>
    </row>
    <row r="117" spans="3:5">
      <c r="C117" s="560"/>
      <c r="D117" s="560"/>
      <c r="E117" s="560"/>
    </row>
    <row r="118" spans="3:5">
      <c r="C118" s="560"/>
      <c r="D118" s="560"/>
      <c r="E118" s="560"/>
    </row>
    <row r="119" spans="3:5">
      <c r="C119" s="560"/>
      <c r="D119" s="560"/>
      <c r="E119" s="560"/>
    </row>
    <row r="120" spans="3:5">
      <c r="C120" s="560"/>
      <c r="D120" s="560"/>
      <c r="E120" s="560"/>
    </row>
    <row r="121" spans="3:5">
      <c r="C121" s="560"/>
      <c r="D121" s="560"/>
      <c r="E121" s="560"/>
    </row>
    <row r="122" spans="3:5">
      <c r="C122" s="560"/>
      <c r="D122" s="560"/>
      <c r="E122" s="560"/>
    </row>
    <row r="123" spans="3:5">
      <c r="C123" s="560"/>
      <c r="D123" s="560"/>
      <c r="E123" s="560"/>
    </row>
    <row r="124" spans="3:5">
      <c r="C124" s="560"/>
      <c r="D124" s="560"/>
      <c r="E124" s="560"/>
    </row>
    <row r="125" spans="3:5">
      <c r="C125" s="560"/>
      <c r="D125" s="560"/>
      <c r="E125" s="560"/>
    </row>
    <row r="126" spans="3:5">
      <c r="C126" s="560"/>
      <c r="D126" s="560"/>
      <c r="E126" s="560"/>
    </row>
    <row r="127" spans="3:5">
      <c r="C127" s="560"/>
      <c r="D127" s="560"/>
      <c r="E127" s="560"/>
    </row>
    <row r="128" spans="3:5">
      <c r="C128" s="560"/>
      <c r="D128" s="560"/>
      <c r="E128" s="560"/>
    </row>
    <row r="129" spans="3:5">
      <c r="C129" s="560"/>
      <c r="D129" s="560"/>
      <c r="E129" s="560"/>
    </row>
    <row r="130" spans="3:5">
      <c r="C130" s="560"/>
      <c r="D130" s="560"/>
      <c r="E130" s="560"/>
    </row>
    <row r="131" spans="3:5">
      <c r="C131" s="560"/>
      <c r="D131" s="560"/>
      <c r="E131" s="560"/>
    </row>
    <row r="132" spans="3:5">
      <c r="C132" s="560"/>
      <c r="D132" s="560"/>
      <c r="E132" s="560"/>
    </row>
    <row r="133" spans="3:5">
      <c r="C133" s="560"/>
      <c r="D133" s="560"/>
      <c r="E133" s="560"/>
    </row>
    <row r="134" spans="3:5">
      <c r="C134" s="560"/>
      <c r="D134" s="560"/>
      <c r="E134" s="560"/>
    </row>
    <row r="135" spans="3:5">
      <c r="C135" s="560"/>
      <c r="D135" s="560"/>
      <c r="E135" s="560"/>
    </row>
    <row r="136" spans="3:5">
      <c r="C136" s="560"/>
      <c r="D136" s="560"/>
      <c r="E136" s="560"/>
    </row>
    <row r="137" spans="3:5">
      <c r="C137" s="560"/>
      <c r="D137" s="560"/>
      <c r="E137" s="560"/>
    </row>
    <row r="138" spans="3:5">
      <c r="C138" s="560"/>
      <c r="D138" s="560"/>
      <c r="E138" s="560"/>
    </row>
    <row r="139" spans="3:5">
      <c r="C139" s="560"/>
      <c r="D139" s="560"/>
      <c r="E139" s="560"/>
    </row>
    <row r="140" spans="3:5">
      <c r="C140" s="560"/>
      <c r="D140" s="560"/>
      <c r="E140" s="560"/>
    </row>
    <row r="141" spans="3:5">
      <c r="C141" s="560"/>
      <c r="D141" s="560"/>
      <c r="E141" s="560"/>
    </row>
    <row r="142" spans="3:5">
      <c r="C142" s="560"/>
      <c r="D142" s="560"/>
      <c r="E142" s="560"/>
    </row>
    <row r="143" spans="3:5">
      <c r="C143" s="560"/>
      <c r="D143" s="560"/>
      <c r="E143" s="560"/>
    </row>
    <row r="144" spans="3:5">
      <c r="C144" s="560"/>
      <c r="D144" s="560"/>
      <c r="E144" s="560"/>
    </row>
    <row r="145" spans="3:5">
      <c r="C145" s="560"/>
      <c r="D145" s="560"/>
      <c r="E145" s="560"/>
    </row>
    <row r="146" spans="3:5">
      <c r="C146" s="560"/>
      <c r="D146" s="560"/>
      <c r="E146" s="560"/>
    </row>
    <row r="147" spans="3:5">
      <c r="C147" s="560"/>
      <c r="D147" s="560"/>
      <c r="E147" s="560"/>
    </row>
    <row r="148" spans="3:5">
      <c r="C148" s="560"/>
      <c r="D148" s="560"/>
      <c r="E148" s="560"/>
    </row>
    <row r="149" spans="3:5">
      <c r="C149" s="560"/>
      <c r="D149" s="560"/>
      <c r="E149" s="560"/>
    </row>
    <row r="150" spans="3:5">
      <c r="C150" s="560"/>
      <c r="D150" s="560"/>
      <c r="E150" s="560"/>
    </row>
    <row r="151" spans="3:5">
      <c r="C151" s="560"/>
      <c r="D151" s="560"/>
      <c r="E151" s="560"/>
    </row>
    <row r="152" spans="3:5">
      <c r="C152" s="560"/>
      <c r="D152" s="560"/>
      <c r="E152" s="560"/>
    </row>
    <row r="153" spans="3:5">
      <c r="C153" s="560"/>
      <c r="D153" s="560"/>
      <c r="E153" s="560"/>
    </row>
    <row r="154" spans="3:5">
      <c r="C154" s="560"/>
      <c r="D154" s="560"/>
      <c r="E154" s="560"/>
    </row>
    <row r="155" spans="3:5">
      <c r="C155" s="560"/>
      <c r="D155" s="560"/>
      <c r="E155" s="560"/>
    </row>
    <row r="156" spans="3:5">
      <c r="C156" s="560"/>
      <c r="D156" s="560"/>
      <c r="E156" s="560"/>
    </row>
    <row r="157" spans="3:5">
      <c r="C157" s="560"/>
      <c r="D157" s="560"/>
      <c r="E157" s="560"/>
    </row>
    <row r="158" spans="3:5">
      <c r="C158" s="560"/>
      <c r="D158" s="560"/>
      <c r="E158" s="560"/>
    </row>
    <row r="159" spans="3:5">
      <c r="C159" s="560"/>
      <c r="D159" s="560"/>
      <c r="E159" s="560"/>
    </row>
    <row r="160" spans="3:5">
      <c r="C160" s="560"/>
      <c r="D160" s="560"/>
      <c r="E160" s="560"/>
    </row>
    <row r="161" spans="3:5">
      <c r="C161" s="560"/>
      <c r="D161" s="560"/>
      <c r="E161" s="560"/>
    </row>
  </sheetData>
  <mergeCells count="5">
    <mergeCell ref="A2:A5"/>
    <mergeCell ref="B2:B5"/>
    <mergeCell ref="C2:F2"/>
    <mergeCell ref="C3:E3"/>
    <mergeCell ref="F3:F4"/>
  </mergeCells>
  <pageMargins left="0.7" right="0.46474358974358976" top="0.86956521739130432" bottom="0.61458333333333337" header="0.3" footer="0.3"/>
  <pageSetup scale="94" orientation="portrait" r:id="rId1"/>
  <headerFooter>
    <oddHeader>&amp;R&amp;7Informe de la Operación Mensual - Julio 2018
INFSGI-MES-07-2018
14/08/2018
Versión: 01</oddHeader>
    <oddFooter>&amp;L&amp;7COES SINAC, 2018
&amp;C18&amp;R&amp;7Dirección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78F8B-1C83-4883-828A-C7183A3F3068}">
  <sheetPr>
    <tabColor theme="4"/>
  </sheetPr>
  <dimension ref="A1:L66"/>
  <sheetViews>
    <sheetView showGridLines="0" view="pageBreakPreview" zoomScale="130" zoomScaleNormal="100" zoomScaleSheetLayoutView="130" zoomScalePageLayoutView="160" workbookViewId="0">
      <selection activeCell="Q29" sqref="Q29"/>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0.28515625" customWidth="1"/>
    <col min="6" max="6" width="12.42578125" customWidth="1"/>
    <col min="7" max="7" width="16.140625" bestFit="1" customWidth="1"/>
    <col min="8" max="8" width="13" bestFit="1" customWidth="1"/>
    <col min="10" max="11" width="9.28515625" customWidth="1"/>
  </cols>
  <sheetData>
    <row r="1" spans="1:12" ht="17.25" customHeight="1">
      <c r="A1" s="867" t="s">
        <v>286</v>
      </c>
      <c r="B1" s="861" t="s">
        <v>57</v>
      </c>
      <c r="C1" s="863" t="str">
        <f>+'18. ANEXOI-1'!C2:F2</f>
        <v>ENERGÍA PRODUCIDA JULIO 2018</v>
      </c>
      <c r="D1" s="863"/>
      <c r="E1" s="863"/>
      <c r="F1" s="863"/>
      <c r="G1" s="386" t="s">
        <v>317</v>
      </c>
      <c r="H1" s="244"/>
      <c r="I1" s="244"/>
      <c r="J1" s="244"/>
      <c r="K1" s="244"/>
    </row>
    <row r="2" spans="1:12" ht="11.25" customHeight="1">
      <c r="A2" s="867"/>
      <c r="B2" s="861"/>
      <c r="C2" s="864" t="s">
        <v>318</v>
      </c>
      <c r="D2" s="864"/>
      <c r="E2" s="864"/>
      <c r="F2" s="865" t="str">
        <f>"TOTAL 
"&amp;UPPER('1. Resumen'!Q4)</f>
        <v>TOTAL 
JULIO</v>
      </c>
      <c r="G2" s="387" t="s">
        <v>319</v>
      </c>
      <c r="H2" s="235"/>
      <c r="I2" s="235"/>
      <c r="J2" s="235"/>
      <c r="K2" s="235"/>
      <c r="L2" s="36"/>
    </row>
    <row r="3" spans="1:12" ht="11.25" customHeight="1">
      <c r="A3" s="867"/>
      <c r="B3" s="861"/>
      <c r="C3" s="371" t="s">
        <v>240</v>
      </c>
      <c r="D3" s="371" t="s">
        <v>241</v>
      </c>
      <c r="E3" s="371" t="s">
        <v>320</v>
      </c>
      <c r="F3" s="866"/>
      <c r="G3" s="387">
        <v>2018</v>
      </c>
      <c r="H3" s="237"/>
      <c r="I3" s="236"/>
      <c r="J3" s="236"/>
      <c r="K3" s="236"/>
      <c r="L3" s="36"/>
    </row>
    <row r="4" spans="1:12" ht="11.25" customHeight="1">
      <c r="A4" s="868"/>
      <c r="B4" s="869"/>
      <c r="C4" s="388" t="s">
        <v>321</v>
      </c>
      <c r="D4" s="388" t="s">
        <v>321</v>
      </c>
      <c r="E4" s="388" t="s">
        <v>321</v>
      </c>
      <c r="F4" s="388" t="s">
        <v>321</v>
      </c>
      <c r="G4" s="389" t="s">
        <v>223</v>
      </c>
      <c r="H4" s="237"/>
      <c r="I4" s="237"/>
      <c r="J4" s="237"/>
      <c r="K4" s="237"/>
      <c r="L4" s="8"/>
    </row>
    <row r="5" spans="1:12">
      <c r="A5" s="379" t="s">
        <v>103</v>
      </c>
      <c r="B5" s="376" t="s">
        <v>683</v>
      </c>
      <c r="C5" s="377"/>
      <c r="D5" s="377"/>
      <c r="E5" s="377">
        <v>27491.193769999998</v>
      </c>
      <c r="F5" s="377">
        <v>27491.193769999998</v>
      </c>
      <c r="G5" s="378">
        <v>220036.90490999998</v>
      </c>
    </row>
    <row r="6" spans="1:12">
      <c r="A6" s="379"/>
      <c r="B6" s="376" t="s">
        <v>689</v>
      </c>
      <c r="C6" s="377"/>
      <c r="D6" s="377"/>
      <c r="E6" s="377">
        <v>48117.333827499999</v>
      </c>
      <c r="F6" s="377">
        <v>48117.333827499999</v>
      </c>
      <c r="G6" s="378">
        <v>216399.05145499998</v>
      </c>
    </row>
    <row r="7" spans="1:12">
      <c r="A7" s="381" t="s">
        <v>373</v>
      </c>
      <c r="B7" s="382"/>
      <c r="C7" s="383"/>
      <c r="D7" s="383"/>
      <c r="E7" s="383">
        <v>75608.527597499997</v>
      </c>
      <c r="F7" s="383">
        <v>75608.527597499997</v>
      </c>
      <c r="G7" s="384">
        <v>436435.95636499999</v>
      </c>
    </row>
    <row r="8" spans="1:12">
      <c r="A8" s="756" t="s">
        <v>102</v>
      </c>
      <c r="B8" s="376" t="s">
        <v>81</v>
      </c>
      <c r="C8" s="377"/>
      <c r="D8" s="377"/>
      <c r="E8" s="377">
        <v>19139.012804999998</v>
      </c>
      <c r="F8" s="377">
        <v>19139.012804999998</v>
      </c>
      <c r="G8" s="378">
        <v>159256.84469500001</v>
      </c>
    </row>
    <row r="9" spans="1:12" ht="11.25" customHeight="1">
      <c r="A9" s="379"/>
      <c r="B9" s="376" t="s">
        <v>83</v>
      </c>
      <c r="C9" s="377"/>
      <c r="D9" s="377"/>
      <c r="E9" s="377">
        <v>11372.758669999999</v>
      </c>
      <c r="F9" s="377">
        <v>11372.758669999999</v>
      </c>
      <c r="G9" s="378">
        <v>63291.289567500004</v>
      </c>
    </row>
    <row r="10" spans="1:12">
      <c r="A10" s="381" t="s">
        <v>374</v>
      </c>
      <c r="B10" s="382"/>
      <c r="C10" s="383"/>
      <c r="D10" s="383"/>
      <c r="E10" s="383">
        <v>30511.771474999998</v>
      </c>
      <c r="F10" s="383">
        <v>30511.771474999998</v>
      </c>
      <c r="G10" s="384">
        <v>222548.13426250001</v>
      </c>
    </row>
    <row r="11" spans="1:12">
      <c r="A11" s="757" t="s">
        <v>92</v>
      </c>
      <c r="B11" s="372" t="s">
        <v>375</v>
      </c>
      <c r="C11" s="373">
        <v>21633.901535000001</v>
      </c>
      <c r="D11" s="373"/>
      <c r="E11" s="373"/>
      <c r="F11" s="373">
        <v>21633.901535000001</v>
      </c>
      <c r="G11" s="374">
        <v>345621.43153000006</v>
      </c>
    </row>
    <row r="12" spans="1:12">
      <c r="A12" s="379"/>
      <c r="B12" s="376" t="s">
        <v>376</v>
      </c>
      <c r="C12" s="377">
        <v>57959.145724999995</v>
      </c>
      <c r="D12" s="377"/>
      <c r="E12" s="377"/>
      <c r="F12" s="377">
        <v>57959.145724999995</v>
      </c>
      <c r="G12" s="378">
        <v>556837.64012999996</v>
      </c>
    </row>
    <row r="13" spans="1:12">
      <c r="A13" s="379"/>
      <c r="B13" s="376" t="s">
        <v>377</v>
      </c>
      <c r="C13" s="377"/>
      <c r="D13" s="377">
        <v>487204.51981249999</v>
      </c>
      <c r="E13" s="377"/>
      <c r="F13" s="377">
        <v>487204.51981249999</v>
      </c>
      <c r="G13" s="378">
        <v>1155032.7644275001</v>
      </c>
    </row>
    <row r="14" spans="1:12">
      <c r="A14" s="379"/>
      <c r="B14" s="376" t="s">
        <v>378</v>
      </c>
      <c r="C14" s="377"/>
      <c r="D14" s="377">
        <v>53780.369189999998</v>
      </c>
      <c r="E14" s="377"/>
      <c r="F14" s="377">
        <v>53780.369189999998</v>
      </c>
      <c r="G14" s="378">
        <v>82847.585109999985</v>
      </c>
    </row>
    <row r="15" spans="1:12">
      <c r="A15" s="379"/>
      <c r="B15" s="376" t="s">
        <v>379</v>
      </c>
      <c r="C15" s="377"/>
      <c r="D15" s="377">
        <v>10777.9047775</v>
      </c>
      <c r="E15" s="377"/>
      <c r="F15" s="377">
        <v>10777.9047775</v>
      </c>
      <c r="G15" s="378">
        <v>37679.417740000004</v>
      </c>
    </row>
    <row r="16" spans="1:12">
      <c r="A16" s="379"/>
      <c r="B16" s="376" t="s">
        <v>380</v>
      </c>
      <c r="C16" s="377"/>
      <c r="D16" s="377">
        <v>468.0652225</v>
      </c>
      <c r="E16" s="377"/>
      <c r="F16" s="377">
        <v>468.0652225</v>
      </c>
      <c r="G16" s="378">
        <v>9353.7975999999999</v>
      </c>
    </row>
    <row r="17" spans="1:7">
      <c r="A17" s="379"/>
      <c r="B17" s="376" t="s">
        <v>381</v>
      </c>
      <c r="C17" s="377"/>
      <c r="D17" s="377">
        <v>0</v>
      </c>
      <c r="E17" s="377"/>
      <c r="F17" s="377">
        <v>0</v>
      </c>
      <c r="G17" s="378">
        <v>1799.3651675000001</v>
      </c>
    </row>
    <row r="18" spans="1:7">
      <c r="A18" s="379"/>
      <c r="B18" s="376" t="s">
        <v>688</v>
      </c>
      <c r="C18" s="377"/>
      <c r="D18" s="377"/>
      <c r="E18" s="377">
        <v>6417.0684225000005</v>
      </c>
      <c r="F18" s="377">
        <v>6417.0684225000005</v>
      </c>
      <c r="G18" s="378">
        <v>35041.458817499995</v>
      </c>
    </row>
    <row r="19" spans="1:7">
      <c r="A19" s="381" t="s">
        <v>382</v>
      </c>
      <c r="B19" s="382"/>
      <c r="C19" s="383">
        <v>79593.047259999992</v>
      </c>
      <c r="D19" s="383">
        <v>552230.85900249996</v>
      </c>
      <c r="E19" s="383">
        <v>6417.0684225000005</v>
      </c>
      <c r="F19" s="383">
        <v>638240.97468500002</v>
      </c>
      <c r="G19" s="384">
        <v>2224213.4605225003</v>
      </c>
    </row>
    <row r="20" spans="1:7">
      <c r="A20" s="379" t="s">
        <v>273</v>
      </c>
      <c r="B20" s="376" t="s">
        <v>383</v>
      </c>
      <c r="C20" s="377"/>
      <c r="D20" s="377">
        <v>333975.5148525</v>
      </c>
      <c r="E20" s="377"/>
      <c r="F20" s="377">
        <v>333975.5148525</v>
      </c>
      <c r="G20" s="378">
        <v>1940867.1602975</v>
      </c>
    </row>
    <row r="21" spans="1:7">
      <c r="A21" s="381" t="s">
        <v>384</v>
      </c>
      <c r="B21" s="382"/>
      <c r="C21" s="383"/>
      <c r="D21" s="383">
        <v>333975.5148525</v>
      </c>
      <c r="E21" s="383"/>
      <c r="F21" s="383">
        <v>333975.5148525</v>
      </c>
      <c r="G21" s="384">
        <v>1940867.1602975</v>
      </c>
    </row>
    <row r="22" spans="1:7">
      <c r="A22" s="379" t="s">
        <v>113</v>
      </c>
      <c r="B22" s="376" t="s">
        <v>69</v>
      </c>
      <c r="C22" s="377"/>
      <c r="D22" s="377"/>
      <c r="E22" s="377">
        <v>3878.6530300000004</v>
      </c>
      <c r="F22" s="377">
        <v>3878.6530300000004</v>
      </c>
      <c r="G22" s="378">
        <v>30687.156597499998</v>
      </c>
    </row>
    <row r="23" spans="1:7">
      <c r="A23" s="381" t="s">
        <v>385</v>
      </c>
      <c r="B23" s="382"/>
      <c r="C23" s="383"/>
      <c r="D23" s="383"/>
      <c r="E23" s="383">
        <v>3878.6530300000004</v>
      </c>
      <c r="F23" s="383">
        <v>3878.6530300000004</v>
      </c>
      <c r="G23" s="384">
        <v>30687.156597499998</v>
      </c>
    </row>
    <row r="24" spans="1:7">
      <c r="A24" s="379" t="s">
        <v>116</v>
      </c>
      <c r="B24" s="376" t="s">
        <v>265</v>
      </c>
      <c r="C24" s="377"/>
      <c r="D24" s="377"/>
      <c r="E24" s="377">
        <v>3209.484645</v>
      </c>
      <c r="F24" s="377">
        <v>3209.484645</v>
      </c>
      <c r="G24" s="378">
        <v>24242.803380000001</v>
      </c>
    </row>
    <row r="25" spans="1:7">
      <c r="A25" s="381" t="s">
        <v>386</v>
      </c>
      <c r="B25" s="382"/>
      <c r="C25" s="383"/>
      <c r="D25" s="383"/>
      <c r="E25" s="383">
        <v>3209.484645</v>
      </c>
      <c r="F25" s="383">
        <v>3209.484645</v>
      </c>
      <c r="G25" s="384">
        <v>24242.803380000001</v>
      </c>
    </row>
    <row r="26" spans="1:7">
      <c r="A26" s="379" t="s">
        <v>117</v>
      </c>
      <c r="B26" s="376" t="s">
        <v>87</v>
      </c>
      <c r="C26" s="377"/>
      <c r="D26" s="377"/>
      <c r="E26" s="377">
        <v>3129.3736199999998</v>
      </c>
      <c r="F26" s="377">
        <v>3129.3736199999998</v>
      </c>
      <c r="G26" s="378">
        <v>21688.004579999997</v>
      </c>
    </row>
    <row r="27" spans="1:7">
      <c r="A27" s="381" t="s">
        <v>387</v>
      </c>
      <c r="B27" s="382"/>
      <c r="C27" s="383"/>
      <c r="D27" s="383"/>
      <c r="E27" s="383">
        <v>3129.3736199999998</v>
      </c>
      <c r="F27" s="383">
        <v>3129.3736199999998</v>
      </c>
      <c r="G27" s="384">
        <v>21688.004579999997</v>
      </c>
    </row>
    <row r="28" spans="1:7">
      <c r="A28" s="379" t="s">
        <v>121</v>
      </c>
      <c r="B28" s="376" t="s">
        <v>77</v>
      </c>
      <c r="C28" s="377"/>
      <c r="D28" s="377"/>
      <c r="E28" s="377">
        <v>2376.9</v>
      </c>
      <c r="F28" s="377">
        <v>2376.9</v>
      </c>
      <c r="G28" s="378">
        <v>14008.699999999999</v>
      </c>
    </row>
    <row r="29" spans="1:7">
      <c r="A29" s="381" t="s">
        <v>388</v>
      </c>
      <c r="B29" s="382"/>
      <c r="C29" s="383"/>
      <c r="D29" s="383"/>
      <c r="E29" s="383">
        <v>2376.9</v>
      </c>
      <c r="F29" s="383">
        <v>2376.9</v>
      </c>
      <c r="G29" s="384">
        <v>14008.699999999999</v>
      </c>
    </row>
    <row r="30" spans="1:7">
      <c r="A30" s="379" t="s">
        <v>108</v>
      </c>
      <c r="B30" s="376" t="s">
        <v>389</v>
      </c>
      <c r="C30" s="377">
        <v>12649.583999999999</v>
      </c>
      <c r="D30" s="377"/>
      <c r="E30" s="377"/>
      <c r="F30" s="377">
        <v>12649.583999999999</v>
      </c>
      <c r="G30" s="378">
        <v>86893.304999999993</v>
      </c>
    </row>
    <row r="31" spans="1:7">
      <c r="A31" s="381" t="s">
        <v>390</v>
      </c>
      <c r="B31" s="382"/>
      <c r="C31" s="383">
        <v>12649.583999999999</v>
      </c>
      <c r="D31" s="383"/>
      <c r="E31" s="383"/>
      <c r="F31" s="383">
        <v>12649.583999999999</v>
      </c>
      <c r="G31" s="384">
        <v>86893.304999999993</v>
      </c>
    </row>
    <row r="32" spans="1:7">
      <c r="A32" s="379" t="s">
        <v>274</v>
      </c>
      <c r="B32" s="376" t="s">
        <v>62</v>
      </c>
      <c r="C32" s="377"/>
      <c r="D32" s="377"/>
      <c r="E32" s="377">
        <v>10850.5106175</v>
      </c>
      <c r="F32" s="377">
        <v>10850.5106175</v>
      </c>
      <c r="G32" s="378">
        <v>76489.158465</v>
      </c>
    </row>
    <row r="33" spans="1:8">
      <c r="A33" s="381" t="s">
        <v>392</v>
      </c>
      <c r="B33" s="382"/>
      <c r="C33" s="383"/>
      <c r="D33" s="383"/>
      <c r="E33" s="383">
        <v>10850.5106175</v>
      </c>
      <c r="F33" s="383">
        <v>10850.5106175</v>
      </c>
      <c r="G33" s="384">
        <v>76489.158465</v>
      </c>
    </row>
    <row r="34" spans="1:8">
      <c r="A34" s="379" t="s">
        <v>123</v>
      </c>
      <c r="B34" s="376" t="s">
        <v>393</v>
      </c>
      <c r="C34" s="377"/>
      <c r="D34" s="377">
        <v>38.967750000000002</v>
      </c>
      <c r="E34" s="377"/>
      <c r="F34" s="377">
        <v>38.967750000000002</v>
      </c>
      <c r="G34" s="378">
        <v>526.95110499999998</v>
      </c>
    </row>
    <row r="35" spans="1:8">
      <c r="A35" s="379"/>
      <c r="B35" s="376" t="s">
        <v>394</v>
      </c>
      <c r="C35" s="377"/>
      <c r="D35" s="377">
        <v>0</v>
      </c>
      <c r="E35" s="377"/>
      <c r="F35" s="377">
        <v>0</v>
      </c>
      <c r="G35" s="378">
        <v>3629.4053499999995</v>
      </c>
    </row>
    <row r="36" spans="1:8">
      <c r="A36" s="381" t="s">
        <v>395</v>
      </c>
      <c r="B36" s="382"/>
      <c r="C36" s="383"/>
      <c r="D36" s="383">
        <v>38.967750000000002</v>
      </c>
      <c r="E36" s="383"/>
      <c r="F36" s="383">
        <v>38.967750000000002</v>
      </c>
      <c r="G36" s="384">
        <v>4156.3564549999992</v>
      </c>
    </row>
    <row r="37" spans="1:8">
      <c r="A37" s="379" t="s">
        <v>678</v>
      </c>
      <c r="B37" s="376" t="s">
        <v>397</v>
      </c>
      <c r="C37" s="377"/>
      <c r="D37" s="377">
        <v>426657.2654725</v>
      </c>
      <c r="E37" s="377"/>
      <c r="F37" s="377">
        <v>426657.2654725</v>
      </c>
      <c r="G37" s="378">
        <v>2508258.36845</v>
      </c>
    </row>
    <row r="38" spans="1:8">
      <c r="A38" s="379"/>
      <c r="B38" s="376" t="s">
        <v>398</v>
      </c>
      <c r="C38" s="377"/>
      <c r="D38" s="377">
        <v>1662.7339475000001</v>
      </c>
      <c r="E38" s="377"/>
      <c r="F38" s="377">
        <v>1662.7339475000001</v>
      </c>
      <c r="G38" s="378">
        <v>288287.59721500002</v>
      </c>
    </row>
    <row r="39" spans="1:8">
      <c r="A39" s="379"/>
      <c r="B39" s="376" t="s">
        <v>681</v>
      </c>
      <c r="C39" s="377">
        <v>217645.52269999997</v>
      </c>
      <c r="D39" s="377"/>
      <c r="E39" s="377"/>
      <c r="F39" s="377">
        <v>217645.52269999997</v>
      </c>
      <c r="G39" s="378">
        <v>2162210.9315200001</v>
      </c>
    </row>
    <row r="40" spans="1:8">
      <c r="A40" s="379"/>
      <c r="B40" s="376" t="s">
        <v>399</v>
      </c>
      <c r="C40" s="377">
        <v>2932.1155775000002</v>
      </c>
      <c r="D40" s="377"/>
      <c r="E40" s="377"/>
      <c r="F40" s="377">
        <v>2932.1155775000002</v>
      </c>
      <c r="G40" s="378">
        <v>39263.970679999999</v>
      </c>
    </row>
    <row r="41" spans="1:8">
      <c r="A41" s="381" t="s">
        <v>400</v>
      </c>
      <c r="B41" s="382"/>
      <c r="C41" s="383">
        <v>220577.63827749997</v>
      </c>
      <c r="D41" s="383">
        <v>428319.99942000001</v>
      </c>
      <c r="E41" s="383"/>
      <c r="F41" s="383">
        <v>648897.63769749994</v>
      </c>
      <c r="G41" s="384">
        <v>4998020.8678649999</v>
      </c>
    </row>
    <row r="42" spans="1:8">
      <c r="A42" s="379" t="s">
        <v>684</v>
      </c>
      <c r="B42" s="376" t="s">
        <v>685</v>
      </c>
      <c r="C42" s="377">
        <v>50179.444532499998</v>
      </c>
      <c r="D42" s="377"/>
      <c r="E42" s="377"/>
      <c r="F42" s="377">
        <v>50179.444532499998</v>
      </c>
      <c r="G42" s="378">
        <v>418373.05959250004</v>
      </c>
    </row>
    <row r="43" spans="1:8">
      <c r="A43" s="381" t="s">
        <v>521</v>
      </c>
      <c r="B43" s="382"/>
      <c r="C43" s="383">
        <v>50179.444532499998</v>
      </c>
      <c r="D43" s="383"/>
      <c r="E43" s="383"/>
      <c r="F43" s="383">
        <v>50179.444532499998</v>
      </c>
      <c r="G43" s="384">
        <v>418373.05959250004</v>
      </c>
    </row>
    <row r="44" spans="1:8">
      <c r="A44" s="379" t="s">
        <v>122</v>
      </c>
      <c r="B44" s="376" t="s">
        <v>75</v>
      </c>
      <c r="C44" s="377"/>
      <c r="D44" s="377"/>
      <c r="E44" s="377">
        <v>1376.3512499999999</v>
      </c>
      <c r="F44" s="377">
        <v>1376.3512499999999</v>
      </c>
      <c r="G44" s="378">
        <v>15843.551800000001</v>
      </c>
    </row>
    <row r="45" spans="1:8">
      <c r="A45" s="381" t="s">
        <v>401</v>
      </c>
      <c r="B45" s="382"/>
      <c r="C45" s="383"/>
      <c r="D45" s="383"/>
      <c r="E45" s="383">
        <v>1376.3512499999999</v>
      </c>
      <c r="F45" s="383">
        <v>1376.3512499999999</v>
      </c>
      <c r="G45" s="384">
        <v>15843.551800000001</v>
      </c>
    </row>
    <row r="46" spans="1:8">
      <c r="A46" s="379" t="s">
        <v>115</v>
      </c>
      <c r="B46" s="376" t="s">
        <v>85</v>
      </c>
      <c r="C46" s="377"/>
      <c r="D46" s="377"/>
      <c r="E46" s="377">
        <v>3205.8893475</v>
      </c>
      <c r="F46" s="377">
        <v>3205.8893475</v>
      </c>
      <c r="G46" s="378">
        <v>25279.295509999996</v>
      </c>
      <c r="H46" s="560"/>
    </row>
    <row r="47" spans="1:8">
      <c r="A47" s="381" t="s">
        <v>402</v>
      </c>
      <c r="B47" s="382"/>
      <c r="C47" s="383"/>
      <c r="D47" s="383"/>
      <c r="E47" s="383">
        <v>3205.8893475</v>
      </c>
      <c r="F47" s="383">
        <v>3205.8893475</v>
      </c>
      <c r="G47" s="384">
        <v>25279.295509999996</v>
      </c>
    </row>
    <row r="48" spans="1:8">
      <c r="A48" s="379" t="s">
        <v>275</v>
      </c>
      <c r="B48" s="376" t="s">
        <v>74</v>
      </c>
      <c r="C48" s="377"/>
      <c r="D48" s="377"/>
      <c r="E48" s="377">
        <v>1664.6604850000001</v>
      </c>
      <c r="F48" s="377">
        <v>1664.6604850000001</v>
      </c>
      <c r="G48" s="378">
        <v>20371.039022500001</v>
      </c>
    </row>
    <row r="49" spans="1:7">
      <c r="A49" s="379"/>
      <c r="B49" s="376" t="s">
        <v>403</v>
      </c>
      <c r="C49" s="377">
        <v>59481.453594999999</v>
      </c>
      <c r="D49" s="377"/>
      <c r="E49" s="377"/>
      <c r="F49" s="377">
        <v>59481.453594999999</v>
      </c>
      <c r="G49" s="378">
        <v>971325.26017500006</v>
      </c>
    </row>
    <row r="50" spans="1:7">
      <c r="A50" s="379"/>
      <c r="B50" s="376" t="s">
        <v>404</v>
      </c>
      <c r="C50" s="377">
        <v>27744.0298325</v>
      </c>
      <c r="D50" s="377"/>
      <c r="E50" s="377"/>
      <c r="F50" s="377">
        <v>27744.0298325</v>
      </c>
      <c r="G50" s="378">
        <v>361778.81360750005</v>
      </c>
    </row>
    <row r="51" spans="1:7">
      <c r="A51" s="379"/>
      <c r="B51" s="376" t="s">
        <v>65</v>
      </c>
      <c r="C51" s="377"/>
      <c r="D51" s="377"/>
      <c r="E51" s="377">
        <v>8.7034275000000001</v>
      </c>
      <c r="F51" s="377">
        <v>8.7034275000000001</v>
      </c>
      <c r="G51" s="378">
        <v>40407.5860025</v>
      </c>
    </row>
    <row r="52" spans="1:7">
      <c r="A52" s="381" t="s">
        <v>405</v>
      </c>
      <c r="B52" s="382"/>
      <c r="C52" s="383">
        <v>87225.483427500003</v>
      </c>
      <c r="D52" s="383"/>
      <c r="E52" s="383">
        <v>1673.3639125000002</v>
      </c>
      <c r="F52" s="383">
        <v>88898.847340000008</v>
      </c>
      <c r="G52" s="384">
        <v>1393882.6988075001</v>
      </c>
    </row>
    <row r="53" spans="1:7">
      <c r="A53" s="379" t="s">
        <v>276</v>
      </c>
      <c r="B53" s="376" t="s">
        <v>82</v>
      </c>
      <c r="C53" s="377"/>
      <c r="D53" s="377"/>
      <c r="E53" s="377">
        <v>12829.955142500001</v>
      </c>
      <c r="F53" s="377">
        <v>12829.955142500001</v>
      </c>
      <c r="G53" s="378">
        <v>84231.885240000003</v>
      </c>
    </row>
    <row r="54" spans="1:7">
      <c r="A54" s="381" t="s">
        <v>406</v>
      </c>
      <c r="B54" s="382"/>
      <c r="C54" s="383"/>
      <c r="D54" s="383"/>
      <c r="E54" s="383">
        <v>12829.955142500001</v>
      </c>
      <c r="F54" s="383">
        <v>12829.955142500001</v>
      </c>
      <c r="G54" s="384">
        <v>84231.885240000003</v>
      </c>
    </row>
    <row r="55" spans="1:7">
      <c r="A55" s="379" t="s">
        <v>104</v>
      </c>
      <c r="B55" s="376" t="s">
        <v>79</v>
      </c>
      <c r="C55" s="377"/>
      <c r="D55" s="377"/>
      <c r="E55" s="377">
        <v>38870.344745000002</v>
      </c>
      <c r="F55" s="377">
        <v>38870.344745000002</v>
      </c>
      <c r="G55" s="378">
        <v>265734.95701250003</v>
      </c>
    </row>
    <row r="56" spans="1:7">
      <c r="A56" s="381" t="s">
        <v>407</v>
      </c>
      <c r="B56" s="382"/>
      <c r="C56" s="383"/>
      <c r="D56" s="383"/>
      <c r="E56" s="383">
        <v>38870.344745000002</v>
      </c>
      <c r="F56" s="383">
        <v>38870.344745000002</v>
      </c>
      <c r="G56" s="384">
        <v>265734.95701250003</v>
      </c>
    </row>
    <row r="57" spans="1:7">
      <c r="A57" s="379" t="s">
        <v>112</v>
      </c>
      <c r="B57" s="376" t="s">
        <v>264</v>
      </c>
      <c r="C57" s="377"/>
      <c r="D57" s="377"/>
      <c r="E57" s="377">
        <v>3426.5142500000002</v>
      </c>
      <c r="F57" s="377">
        <v>3426.5142500000002</v>
      </c>
      <c r="G57" s="378">
        <v>27513.468715000003</v>
      </c>
    </row>
    <row r="58" spans="1:7">
      <c r="A58" s="381" t="s">
        <v>408</v>
      </c>
      <c r="B58" s="382"/>
      <c r="C58" s="383"/>
      <c r="D58" s="383"/>
      <c r="E58" s="383">
        <v>3426.5142500000002</v>
      </c>
      <c r="F58" s="383">
        <v>3426.5142500000002</v>
      </c>
      <c r="G58" s="384">
        <v>27513.468715000003</v>
      </c>
    </row>
    <row r="59" spans="1:7">
      <c r="A59" s="379" t="s">
        <v>679</v>
      </c>
      <c r="B59" s="376" t="s">
        <v>682</v>
      </c>
      <c r="C59" s="377"/>
      <c r="D59" s="377"/>
      <c r="E59" s="377">
        <v>0</v>
      </c>
      <c r="F59" s="377">
        <v>0</v>
      </c>
      <c r="G59" s="378">
        <v>5846.9856225000003</v>
      </c>
    </row>
    <row r="60" spans="1:7">
      <c r="A60" s="379"/>
      <c r="B60" s="376" t="s">
        <v>89</v>
      </c>
      <c r="C60" s="377"/>
      <c r="D60" s="377"/>
      <c r="E60" s="377">
        <v>2818.3070749999997</v>
      </c>
      <c r="F60" s="377">
        <v>2818.3070749999997</v>
      </c>
      <c r="G60" s="378">
        <v>19865.256682499999</v>
      </c>
    </row>
    <row r="61" spans="1:7">
      <c r="A61" s="379"/>
      <c r="B61" s="376" t="s">
        <v>691</v>
      </c>
      <c r="C61" s="377"/>
      <c r="D61" s="377"/>
      <c r="E61" s="377">
        <v>92.700950000000006</v>
      </c>
      <c r="F61" s="377">
        <v>92.700950000000006</v>
      </c>
      <c r="G61" s="378">
        <v>92.700950000000006</v>
      </c>
    </row>
    <row r="62" spans="1:7">
      <c r="A62" s="381" t="s">
        <v>409</v>
      </c>
      <c r="B62" s="382"/>
      <c r="C62" s="383"/>
      <c r="D62" s="383"/>
      <c r="E62" s="383">
        <v>2911.0080249999996</v>
      </c>
      <c r="F62" s="383">
        <v>2911.0080249999996</v>
      </c>
      <c r="G62" s="384">
        <v>25804.943254999998</v>
      </c>
    </row>
    <row r="63" spans="1:7">
      <c r="A63" s="379" t="s">
        <v>277</v>
      </c>
      <c r="B63" s="376" t="s">
        <v>410</v>
      </c>
      <c r="C63" s="377"/>
      <c r="D63" s="377">
        <v>18.681192500000002</v>
      </c>
      <c r="E63" s="377"/>
      <c r="F63" s="377">
        <v>18.681192500000002</v>
      </c>
      <c r="G63" s="378">
        <v>697.08994750000011</v>
      </c>
    </row>
    <row r="64" spans="1:7">
      <c r="A64" s="381" t="s">
        <v>411</v>
      </c>
      <c r="B64" s="382"/>
      <c r="C64" s="383"/>
      <c r="D64" s="383">
        <v>18.681192500000002</v>
      </c>
      <c r="E64" s="383"/>
      <c r="F64" s="383">
        <v>18.681192500000002</v>
      </c>
      <c r="G64" s="384">
        <v>697.08994750000011</v>
      </c>
    </row>
    <row r="65" spans="1:7">
      <c r="A65" s="379" t="s">
        <v>109</v>
      </c>
      <c r="B65" s="376" t="s">
        <v>64</v>
      </c>
      <c r="C65" s="377"/>
      <c r="D65" s="377"/>
      <c r="E65" s="377">
        <v>3757.3950974999998</v>
      </c>
      <c r="F65" s="377">
        <v>3757.3950974999998</v>
      </c>
      <c r="G65" s="378">
        <v>74663.256080000006</v>
      </c>
    </row>
    <row r="66" spans="1:7">
      <c r="A66" s="381" t="s">
        <v>412</v>
      </c>
      <c r="B66" s="382"/>
      <c r="C66" s="383"/>
      <c r="D66" s="383"/>
      <c r="E66" s="383">
        <v>3757.3950974999998</v>
      </c>
      <c r="F66" s="383">
        <v>3757.3950974999998</v>
      </c>
      <c r="G66" s="384">
        <v>74663.256080000006</v>
      </c>
    </row>
  </sheetData>
  <mergeCells count="5">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Julio 2018
INFSGI-MES-07-2018
14/08/2018
Versión: 01</oddHeader>
    <oddFooter>&amp;L&amp;7COES SINAC, 2018
&amp;C19&amp;R&amp;7Dirección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E906-A71A-4080-BB8F-C09AEC63F946}">
  <sheetPr>
    <tabColor theme="4"/>
  </sheetPr>
  <dimension ref="A1:M65"/>
  <sheetViews>
    <sheetView showGridLines="0" view="pageBreakPreview" zoomScale="145" zoomScaleNormal="100" zoomScaleSheetLayoutView="145" zoomScalePageLayoutView="160" workbookViewId="0">
      <selection activeCell="Q29" sqref="Q29"/>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 min="10" max="11" width="9.28515625" customWidth="1"/>
  </cols>
  <sheetData>
    <row r="1" spans="1:12" ht="15.75" customHeight="1">
      <c r="A1" s="867" t="s">
        <v>286</v>
      </c>
      <c r="B1" s="861" t="s">
        <v>57</v>
      </c>
      <c r="C1" s="863" t="str">
        <f>+'19. ANEXOI-2'!C1:F1</f>
        <v>ENERGÍA PRODUCIDA JULIO 2018</v>
      </c>
      <c r="D1" s="863"/>
      <c r="E1" s="863"/>
      <c r="F1" s="863"/>
      <c r="G1" s="386" t="s">
        <v>317</v>
      </c>
      <c r="H1" s="244"/>
      <c r="I1" s="244"/>
      <c r="J1" s="244"/>
      <c r="K1" s="244"/>
    </row>
    <row r="2" spans="1:12" ht="11.25" customHeight="1">
      <c r="A2" s="867"/>
      <c r="B2" s="861"/>
      <c r="C2" s="864" t="s">
        <v>318</v>
      </c>
      <c r="D2" s="864"/>
      <c r="E2" s="864"/>
      <c r="F2" s="865" t="str">
        <f>"TOTAL 
"&amp;UPPER('1. Resumen'!Q4)</f>
        <v>TOTAL 
JULIO</v>
      </c>
      <c r="G2" s="387" t="s">
        <v>319</v>
      </c>
      <c r="H2" s="235"/>
      <c r="I2" s="235"/>
      <c r="J2" s="235"/>
      <c r="K2" s="235"/>
      <c r="L2" s="36"/>
    </row>
    <row r="3" spans="1:12" ht="11.25" customHeight="1">
      <c r="A3" s="867"/>
      <c r="B3" s="861"/>
      <c r="C3" s="371" t="s">
        <v>240</v>
      </c>
      <c r="D3" s="371" t="s">
        <v>241</v>
      </c>
      <c r="E3" s="371" t="s">
        <v>320</v>
      </c>
      <c r="F3" s="866"/>
      <c r="G3" s="387">
        <v>2018</v>
      </c>
      <c r="H3" s="237"/>
      <c r="I3" s="236"/>
      <c r="J3" s="236"/>
      <c r="K3" s="236"/>
      <c r="L3" s="36"/>
    </row>
    <row r="4" spans="1:12" ht="11.25" customHeight="1">
      <c r="A4" s="868"/>
      <c r="B4" s="869"/>
      <c r="C4" s="388" t="s">
        <v>321</v>
      </c>
      <c r="D4" s="388" t="s">
        <v>321</v>
      </c>
      <c r="E4" s="388" t="s">
        <v>321</v>
      </c>
      <c r="F4" s="388" t="s">
        <v>321</v>
      </c>
      <c r="G4" s="389" t="s">
        <v>223</v>
      </c>
      <c r="H4" s="237"/>
      <c r="I4" s="237"/>
      <c r="J4" s="237"/>
      <c r="K4" s="237"/>
      <c r="L4" s="8"/>
    </row>
    <row r="5" spans="1:12">
      <c r="A5" s="379" t="s">
        <v>278</v>
      </c>
      <c r="B5" s="376" t="s">
        <v>413</v>
      </c>
      <c r="C5" s="377"/>
      <c r="D5" s="377">
        <v>839.55658500000004</v>
      </c>
      <c r="E5" s="377"/>
      <c r="F5" s="377">
        <v>839.55658500000004</v>
      </c>
      <c r="G5" s="378">
        <v>31771.507762499998</v>
      </c>
    </row>
    <row r="6" spans="1:12">
      <c r="A6" s="381" t="s">
        <v>414</v>
      </c>
      <c r="B6" s="382"/>
      <c r="C6" s="383"/>
      <c r="D6" s="383">
        <v>839.55658500000004</v>
      </c>
      <c r="E6" s="383"/>
      <c r="F6" s="383">
        <v>839.55658500000004</v>
      </c>
      <c r="G6" s="384">
        <v>31771.507762499998</v>
      </c>
    </row>
    <row r="7" spans="1:12">
      <c r="A7" s="379" t="s">
        <v>100</v>
      </c>
      <c r="B7" s="376" t="s">
        <v>415</v>
      </c>
      <c r="C7" s="377">
        <v>44984.563982499996</v>
      </c>
      <c r="D7" s="377"/>
      <c r="E7" s="377"/>
      <c r="F7" s="377">
        <v>44984.563982499996</v>
      </c>
      <c r="G7" s="378">
        <v>481778.50722999999</v>
      </c>
    </row>
    <row r="8" spans="1:12">
      <c r="A8" s="381" t="s">
        <v>416</v>
      </c>
      <c r="B8" s="382"/>
      <c r="C8" s="383">
        <v>44984.563982499996</v>
      </c>
      <c r="D8" s="383"/>
      <c r="E8" s="383"/>
      <c r="F8" s="383">
        <v>44984.563982499996</v>
      </c>
      <c r="G8" s="384">
        <v>481778.50722999999</v>
      </c>
    </row>
    <row r="9" spans="1:12">
      <c r="A9" s="379" t="s">
        <v>279</v>
      </c>
      <c r="B9" s="376" t="s">
        <v>68</v>
      </c>
      <c r="C9" s="377"/>
      <c r="D9" s="377"/>
      <c r="E9" s="377">
        <v>2728.5876950000002</v>
      </c>
      <c r="F9" s="377">
        <v>2728.5876950000002</v>
      </c>
      <c r="G9" s="378">
        <v>36404.013404999998</v>
      </c>
    </row>
    <row r="10" spans="1:12">
      <c r="A10" s="379"/>
      <c r="B10" s="376" t="s">
        <v>67</v>
      </c>
      <c r="C10" s="377"/>
      <c r="D10" s="377"/>
      <c r="E10" s="377">
        <v>3012.4146474999998</v>
      </c>
      <c r="F10" s="377">
        <v>3012.4146474999998</v>
      </c>
      <c r="G10" s="378">
        <v>38280.985255000007</v>
      </c>
    </row>
    <row r="11" spans="1:12">
      <c r="A11" s="379"/>
      <c r="B11" s="376" t="s">
        <v>71</v>
      </c>
      <c r="C11" s="377"/>
      <c r="D11" s="377"/>
      <c r="E11" s="377">
        <v>1035.383145</v>
      </c>
      <c r="F11" s="377">
        <v>1035.383145</v>
      </c>
      <c r="G11" s="378">
        <v>21126.504097500001</v>
      </c>
    </row>
    <row r="12" spans="1:12">
      <c r="A12" s="379"/>
      <c r="B12" s="376" t="s">
        <v>70</v>
      </c>
      <c r="C12" s="377"/>
      <c r="D12" s="377"/>
      <c r="E12" s="377">
        <v>1252.8884</v>
      </c>
      <c r="F12" s="377">
        <v>1252.8884</v>
      </c>
      <c r="G12" s="378">
        <v>23268.630355000001</v>
      </c>
    </row>
    <row r="13" spans="1:12">
      <c r="A13" s="381" t="s">
        <v>417</v>
      </c>
      <c r="B13" s="382"/>
      <c r="C13" s="383"/>
      <c r="D13" s="383"/>
      <c r="E13" s="383">
        <v>8029.2738874999995</v>
      </c>
      <c r="F13" s="383">
        <v>8029.2738874999995</v>
      </c>
      <c r="G13" s="384">
        <v>119080.13311250001</v>
      </c>
    </row>
    <row r="14" spans="1:12">
      <c r="A14" s="379" t="s">
        <v>107</v>
      </c>
      <c r="B14" s="376" t="s">
        <v>418</v>
      </c>
      <c r="C14" s="377"/>
      <c r="D14" s="377">
        <v>20701.044152499999</v>
      </c>
      <c r="E14" s="377"/>
      <c r="F14" s="377">
        <v>20701.044152499999</v>
      </c>
      <c r="G14" s="378">
        <v>138298.14676499998</v>
      </c>
    </row>
    <row r="15" spans="1:12">
      <c r="A15" s="381" t="s">
        <v>419</v>
      </c>
      <c r="B15" s="382"/>
      <c r="C15" s="383"/>
      <c r="D15" s="383">
        <v>20701.044152499999</v>
      </c>
      <c r="E15" s="383"/>
      <c r="F15" s="383">
        <v>20701.044152499999</v>
      </c>
      <c r="G15" s="384">
        <v>138298.14676499998</v>
      </c>
    </row>
    <row r="16" spans="1:12">
      <c r="A16" s="379" t="s">
        <v>125</v>
      </c>
      <c r="B16" s="376" t="s">
        <v>420</v>
      </c>
      <c r="C16" s="377"/>
      <c r="D16" s="377">
        <v>2562.64264</v>
      </c>
      <c r="E16" s="377"/>
      <c r="F16" s="377">
        <v>2562.64264</v>
      </c>
      <c r="G16" s="378">
        <v>3883.6460500000003</v>
      </c>
    </row>
    <row r="17" spans="1:7">
      <c r="A17" s="381" t="s">
        <v>421</v>
      </c>
      <c r="B17" s="382"/>
      <c r="C17" s="383"/>
      <c r="D17" s="383">
        <v>2562.64264</v>
      </c>
      <c r="E17" s="383"/>
      <c r="F17" s="383">
        <v>2562.64264</v>
      </c>
      <c r="G17" s="384">
        <v>3883.6460500000003</v>
      </c>
    </row>
    <row r="18" spans="1:7">
      <c r="A18" s="379" t="s">
        <v>118</v>
      </c>
      <c r="B18" s="376" t="s">
        <v>72</v>
      </c>
      <c r="C18" s="377"/>
      <c r="D18" s="377"/>
      <c r="E18" s="377">
        <v>3497.02081</v>
      </c>
      <c r="F18" s="377">
        <v>3497.02081</v>
      </c>
      <c r="G18" s="378">
        <v>33858.658982499997</v>
      </c>
    </row>
    <row r="19" spans="1:7">
      <c r="A19" s="381" t="s">
        <v>422</v>
      </c>
      <c r="B19" s="382"/>
      <c r="C19" s="383"/>
      <c r="D19" s="383"/>
      <c r="E19" s="383">
        <v>3497.02081</v>
      </c>
      <c r="F19" s="383">
        <v>3497.02081</v>
      </c>
      <c r="G19" s="384">
        <v>33858.658982499997</v>
      </c>
    </row>
    <row r="20" spans="1:7">
      <c r="A20" s="379" t="s">
        <v>95</v>
      </c>
      <c r="B20" s="376" t="s">
        <v>423</v>
      </c>
      <c r="C20" s="377">
        <v>19863.328724999999</v>
      </c>
      <c r="D20" s="377"/>
      <c r="E20" s="377"/>
      <c r="F20" s="377">
        <v>19863.328724999999</v>
      </c>
      <c r="G20" s="378">
        <v>184554.92779749999</v>
      </c>
    </row>
    <row r="21" spans="1:7">
      <c r="A21" s="379"/>
      <c r="B21" s="376" t="s">
        <v>424</v>
      </c>
      <c r="C21" s="377">
        <v>38746.306567499996</v>
      </c>
      <c r="D21" s="377"/>
      <c r="E21" s="377"/>
      <c r="F21" s="377">
        <v>38746.306567499996</v>
      </c>
      <c r="G21" s="378">
        <v>582047.75266500004</v>
      </c>
    </row>
    <row r="22" spans="1:7">
      <c r="A22" s="379"/>
      <c r="B22" s="376" t="s">
        <v>425</v>
      </c>
      <c r="C22" s="377">
        <v>2591.8808650000001</v>
      </c>
      <c r="D22" s="377"/>
      <c r="E22" s="377"/>
      <c r="F22" s="377">
        <v>2591.8808650000001</v>
      </c>
      <c r="G22" s="378">
        <v>73332.645780000006</v>
      </c>
    </row>
    <row r="23" spans="1:7">
      <c r="A23" s="379"/>
      <c r="B23" s="376" t="s">
        <v>426</v>
      </c>
      <c r="C23" s="377">
        <v>127.98</v>
      </c>
      <c r="D23" s="377"/>
      <c r="E23" s="377"/>
      <c r="F23" s="377">
        <v>127.98</v>
      </c>
      <c r="G23" s="378">
        <v>185.60662000000002</v>
      </c>
    </row>
    <row r="24" spans="1:7">
      <c r="A24" s="379"/>
      <c r="B24" s="376" t="s">
        <v>427</v>
      </c>
      <c r="C24" s="377">
        <v>19732.754274999999</v>
      </c>
      <c r="D24" s="377"/>
      <c r="E24" s="377"/>
      <c r="F24" s="377">
        <v>19732.754274999999</v>
      </c>
      <c r="G24" s="378">
        <v>140063.01386500002</v>
      </c>
    </row>
    <row r="25" spans="1:7">
      <c r="A25" s="379"/>
      <c r="B25" s="376" t="s">
        <v>428</v>
      </c>
      <c r="C25" s="377">
        <v>2275.7680799999998</v>
      </c>
      <c r="D25" s="377"/>
      <c r="E25" s="377"/>
      <c r="F25" s="377">
        <v>2275.7680799999998</v>
      </c>
      <c r="G25" s="378">
        <v>14837.433119999998</v>
      </c>
    </row>
    <row r="26" spans="1:7">
      <c r="A26" s="379"/>
      <c r="B26" s="376" t="s">
        <v>429</v>
      </c>
      <c r="C26" s="377">
        <v>4132.6504199999999</v>
      </c>
      <c r="D26" s="377"/>
      <c r="E26" s="377"/>
      <c r="F26" s="377">
        <v>4132.6504199999999</v>
      </c>
      <c r="G26" s="378">
        <v>34532.844765000002</v>
      </c>
    </row>
    <row r="27" spans="1:7">
      <c r="A27" s="379"/>
      <c r="B27" s="376" t="s">
        <v>430</v>
      </c>
      <c r="C27" s="377">
        <v>2445.0417375000002</v>
      </c>
      <c r="D27" s="377"/>
      <c r="E27" s="377"/>
      <c r="F27" s="377">
        <v>2445.0417375000002</v>
      </c>
      <c r="G27" s="378">
        <v>19939.17568</v>
      </c>
    </row>
    <row r="28" spans="1:7">
      <c r="A28" s="379"/>
      <c r="B28" s="376" t="s">
        <v>431</v>
      </c>
      <c r="C28" s="377">
        <v>1158.6664974999999</v>
      </c>
      <c r="D28" s="377"/>
      <c r="E28" s="377"/>
      <c r="F28" s="377">
        <v>1158.6664974999999</v>
      </c>
      <c r="G28" s="378">
        <v>13312.940602499999</v>
      </c>
    </row>
    <row r="29" spans="1:7">
      <c r="A29" s="379"/>
      <c r="B29" s="376" t="s">
        <v>432</v>
      </c>
      <c r="C29" s="377">
        <v>288.22333250000003</v>
      </c>
      <c r="D29" s="377"/>
      <c r="E29" s="377"/>
      <c r="F29" s="377">
        <v>288.22333250000003</v>
      </c>
      <c r="G29" s="378">
        <v>728.69982750000008</v>
      </c>
    </row>
    <row r="30" spans="1:7">
      <c r="A30" s="379"/>
      <c r="B30" s="376" t="s">
        <v>433</v>
      </c>
      <c r="C30" s="377">
        <v>213.84729250000001</v>
      </c>
      <c r="D30" s="377"/>
      <c r="E30" s="377"/>
      <c r="F30" s="377">
        <v>213.84729250000001</v>
      </c>
      <c r="G30" s="378">
        <v>809.57142249999993</v>
      </c>
    </row>
    <row r="31" spans="1:7">
      <c r="A31" s="379"/>
      <c r="B31" s="376" t="s">
        <v>434</v>
      </c>
      <c r="C31" s="377">
        <v>67956.652527500002</v>
      </c>
      <c r="D31" s="377"/>
      <c r="E31" s="377"/>
      <c r="F31" s="377">
        <v>67956.652527500002</v>
      </c>
      <c r="G31" s="378">
        <v>479103.46148499998</v>
      </c>
    </row>
    <row r="32" spans="1:7">
      <c r="A32" s="381" t="s">
        <v>435</v>
      </c>
      <c r="B32" s="382"/>
      <c r="C32" s="383">
        <v>159533.10032</v>
      </c>
      <c r="D32" s="383"/>
      <c r="E32" s="383"/>
      <c r="F32" s="383">
        <v>159533.10032</v>
      </c>
      <c r="G32" s="384">
        <v>1543448.07363</v>
      </c>
    </row>
    <row r="33" spans="1:7">
      <c r="A33" s="379" t="s">
        <v>114</v>
      </c>
      <c r="B33" s="376" t="s">
        <v>263</v>
      </c>
      <c r="C33" s="377"/>
      <c r="D33" s="377"/>
      <c r="E33" s="377">
        <v>2484.9694875</v>
      </c>
      <c r="F33" s="377">
        <v>2484.9694875</v>
      </c>
      <c r="G33" s="378">
        <v>26357.680119999997</v>
      </c>
    </row>
    <row r="34" spans="1:7">
      <c r="A34" s="381" t="s">
        <v>436</v>
      </c>
      <c r="B34" s="382"/>
      <c r="C34" s="383"/>
      <c r="D34" s="383"/>
      <c r="E34" s="383">
        <v>2484.9694875</v>
      </c>
      <c r="F34" s="383">
        <v>2484.9694875</v>
      </c>
      <c r="G34" s="384">
        <v>26357.680119999997</v>
      </c>
    </row>
    <row r="35" spans="1:7">
      <c r="A35" s="379" t="s">
        <v>105</v>
      </c>
      <c r="B35" s="376" t="s">
        <v>687</v>
      </c>
      <c r="C35" s="377"/>
      <c r="D35" s="377">
        <v>193170.47227999999</v>
      </c>
      <c r="E35" s="377"/>
      <c r="F35" s="377">
        <v>193170.47227999999</v>
      </c>
      <c r="G35" s="378">
        <v>822928.12403499987</v>
      </c>
    </row>
    <row r="36" spans="1:7">
      <c r="A36" s="381" t="s">
        <v>437</v>
      </c>
      <c r="B36" s="382"/>
      <c r="C36" s="383"/>
      <c r="D36" s="383">
        <v>193170.47227999999</v>
      </c>
      <c r="E36" s="383"/>
      <c r="F36" s="383">
        <v>193170.47227999999</v>
      </c>
      <c r="G36" s="384">
        <v>822928.12403499987</v>
      </c>
    </row>
    <row r="37" spans="1:7">
      <c r="A37" s="379" t="s">
        <v>110</v>
      </c>
      <c r="B37" s="376" t="s">
        <v>438</v>
      </c>
      <c r="C37" s="377"/>
      <c r="D37" s="377">
        <v>61959.598970000006</v>
      </c>
      <c r="E37" s="377"/>
      <c r="F37" s="377">
        <v>61959.598970000006</v>
      </c>
      <c r="G37" s="378">
        <v>175038.20562000002</v>
      </c>
    </row>
    <row r="38" spans="1:7">
      <c r="A38" s="381" t="s">
        <v>439</v>
      </c>
      <c r="B38" s="382"/>
      <c r="C38" s="383"/>
      <c r="D38" s="383">
        <v>61959.598970000006</v>
      </c>
      <c r="E38" s="383"/>
      <c r="F38" s="383">
        <v>61959.598970000006</v>
      </c>
      <c r="G38" s="384">
        <v>175038.20562000002</v>
      </c>
    </row>
    <row r="39" spans="1:7">
      <c r="A39" s="379" t="s">
        <v>516</v>
      </c>
      <c r="B39" s="376" t="s">
        <v>686</v>
      </c>
      <c r="C39" s="377"/>
      <c r="D39" s="377"/>
      <c r="E39" s="377">
        <v>14223.20399</v>
      </c>
      <c r="F39" s="377">
        <v>14223.20399</v>
      </c>
      <c r="G39" s="378">
        <v>63849.540760000004</v>
      </c>
    </row>
    <row r="40" spans="1:7">
      <c r="A40" s="381" t="s">
        <v>518</v>
      </c>
      <c r="B40" s="382"/>
      <c r="C40" s="383"/>
      <c r="D40" s="383"/>
      <c r="E40" s="383">
        <v>14223.20399</v>
      </c>
      <c r="F40" s="383">
        <v>14223.20399</v>
      </c>
      <c r="G40" s="384">
        <v>63849.540760000004</v>
      </c>
    </row>
    <row r="41" spans="1:7">
      <c r="A41" s="379" t="s">
        <v>608</v>
      </c>
      <c r="B41" s="376" t="s">
        <v>391</v>
      </c>
      <c r="C41" s="377">
        <v>10099.239602500002</v>
      </c>
      <c r="D41" s="377"/>
      <c r="E41" s="377"/>
      <c r="F41" s="377">
        <v>10099.239602500002</v>
      </c>
      <c r="G41" s="378">
        <v>93201.968487500009</v>
      </c>
    </row>
    <row r="42" spans="1:7">
      <c r="A42" s="381" t="s">
        <v>543</v>
      </c>
      <c r="B42" s="382"/>
      <c r="C42" s="383">
        <v>10099.239602500002</v>
      </c>
      <c r="D42" s="383"/>
      <c r="E42" s="383"/>
      <c r="F42" s="383">
        <v>10099.239602500002</v>
      </c>
      <c r="G42" s="384">
        <v>93201.968487500009</v>
      </c>
    </row>
    <row r="43" spans="1:7" hidden="1">
      <c r="A43" s="379"/>
      <c r="B43" s="376"/>
      <c r="C43" s="377"/>
      <c r="D43" s="377"/>
      <c r="E43" s="377"/>
      <c r="F43" s="377"/>
      <c r="G43" s="378"/>
    </row>
    <row r="44" spans="1:7" hidden="1">
      <c r="A44" s="381"/>
      <c r="B44" s="382"/>
      <c r="C44" s="383"/>
      <c r="D44" s="383"/>
      <c r="E44" s="383"/>
      <c r="F44" s="383"/>
      <c r="G44" s="384"/>
    </row>
    <row r="45" spans="1:7" ht="12.75" hidden="1" customHeight="1">
      <c r="A45" s="674"/>
      <c r="B45" s="437"/>
      <c r="C45" s="675"/>
      <c r="D45" s="675"/>
      <c r="E45" s="675"/>
      <c r="F45" s="675"/>
      <c r="G45" s="676"/>
    </row>
    <row r="46" spans="1:7" ht="13.5" hidden="1" customHeight="1">
      <c r="A46" s="680"/>
      <c r="B46" s="677"/>
      <c r="C46" s="678"/>
      <c r="D46" s="678"/>
      <c r="E46" s="678"/>
      <c r="F46" s="678"/>
      <c r="G46" s="679"/>
    </row>
    <row r="48" spans="1:7">
      <c r="A48" s="390" t="s">
        <v>440</v>
      </c>
      <c r="B48" s="391"/>
      <c r="C48" s="392">
        <v>1930312.2530400001</v>
      </c>
      <c r="D48" s="392">
        <v>2011395.6335524998</v>
      </c>
      <c r="E48" s="392">
        <v>258303.68435</v>
      </c>
      <c r="F48" s="392">
        <v>4200011.5709425006</v>
      </c>
      <c r="G48" s="392">
        <v>29321469.206905</v>
      </c>
    </row>
    <row r="49" spans="1:13">
      <c r="A49" s="394" t="s">
        <v>441</v>
      </c>
      <c r="B49" s="395"/>
      <c r="C49" s="396"/>
      <c r="D49" s="396"/>
      <c r="E49" s="397"/>
      <c r="F49" s="393">
        <f>+'4. Tipo Recurso'!E21*1000</f>
        <v>3641.9110000000001</v>
      </c>
      <c r="G49" s="393">
        <f>+'4. Tipo Recurso'!G21*1000</f>
        <v>7542.9587299999994</v>
      </c>
    </row>
    <row r="50" spans="1:13">
      <c r="A50" s="398" t="s">
        <v>442</v>
      </c>
      <c r="B50" s="399"/>
      <c r="C50" s="400"/>
      <c r="D50" s="400"/>
      <c r="E50" s="401"/>
      <c r="F50" s="393">
        <v>0</v>
      </c>
      <c r="G50" s="393">
        <v>0</v>
      </c>
    </row>
    <row r="51" spans="1:13" ht="6.75" customHeight="1"/>
    <row r="52" spans="1:13" ht="23.25" customHeight="1">
      <c r="A52" s="870" t="s">
        <v>443</v>
      </c>
      <c r="B52" s="870"/>
      <c r="C52" s="870"/>
      <c r="D52" s="870"/>
      <c r="E52" s="870"/>
      <c r="F52" s="870"/>
      <c r="G52" s="870"/>
    </row>
    <row r="53" spans="1:13" ht="8.25" customHeight="1"/>
    <row r="54" spans="1:13">
      <c r="A54" s="376" t="s">
        <v>564</v>
      </c>
      <c r="B54" s="376"/>
      <c r="C54" s="376"/>
      <c r="D54" s="376"/>
      <c r="E54" s="376"/>
      <c r="F54" s="376"/>
    </row>
    <row r="55" spans="1:13" s="707" customFormat="1">
      <c r="A55" s="376" t="s">
        <v>600</v>
      </c>
      <c r="B55" s="376"/>
      <c r="C55" s="376"/>
      <c r="D55" s="376"/>
      <c r="E55" s="376"/>
      <c r="F55" s="376"/>
      <c r="G55"/>
      <c r="H55"/>
      <c r="I55"/>
      <c r="J55"/>
      <c r="K55"/>
      <c r="L55"/>
      <c r="M55"/>
    </row>
    <row r="56" spans="1:13">
      <c r="A56" s="376" t="s">
        <v>601</v>
      </c>
      <c r="B56" s="376"/>
      <c r="C56" s="376"/>
      <c r="D56" s="376"/>
      <c r="E56" s="376"/>
      <c r="F56" s="376"/>
    </row>
    <row r="57" spans="1:13">
      <c r="A57" s="376" t="s">
        <v>602</v>
      </c>
      <c r="B57" s="376"/>
      <c r="C57" s="376"/>
      <c r="D57" s="376"/>
      <c r="E57" s="376"/>
      <c r="F57" s="376"/>
    </row>
    <row r="58" spans="1:13">
      <c r="A58" s="376" t="s">
        <v>603</v>
      </c>
      <c r="B58" s="376"/>
      <c r="C58" s="376"/>
      <c r="D58" s="376"/>
      <c r="E58" s="376"/>
      <c r="F58" s="376"/>
    </row>
    <row r="59" spans="1:13">
      <c r="A59" s="376" t="s">
        <v>604</v>
      </c>
      <c r="B59" s="376"/>
      <c r="C59" s="376"/>
      <c r="D59" s="376"/>
      <c r="E59" s="376"/>
      <c r="F59" s="376"/>
    </row>
    <row r="60" spans="1:13">
      <c r="A60" s="376" t="s">
        <v>605</v>
      </c>
      <c r="B60" s="376"/>
      <c r="C60" s="376"/>
      <c r="D60" s="376"/>
      <c r="E60" s="376"/>
      <c r="F60" s="376"/>
    </row>
    <row r="61" spans="1:13">
      <c r="A61" s="376" t="s">
        <v>606</v>
      </c>
      <c r="B61" s="376"/>
      <c r="C61" s="376"/>
      <c r="D61" s="376"/>
      <c r="E61" s="376"/>
      <c r="F61" s="376"/>
    </row>
    <row r="62" spans="1:13">
      <c r="A62" s="376" t="s">
        <v>607</v>
      </c>
      <c r="B62" s="376"/>
      <c r="C62" s="376"/>
      <c r="D62" s="376"/>
      <c r="E62" s="376"/>
      <c r="F62" s="376"/>
    </row>
    <row r="63" spans="1:13">
      <c r="A63" s="376" t="s">
        <v>610</v>
      </c>
      <c r="B63" s="376"/>
      <c r="C63" s="376"/>
      <c r="D63" s="376"/>
      <c r="E63" s="376"/>
      <c r="F63" s="376"/>
    </row>
    <row r="64" spans="1:13">
      <c r="A64" t="s">
        <v>680</v>
      </c>
      <c r="B64" s="376"/>
      <c r="C64" s="376"/>
      <c r="D64" s="376"/>
      <c r="E64" s="376"/>
      <c r="F64" s="376"/>
    </row>
    <row r="65" spans="2:6">
      <c r="B65" s="376"/>
      <c r="C65" s="376"/>
      <c r="D65" s="376"/>
      <c r="E65" s="376"/>
      <c r="F65" s="376"/>
    </row>
  </sheetData>
  <mergeCells count="6">
    <mergeCell ref="A52:G52"/>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Julio 2018
INFSGI-MES-07-2018
14/08/2018
Versión: 01</oddHeader>
    <oddFooter>&amp;L&amp;7COES SINAC, 2018
&amp;C20&amp;R&amp;7Dirección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9D01E-3BDA-4B07-BE02-840EF177556E}">
  <sheetPr>
    <tabColor theme="4"/>
  </sheetPr>
  <dimension ref="A1:L66"/>
  <sheetViews>
    <sheetView showGridLines="0" view="pageBreakPreview" zoomScale="130" zoomScaleNormal="100" zoomScaleSheetLayoutView="130" zoomScalePageLayoutView="160" workbookViewId="0">
      <selection activeCell="Q29" sqref="Q29"/>
    </sheetView>
  </sheetViews>
  <sheetFormatPr baseColWidth="10" defaultColWidth="9.28515625" defaultRowHeight="9.6"/>
  <cols>
    <col min="1" max="1" width="28.7109375" style="376" customWidth="1"/>
    <col min="2" max="2" width="22.140625" style="376" customWidth="1"/>
    <col min="3" max="4" width="17.7109375" style="376" customWidth="1"/>
    <col min="5" max="5" width="15.140625" style="376" customWidth="1"/>
    <col min="6" max="6" width="13.28515625" style="376" customWidth="1"/>
    <col min="7" max="9" width="9.28515625" style="376"/>
    <col min="10" max="11" width="9.28515625" style="376" customWidth="1"/>
    <col min="12" max="16384" width="9.28515625" style="376"/>
  </cols>
  <sheetData>
    <row r="1" spans="1:12" ht="11.25" customHeight="1">
      <c r="A1" s="385" t="s">
        <v>454</v>
      </c>
    </row>
    <row r="2" spans="1:12" ht="11.25" customHeight="1">
      <c r="A2" s="871" t="s">
        <v>286</v>
      </c>
      <c r="B2" s="874" t="s">
        <v>57</v>
      </c>
      <c r="C2" s="874" t="s">
        <v>455</v>
      </c>
      <c r="D2" s="874"/>
      <c r="E2" s="874"/>
      <c r="F2" s="877"/>
      <c r="G2" s="402"/>
      <c r="H2" s="402"/>
      <c r="I2" s="402"/>
      <c r="J2" s="402"/>
      <c r="K2" s="402"/>
    </row>
    <row r="3" spans="1:12" ht="11.25" customHeight="1">
      <c r="A3" s="872"/>
      <c r="B3" s="875"/>
      <c r="C3" s="420" t="str">
        <f>UPPER('1. Resumen'!Q4)&amp;" "&amp;'1. Resumen'!Q5</f>
        <v>JULIO 2018</v>
      </c>
      <c r="D3" s="421" t="str">
        <f>UPPER('1. Resumen'!Q4)&amp;" "&amp;'1. Resumen'!Q5-1</f>
        <v>JULIO 2017</v>
      </c>
      <c r="E3" s="422">
        <v>2018</v>
      </c>
      <c r="F3" s="403" t="s">
        <v>453</v>
      </c>
      <c r="G3" s="404"/>
      <c r="H3" s="404"/>
      <c r="I3" s="404"/>
      <c r="J3" s="404"/>
      <c r="K3" s="404"/>
      <c r="L3" s="402"/>
    </row>
    <row r="4" spans="1:12" ht="11.25" customHeight="1">
      <c r="A4" s="872"/>
      <c r="B4" s="875"/>
      <c r="C4" s="423">
        <f>+'8. Max Potencia'!D8</f>
        <v>43294.791666666664</v>
      </c>
      <c r="D4" s="423">
        <f>+'8. Max Potencia'!E8</f>
        <v>42928.822916666664</v>
      </c>
      <c r="E4" s="423">
        <f>+'8. Max Potencia'!G8</f>
        <v>43214.78125</v>
      </c>
      <c r="F4" s="424" t="s">
        <v>444</v>
      </c>
      <c r="G4" s="405"/>
      <c r="H4" s="405"/>
      <c r="I4" s="406"/>
      <c r="J4" s="406"/>
      <c r="K4" s="406"/>
      <c r="L4" s="402"/>
    </row>
    <row r="5" spans="1:12" ht="11.25" customHeight="1">
      <c r="A5" s="873"/>
      <c r="B5" s="876"/>
      <c r="C5" s="425">
        <f>+'8. Max Potencia'!D9</f>
        <v>43294.791666666664</v>
      </c>
      <c r="D5" s="425">
        <f>+'8. Max Potencia'!E9</f>
        <v>42898.822916666664</v>
      </c>
      <c r="E5" s="425">
        <f>+'8. Max Potencia'!G9</f>
        <v>43214.78125</v>
      </c>
      <c r="F5" s="426" t="s">
        <v>445</v>
      </c>
      <c r="G5" s="405"/>
      <c r="H5" s="405"/>
      <c r="I5" s="405"/>
      <c r="J5" s="405"/>
      <c r="K5" s="405"/>
      <c r="L5" s="407"/>
    </row>
    <row r="6" spans="1:12" ht="11.25" customHeight="1">
      <c r="A6" s="380" t="s">
        <v>127</v>
      </c>
      <c r="B6" s="372" t="s">
        <v>91</v>
      </c>
      <c r="C6" s="419">
        <v>0</v>
      </c>
      <c r="D6" s="419">
        <v>2.1127600000000002</v>
      </c>
      <c r="E6" s="419">
        <v>0</v>
      </c>
      <c r="F6" s="562">
        <f>+IF(D6=0,"",C6/D6-1)</f>
        <v>-1</v>
      </c>
      <c r="G6" s="405"/>
      <c r="H6" s="405"/>
      <c r="I6" s="405"/>
      <c r="J6" s="405"/>
      <c r="K6" s="405"/>
      <c r="L6" s="408"/>
    </row>
    <row r="7" spans="1:12" ht="11.25" customHeight="1">
      <c r="A7" s="381" t="s">
        <v>322</v>
      </c>
      <c r="B7" s="382"/>
      <c r="C7" s="415">
        <v>0</v>
      </c>
      <c r="D7" s="415">
        <v>2.1127600000000002</v>
      </c>
      <c r="E7" s="415">
        <v>0</v>
      </c>
      <c r="F7" s="418">
        <f t="shared" ref="F7:F65" si="0">+IF(D7=0,"",C7/D7-1)</f>
        <v>-1</v>
      </c>
      <c r="G7" s="405"/>
      <c r="H7" s="405"/>
      <c r="I7" s="405"/>
      <c r="J7" s="405"/>
      <c r="K7" s="405"/>
      <c r="L7" s="333"/>
    </row>
    <row r="8" spans="1:12" ht="11.25" customHeight="1">
      <c r="A8" s="375" t="s">
        <v>126</v>
      </c>
      <c r="B8" s="376" t="s">
        <v>66</v>
      </c>
      <c r="C8" s="416">
        <v>4.2273899999999998</v>
      </c>
      <c r="D8" s="416">
        <v>1.26932</v>
      </c>
      <c r="E8" s="416">
        <v>19.946739999999998</v>
      </c>
      <c r="F8" s="417">
        <f t="shared" si="0"/>
        <v>2.3304367692937951</v>
      </c>
      <c r="G8" s="405"/>
      <c r="H8" s="405"/>
      <c r="I8" s="405"/>
      <c r="J8" s="405"/>
      <c r="K8" s="405"/>
      <c r="L8" s="409"/>
    </row>
    <row r="9" spans="1:12" ht="11.25" customHeight="1">
      <c r="A9" s="381" t="s">
        <v>323</v>
      </c>
      <c r="B9" s="382"/>
      <c r="C9" s="415">
        <v>4.2273899999999998</v>
      </c>
      <c r="D9" s="415">
        <v>1.26932</v>
      </c>
      <c r="E9" s="415">
        <v>19.946739999999998</v>
      </c>
      <c r="F9" s="418">
        <f t="shared" si="0"/>
        <v>2.3304367692937951</v>
      </c>
      <c r="G9" s="405"/>
      <c r="H9" s="405"/>
      <c r="I9" s="405"/>
      <c r="J9" s="405"/>
      <c r="K9" s="405"/>
      <c r="L9" s="333"/>
    </row>
    <row r="10" spans="1:12" ht="11.25" customHeight="1">
      <c r="A10" s="375" t="s">
        <v>111</v>
      </c>
      <c r="B10" s="376" t="s">
        <v>88</v>
      </c>
      <c r="C10" s="416">
        <v>13.786569999999999</v>
      </c>
      <c r="D10" s="416">
        <v>14.921329999999999</v>
      </c>
      <c r="E10" s="416">
        <v>14.774369999999999</v>
      </c>
      <c r="F10" s="417">
        <f t="shared" si="0"/>
        <v>-7.6049521054758484E-2</v>
      </c>
      <c r="G10" s="405"/>
      <c r="H10" s="405"/>
      <c r="I10" s="405"/>
      <c r="J10" s="405"/>
      <c r="K10" s="405"/>
      <c r="L10" s="333"/>
    </row>
    <row r="11" spans="1:12" ht="11.25" customHeight="1">
      <c r="A11" s="381" t="s">
        <v>324</v>
      </c>
      <c r="B11" s="382"/>
      <c r="C11" s="415">
        <v>13.786569999999999</v>
      </c>
      <c r="D11" s="415">
        <v>14.921329999999999</v>
      </c>
      <c r="E11" s="415">
        <v>14.774369999999999</v>
      </c>
      <c r="F11" s="418">
        <f t="shared" si="0"/>
        <v>-7.6049521054758484E-2</v>
      </c>
      <c r="G11" s="405"/>
      <c r="H11" s="405"/>
      <c r="I11" s="405"/>
      <c r="J11" s="405"/>
      <c r="K11" s="405"/>
      <c r="L11" s="333"/>
    </row>
    <row r="12" spans="1:12" ht="11.25" customHeight="1">
      <c r="A12" s="375" t="s">
        <v>99</v>
      </c>
      <c r="B12" s="376" t="s">
        <v>325</v>
      </c>
      <c r="C12" s="416">
        <v>180.89832999999999</v>
      </c>
      <c r="D12" s="416">
        <v>216.52627999999999</v>
      </c>
      <c r="E12" s="416">
        <v>211.36326</v>
      </c>
      <c r="F12" s="417">
        <f t="shared" si="0"/>
        <v>-0.16454330624439673</v>
      </c>
      <c r="G12" s="405"/>
      <c r="H12" s="405"/>
      <c r="I12" s="405"/>
      <c r="J12" s="405"/>
      <c r="K12" s="405"/>
      <c r="L12" s="333"/>
    </row>
    <row r="13" spans="1:12" ht="11.25" customHeight="1">
      <c r="A13" s="381" t="s">
        <v>326</v>
      </c>
      <c r="B13" s="382"/>
      <c r="C13" s="415">
        <v>180.89832999999999</v>
      </c>
      <c r="D13" s="415">
        <v>216.52627999999999</v>
      </c>
      <c r="E13" s="415">
        <v>211.36326</v>
      </c>
      <c r="F13" s="418">
        <f t="shared" si="0"/>
        <v>-0.16454330624439673</v>
      </c>
      <c r="G13" s="405"/>
      <c r="H13" s="405"/>
      <c r="I13" s="405"/>
      <c r="J13" s="405"/>
      <c r="K13" s="405"/>
      <c r="L13" s="409"/>
    </row>
    <row r="14" spans="1:12" ht="11.25" customHeight="1">
      <c r="A14" s="375" t="s">
        <v>129</v>
      </c>
      <c r="B14" s="376" t="s">
        <v>396</v>
      </c>
      <c r="C14" s="416"/>
      <c r="D14" s="416">
        <v>222.12781000000001</v>
      </c>
      <c r="E14" s="416"/>
      <c r="F14" s="417">
        <f t="shared" si="0"/>
        <v>-1</v>
      </c>
      <c r="G14" s="405"/>
      <c r="H14" s="405"/>
      <c r="I14" s="405"/>
      <c r="J14" s="405"/>
      <c r="K14" s="405"/>
      <c r="L14" s="333"/>
    </row>
    <row r="15" spans="1:12" ht="11.25" customHeight="1">
      <c r="A15" s="381" t="s">
        <v>446</v>
      </c>
      <c r="B15" s="382"/>
      <c r="C15" s="415"/>
      <c r="D15" s="415">
        <v>222.12781000000001</v>
      </c>
      <c r="E15" s="415"/>
      <c r="F15" s="418">
        <f t="shared" si="0"/>
        <v>-1</v>
      </c>
      <c r="G15" s="405"/>
      <c r="H15" s="405"/>
      <c r="I15" s="405"/>
      <c r="J15" s="405"/>
      <c r="K15" s="405"/>
      <c r="L15" s="333"/>
    </row>
    <row r="16" spans="1:12" ht="11.25" customHeight="1">
      <c r="A16" s="375" t="s">
        <v>269</v>
      </c>
      <c r="B16" s="376" t="s">
        <v>327</v>
      </c>
      <c r="C16" s="416">
        <v>0</v>
      </c>
      <c r="D16" s="416">
        <v>0</v>
      </c>
      <c r="E16" s="416">
        <v>0</v>
      </c>
      <c r="F16" s="417" t="str">
        <f t="shared" si="0"/>
        <v/>
      </c>
      <c r="G16" s="405"/>
      <c r="H16" s="405"/>
      <c r="I16" s="405"/>
      <c r="J16" s="405"/>
      <c r="K16" s="405"/>
      <c r="L16" s="333"/>
    </row>
    <row r="17" spans="1:12" ht="11.25" customHeight="1">
      <c r="A17" s="381" t="s">
        <v>328</v>
      </c>
      <c r="B17" s="382"/>
      <c r="C17" s="415">
        <v>0</v>
      </c>
      <c r="D17" s="415">
        <v>0</v>
      </c>
      <c r="E17" s="415">
        <v>0</v>
      </c>
      <c r="F17" s="418" t="str">
        <f t="shared" si="0"/>
        <v/>
      </c>
      <c r="G17" s="405"/>
      <c r="H17" s="405"/>
      <c r="I17" s="405"/>
      <c r="J17" s="405"/>
      <c r="K17" s="405"/>
      <c r="L17" s="333"/>
    </row>
    <row r="18" spans="1:12" ht="11.25" customHeight="1">
      <c r="A18" s="379" t="s">
        <v>98</v>
      </c>
      <c r="B18" s="376" t="s">
        <v>329</v>
      </c>
      <c r="C18" s="416">
        <v>102.62803</v>
      </c>
      <c r="D18" s="416">
        <v>120.30022</v>
      </c>
      <c r="E18" s="416">
        <v>150.04429999999999</v>
      </c>
      <c r="F18" s="417">
        <f t="shared" si="0"/>
        <v>-0.14690072885984751</v>
      </c>
      <c r="G18" s="405"/>
      <c r="H18" s="405"/>
      <c r="I18" s="405"/>
      <c r="J18" s="405"/>
      <c r="K18" s="405"/>
      <c r="L18" s="333"/>
    </row>
    <row r="19" spans="1:12" ht="11.25" customHeight="1">
      <c r="A19" s="375"/>
      <c r="B19" s="376" t="s">
        <v>330</v>
      </c>
      <c r="C19" s="416">
        <v>21.881129999999999</v>
      </c>
      <c r="D19" s="416">
        <v>15.359109999999999</v>
      </c>
      <c r="E19" s="416">
        <v>42.428910000000002</v>
      </c>
      <c r="F19" s="417">
        <f t="shared" si="0"/>
        <v>0.42463528160160324</v>
      </c>
      <c r="G19" s="405"/>
      <c r="H19" s="405"/>
      <c r="I19" s="405"/>
      <c r="J19" s="405"/>
      <c r="K19" s="405"/>
      <c r="L19" s="333"/>
    </row>
    <row r="20" spans="1:12" ht="11.25" customHeight="1">
      <c r="A20" s="381" t="s">
        <v>331</v>
      </c>
      <c r="B20" s="382"/>
      <c r="C20" s="415">
        <v>124.50915999999999</v>
      </c>
      <c r="D20" s="415">
        <v>135.65932999999998</v>
      </c>
      <c r="E20" s="415">
        <v>192.47320999999999</v>
      </c>
      <c r="F20" s="418">
        <f t="shared" si="0"/>
        <v>-8.2192430111515336E-2</v>
      </c>
      <c r="G20" s="405"/>
      <c r="H20" s="405"/>
      <c r="I20" s="405"/>
      <c r="J20" s="405"/>
      <c r="K20" s="405"/>
      <c r="L20" s="333"/>
    </row>
    <row r="21" spans="1:12" ht="11.25" customHeight="1">
      <c r="A21" s="375" t="s">
        <v>727</v>
      </c>
      <c r="B21" s="376" t="s">
        <v>90</v>
      </c>
      <c r="C21" s="416"/>
      <c r="D21" s="416">
        <v>3.0007999999999999</v>
      </c>
      <c r="E21" s="416"/>
      <c r="F21" s="417">
        <f t="shared" si="0"/>
        <v>-1</v>
      </c>
      <c r="G21" s="405"/>
      <c r="H21" s="405"/>
      <c r="I21" s="405"/>
      <c r="J21" s="405"/>
      <c r="K21" s="405"/>
      <c r="L21" s="410"/>
    </row>
    <row r="22" spans="1:12" ht="11.25" customHeight="1">
      <c r="A22" s="381" t="s">
        <v>447</v>
      </c>
      <c r="B22" s="382"/>
      <c r="C22" s="415"/>
      <c r="D22" s="415">
        <v>3.0007999999999999</v>
      </c>
      <c r="E22" s="415"/>
      <c r="F22" s="418">
        <f t="shared" si="0"/>
        <v>-1</v>
      </c>
      <c r="G22" s="405"/>
      <c r="H22" s="405"/>
      <c r="I22" s="405"/>
      <c r="J22" s="405"/>
      <c r="K22" s="405"/>
      <c r="L22" s="333"/>
    </row>
    <row r="23" spans="1:12" ht="11.25" customHeight="1">
      <c r="A23" s="379" t="s">
        <v>96</v>
      </c>
      <c r="B23" s="376" t="s">
        <v>332</v>
      </c>
      <c r="C23" s="416">
        <v>1.6986400000000001</v>
      </c>
      <c r="D23" s="416">
        <v>1.6877800000000001</v>
      </c>
      <c r="E23" s="416">
        <v>1.6834100000000001</v>
      </c>
      <c r="F23" s="417">
        <f t="shared" si="0"/>
        <v>6.4344879071918104E-3</v>
      </c>
      <c r="G23" s="405"/>
      <c r="H23" s="405"/>
      <c r="I23" s="405"/>
      <c r="J23" s="405"/>
      <c r="K23" s="405"/>
      <c r="L23" s="333"/>
    </row>
    <row r="24" spans="1:12" ht="11.25" customHeight="1">
      <c r="A24" s="379"/>
      <c r="B24" s="376" t="s">
        <v>333</v>
      </c>
      <c r="C24" s="416">
        <v>0.57237000000000005</v>
      </c>
      <c r="D24" s="416">
        <v>0.58209</v>
      </c>
      <c r="E24" s="416">
        <v>0.57247000000000003</v>
      </c>
      <c r="F24" s="417">
        <f t="shared" si="0"/>
        <v>-1.66984486935009E-2</v>
      </c>
      <c r="G24" s="405"/>
      <c r="H24" s="405"/>
      <c r="I24" s="405"/>
      <c r="J24" s="405"/>
      <c r="K24" s="405"/>
      <c r="L24" s="333"/>
    </row>
    <row r="25" spans="1:12" ht="11.25" customHeight="1">
      <c r="A25" s="379"/>
      <c r="B25" s="376" t="s">
        <v>334</v>
      </c>
      <c r="C25" s="416">
        <v>4.5564099999999996</v>
      </c>
      <c r="D25" s="416">
        <v>4.5319000000000003</v>
      </c>
      <c r="E25" s="416">
        <v>4.5586400000000005</v>
      </c>
      <c r="F25" s="417">
        <f t="shared" si="0"/>
        <v>5.4083276330014751E-3</v>
      </c>
      <c r="G25" s="405"/>
      <c r="H25" s="405"/>
      <c r="I25" s="405"/>
      <c r="J25" s="405"/>
      <c r="K25" s="405"/>
      <c r="L25" s="410"/>
    </row>
    <row r="26" spans="1:12" ht="11.25" customHeight="1">
      <c r="A26" s="379"/>
      <c r="B26" s="376" t="s">
        <v>335</v>
      </c>
      <c r="C26" s="416">
        <v>13.77017</v>
      </c>
      <c r="D26" s="416">
        <v>10.116330000000001</v>
      </c>
      <c r="E26" s="416">
        <v>14.91696</v>
      </c>
      <c r="F26" s="417">
        <f t="shared" si="0"/>
        <v>0.36118236554165373</v>
      </c>
      <c r="G26" s="405"/>
      <c r="H26" s="405"/>
      <c r="I26" s="405"/>
      <c r="J26" s="405"/>
      <c r="K26" s="405"/>
      <c r="L26" s="333"/>
    </row>
    <row r="27" spans="1:12" ht="11.25" customHeight="1">
      <c r="A27" s="379"/>
      <c r="B27" s="376" t="s">
        <v>336</v>
      </c>
      <c r="C27" s="416">
        <v>129.68941999999998</v>
      </c>
      <c r="D27" s="416">
        <v>119.57226999999999</v>
      </c>
      <c r="E27" s="416">
        <v>100.06004999999999</v>
      </c>
      <c r="F27" s="417">
        <f t="shared" si="0"/>
        <v>8.4611172807876001E-2</v>
      </c>
      <c r="G27" s="405"/>
      <c r="H27" s="405"/>
      <c r="I27" s="405"/>
      <c r="J27" s="405"/>
      <c r="K27" s="405"/>
      <c r="L27" s="333"/>
    </row>
    <row r="28" spans="1:12" ht="11.25" customHeight="1">
      <c r="A28" s="379"/>
      <c r="B28" s="376" t="s">
        <v>337</v>
      </c>
      <c r="C28" s="416">
        <v>8.6110399999999991</v>
      </c>
      <c r="D28" s="416">
        <v>8.0250800000000009</v>
      </c>
      <c r="E28" s="416">
        <v>8.8026300000000006</v>
      </c>
      <c r="F28" s="417">
        <f t="shared" si="0"/>
        <v>7.3016094543605581E-2</v>
      </c>
      <c r="G28" s="405"/>
      <c r="H28" s="405"/>
      <c r="I28" s="405"/>
      <c r="J28" s="405"/>
      <c r="K28" s="405"/>
      <c r="L28" s="333"/>
    </row>
    <row r="29" spans="1:12" ht="11.25" customHeight="1">
      <c r="A29" s="379"/>
      <c r="B29" s="376" t="s">
        <v>338</v>
      </c>
      <c r="C29" s="416">
        <v>0</v>
      </c>
      <c r="D29" s="416">
        <v>4.8040000000000003</v>
      </c>
      <c r="E29" s="416">
        <v>0</v>
      </c>
      <c r="F29" s="417">
        <f t="shared" si="0"/>
        <v>-1</v>
      </c>
      <c r="G29" s="405"/>
      <c r="H29" s="405"/>
      <c r="I29" s="405"/>
      <c r="J29" s="405"/>
      <c r="K29" s="405"/>
      <c r="L29" s="333"/>
    </row>
    <row r="30" spans="1:12" ht="11.25" customHeight="1">
      <c r="A30" s="379"/>
      <c r="B30" s="376" t="s">
        <v>339</v>
      </c>
      <c r="C30" s="416">
        <v>0</v>
      </c>
      <c r="D30" s="416">
        <v>9.9841300000000004</v>
      </c>
      <c r="E30" s="416">
        <v>0</v>
      </c>
      <c r="F30" s="417">
        <f t="shared" si="0"/>
        <v>-1</v>
      </c>
      <c r="G30" s="405"/>
      <c r="H30" s="405"/>
      <c r="I30" s="405"/>
      <c r="J30" s="405"/>
      <c r="K30" s="405"/>
      <c r="L30" s="333"/>
    </row>
    <row r="31" spans="1:12" ht="11.25" customHeight="1">
      <c r="A31" s="379"/>
      <c r="B31" s="376" t="s">
        <v>340</v>
      </c>
      <c r="C31" s="416">
        <v>0</v>
      </c>
      <c r="D31" s="416">
        <v>73.827930000000009</v>
      </c>
      <c r="E31" s="416">
        <v>13.699870000000001</v>
      </c>
      <c r="F31" s="417">
        <f t="shared" si="0"/>
        <v>-1</v>
      </c>
      <c r="G31" s="405"/>
      <c r="H31" s="405"/>
      <c r="I31" s="405"/>
      <c r="J31" s="405"/>
      <c r="K31" s="411"/>
      <c r="L31" s="333"/>
    </row>
    <row r="32" spans="1:12" ht="11.25" customHeight="1">
      <c r="A32" s="381" t="s">
        <v>341</v>
      </c>
      <c r="B32" s="382"/>
      <c r="C32" s="415">
        <v>158.89804999999998</v>
      </c>
      <c r="D32" s="415">
        <v>233.13150999999999</v>
      </c>
      <c r="E32" s="415">
        <v>144.29402999999999</v>
      </c>
      <c r="F32" s="418">
        <f t="shared" si="0"/>
        <v>-0.3184188186315956</v>
      </c>
      <c r="G32" s="405"/>
      <c r="H32" s="405"/>
      <c r="I32" s="405"/>
      <c r="J32" s="405"/>
      <c r="K32" s="411"/>
      <c r="L32" s="333"/>
    </row>
    <row r="33" spans="1:12" ht="11.25" customHeight="1">
      <c r="A33" s="375" t="s">
        <v>119</v>
      </c>
      <c r="B33" s="376" t="s">
        <v>73</v>
      </c>
      <c r="C33" s="416">
        <v>2.1800000000000002</v>
      </c>
      <c r="D33" s="416">
        <v>1.81</v>
      </c>
      <c r="E33" s="416">
        <v>4.55</v>
      </c>
      <c r="F33" s="417">
        <f t="shared" si="0"/>
        <v>0.20441988950276246</v>
      </c>
      <c r="G33" s="405"/>
      <c r="H33" s="405"/>
      <c r="I33" s="405"/>
      <c r="J33" s="405"/>
      <c r="K33" s="411"/>
      <c r="L33" s="333"/>
    </row>
    <row r="34" spans="1:12" ht="11.25" customHeight="1">
      <c r="A34" s="381" t="s">
        <v>342</v>
      </c>
      <c r="B34" s="382"/>
      <c r="C34" s="415">
        <v>2.1800000000000002</v>
      </c>
      <c r="D34" s="415">
        <v>1.81</v>
      </c>
      <c r="E34" s="415">
        <v>4.55</v>
      </c>
      <c r="F34" s="418">
        <f t="shared" si="0"/>
        <v>0.20441988950276246</v>
      </c>
      <c r="G34" s="405"/>
      <c r="H34" s="405"/>
      <c r="I34" s="405"/>
      <c r="J34" s="405"/>
      <c r="K34" s="411"/>
      <c r="L34" s="333"/>
    </row>
    <row r="35" spans="1:12" ht="11.25" customHeight="1">
      <c r="A35" s="375" t="s">
        <v>97</v>
      </c>
      <c r="B35" s="376" t="s">
        <v>343</v>
      </c>
      <c r="C35" s="416">
        <v>115.89467</v>
      </c>
      <c r="D35" s="416">
        <v>95.912599999999998</v>
      </c>
      <c r="E35" s="416">
        <v>163.94774999999998</v>
      </c>
      <c r="F35" s="417">
        <f t="shared" si="0"/>
        <v>0.20833623528087042</v>
      </c>
      <c r="G35" s="405"/>
      <c r="H35" s="405"/>
      <c r="I35" s="405"/>
      <c r="J35" s="405"/>
      <c r="K35" s="411"/>
      <c r="L35" s="333"/>
    </row>
    <row r="36" spans="1:12" ht="11.25" customHeight="1">
      <c r="A36" s="381" t="s">
        <v>344</v>
      </c>
      <c r="B36" s="382"/>
      <c r="C36" s="415">
        <v>115.89467</v>
      </c>
      <c r="D36" s="415">
        <v>95.912599999999998</v>
      </c>
      <c r="E36" s="415">
        <v>163.94774999999998</v>
      </c>
      <c r="F36" s="418">
        <f t="shared" si="0"/>
        <v>0.20833623528087042</v>
      </c>
      <c r="G36" s="405"/>
      <c r="H36" s="405"/>
      <c r="I36" s="405"/>
      <c r="J36" s="405"/>
      <c r="K36" s="411"/>
      <c r="L36" s="333"/>
    </row>
    <row r="37" spans="1:12" ht="11.25" customHeight="1">
      <c r="A37" s="379" t="s">
        <v>106</v>
      </c>
      <c r="B37" s="376" t="s">
        <v>345</v>
      </c>
      <c r="C37" s="416">
        <v>16.356000000000002</v>
      </c>
      <c r="D37" s="416">
        <v>16.8</v>
      </c>
      <c r="E37" s="416">
        <v>15.852</v>
      </c>
      <c r="F37" s="417">
        <f t="shared" si="0"/>
        <v>-2.6428571428571357E-2</v>
      </c>
      <c r="G37" s="405"/>
      <c r="H37" s="405"/>
      <c r="I37" s="405"/>
      <c r="J37" s="405"/>
      <c r="K37" s="411"/>
      <c r="L37" s="333"/>
    </row>
    <row r="38" spans="1:12" ht="11.25" customHeight="1">
      <c r="A38" s="379"/>
      <c r="B38" s="376" t="s">
        <v>346</v>
      </c>
      <c r="C38" s="416">
        <v>9.4979999999999993</v>
      </c>
      <c r="D38" s="416">
        <v>10.164</v>
      </c>
      <c r="E38" s="416">
        <v>9.5280000000000005</v>
      </c>
      <c r="F38" s="417">
        <f t="shared" si="0"/>
        <v>-6.5525383707201956E-2</v>
      </c>
      <c r="G38" s="405"/>
      <c r="H38" s="405"/>
      <c r="I38" s="405"/>
      <c r="J38" s="405"/>
      <c r="K38" s="411"/>
      <c r="L38" s="412"/>
    </row>
    <row r="39" spans="1:12" ht="11.25" customHeight="1">
      <c r="A39" s="379"/>
      <c r="B39" s="376" t="s">
        <v>347</v>
      </c>
      <c r="C39" s="416">
        <v>21.059179999999998</v>
      </c>
      <c r="D39" s="416">
        <v>21.442909999999998</v>
      </c>
      <c r="E39" s="416">
        <v>21.15654</v>
      </c>
      <c r="F39" s="417">
        <f t="shared" si="0"/>
        <v>-1.789542557423407E-2</v>
      </c>
      <c r="G39" s="405"/>
      <c r="H39" s="405"/>
      <c r="I39" s="405"/>
      <c r="J39" s="405"/>
      <c r="K39" s="411"/>
      <c r="L39" s="333"/>
    </row>
    <row r="40" spans="1:12" ht="11.25" customHeight="1">
      <c r="A40" s="381" t="s">
        <v>348</v>
      </c>
      <c r="B40" s="382"/>
      <c r="C40" s="415">
        <v>46.913179999999997</v>
      </c>
      <c r="D40" s="415">
        <v>48.406909999999996</v>
      </c>
      <c r="E40" s="415">
        <v>46.536540000000002</v>
      </c>
      <c r="F40" s="418">
        <f t="shared" si="0"/>
        <v>-3.0857784560096913E-2</v>
      </c>
      <c r="G40" s="405"/>
      <c r="H40" s="405"/>
      <c r="I40" s="405"/>
      <c r="J40" s="405"/>
      <c r="K40" s="411"/>
      <c r="L40" s="333"/>
    </row>
    <row r="41" spans="1:12" ht="11.25" customHeight="1">
      <c r="A41" s="375" t="s">
        <v>124</v>
      </c>
      <c r="B41" s="376" t="s">
        <v>78</v>
      </c>
      <c r="C41" s="416">
        <v>0.30986999999999998</v>
      </c>
      <c r="D41" s="416">
        <v>0.58531</v>
      </c>
      <c r="E41" s="416">
        <v>0</v>
      </c>
      <c r="F41" s="417">
        <f t="shared" si="0"/>
        <v>-0.47058823529411764</v>
      </c>
      <c r="G41" s="405"/>
      <c r="H41" s="405"/>
      <c r="I41" s="405"/>
      <c r="J41" s="405"/>
      <c r="K41" s="411"/>
      <c r="L41" s="333"/>
    </row>
    <row r="42" spans="1:12" ht="11.25" customHeight="1">
      <c r="A42" s="381" t="s">
        <v>349</v>
      </c>
      <c r="B42" s="382"/>
      <c r="C42" s="415">
        <v>0.30986999999999998</v>
      </c>
      <c r="D42" s="415">
        <v>0.58531</v>
      </c>
      <c r="E42" s="415">
        <v>0</v>
      </c>
      <c r="F42" s="418">
        <f t="shared" si="0"/>
        <v>-0.47058823529411764</v>
      </c>
      <c r="G42" s="405"/>
      <c r="H42" s="405"/>
      <c r="I42" s="405"/>
      <c r="J42" s="405"/>
      <c r="K42" s="411"/>
      <c r="L42" s="333"/>
    </row>
    <row r="43" spans="1:12" ht="11.25" customHeight="1">
      <c r="A43" s="375" t="s">
        <v>120</v>
      </c>
      <c r="B43" s="376" t="s">
        <v>76</v>
      </c>
      <c r="C43" s="416">
        <v>2.46305</v>
      </c>
      <c r="D43" s="416">
        <v>3.7462499999999999</v>
      </c>
      <c r="E43" s="416">
        <v>3.6137600000000001</v>
      </c>
      <c r="F43" s="417">
        <f t="shared" si="0"/>
        <v>-0.34252919586252917</v>
      </c>
      <c r="G43" s="405"/>
      <c r="H43" s="405"/>
      <c r="I43" s="405"/>
      <c r="J43" s="405"/>
      <c r="K43" s="411"/>
      <c r="L43" s="333"/>
    </row>
    <row r="44" spans="1:12" ht="11.25" customHeight="1">
      <c r="A44" s="381" t="s">
        <v>350</v>
      </c>
      <c r="B44" s="382"/>
      <c r="C44" s="415">
        <v>2.46305</v>
      </c>
      <c r="D44" s="415">
        <v>3.7462499999999999</v>
      </c>
      <c r="E44" s="415">
        <v>3.6137600000000001</v>
      </c>
      <c r="F44" s="418">
        <f t="shared" si="0"/>
        <v>-0.34252919586252917</v>
      </c>
      <c r="G44" s="405"/>
      <c r="H44" s="405"/>
      <c r="I44" s="405"/>
      <c r="J44" s="405"/>
      <c r="K44" s="411"/>
      <c r="L44" s="333"/>
    </row>
    <row r="45" spans="1:12" ht="11.25" customHeight="1">
      <c r="A45" s="379" t="s">
        <v>94</v>
      </c>
      <c r="B45" s="376" t="s">
        <v>351</v>
      </c>
      <c r="C45" s="416">
        <v>640.31999999999994</v>
      </c>
      <c r="D45" s="416">
        <v>650.86320000000012</v>
      </c>
      <c r="E45" s="416">
        <v>638.88479999999993</v>
      </c>
      <c r="F45" s="417">
        <f t="shared" si="0"/>
        <v>-1.6198795691629519E-2</v>
      </c>
      <c r="G45" s="405"/>
      <c r="H45" s="405"/>
      <c r="I45" s="405"/>
      <c r="J45" s="405"/>
      <c r="K45" s="411"/>
    </row>
    <row r="46" spans="1:12" ht="11.25" customHeight="1">
      <c r="A46" s="379"/>
      <c r="B46" s="376" t="s">
        <v>352</v>
      </c>
      <c r="C46" s="416">
        <v>211.30559999999997</v>
      </c>
      <c r="D46" s="416">
        <v>212.32128</v>
      </c>
      <c r="E46" s="416">
        <v>209.58335999999997</v>
      </c>
      <c r="F46" s="417">
        <f t="shared" si="0"/>
        <v>-4.7836938435941168E-3</v>
      </c>
      <c r="G46" s="405"/>
      <c r="H46" s="405"/>
      <c r="I46" s="405"/>
      <c r="J46" s="405"/>
      <c r="K46" s="411"/>
    </row>
    <row r="47" spans="1:12" ht="11.25" customHeight="1">
      <c r="A47" s="379"/>
      <c r="B47" s="376" t="s">
        <v>353</v>
      </c>
      <c r="C47" s="416">
        <v>0</v>
      </c>
      <c r="D47" s="416">
        <v>0</v>
      </c>
      <c r="E47" s="416">
        <v>0</v>
      </c>
      <c r="F47" s="417" t="str">
        <f t="shared" si="0"/>
        <v/>
      </c>
      <c r="G47" s="405"/>
      <c r="H47" s="405"/>
      <c r="I47" s="405"/>
      <c r="J47" s="405"/>
      <c r="K47" s="411"/>
    </row>
    <row r="48" spans="1:12" ht="11.25" customHeight="1">
      <c r="A48" s="381" t="s">
        <v>354</v>
      </c>
      <c r="B48" s="382"/>
      <c r="C48" s="415">
        <v>851.62559999999985</v>
      </c>
      <c r="D48" s="415">
        <v>863.18448000000012</v>
      </c>
      <c r="E48" s="415">
        <v>848.4681599999999</v>
      </c>
      <c r="F48" s="418">
        <f t="shared" si="0"/>
        <v>-1.3390972923887912E-2</v>
      </c>
      <c r="G48" s="405"/>
      <c r="H48" s="405"/>
      <c r="I48" s="405"/>
      <c r="J48" s="405"/>
      <c r="K48" s="411"/>
    </row>
    <row r="49" spans="1:11" ht="11.25" customHeight="1">
      <c r="A49" s="379" t="s">
        <v>270</v>
      </c>
      <c r="B49" s="376" t="s">
        <v>355</v>
      </c>
      <c r="C49" s="416">
        <v>229.51554999999999</v>
      </c>
      <c r="D49" s="416">
        <v>142.97247999999999</v>
      </c>
      <c r="E49" s="416">
        <v>456.18412000000001</v>
      </c>
      <c r="F49" s="417">
        <f t="shared" si="0"/>
        <v>0.60531278467016869</v>
      </c>
      <c r="G49" s="405"/>
      <c r="H49" s="405"/>
      <c r="I49" s="405"/>
      <c r="J49" s="405"/>
      <c r="K49" s="411"/>
    </row>
    <row r="50" spans="1:11" ht="11.25" customHeight="1">
      <c r="A50" s="379"/>
      <c r="B50" s="376" t="s">
        <v>356</v>
      </c>
      <c r="C50" s="416">
        <v>6.43424</v>
      </c>
      <c r="D50" s="416">
        <v>6.4561799999999998</v>
      </c>
      <c r="E50" s="416">
        <v>6.32768</v>
      </c>
      <c r="F50" s="417">
        <f t="shared" si="0"/>
        <v>-3.3982943474314409E-3</v>
      </c>
      <c r="G50" s="405"/>
      <c r="H50" s="405"/>
      <c r="I50" s="405"/>
      <c r="J50" s="405"/>
      <c r="K50" s="411"/>
    </row>
    <row r="51" spans="1:11" ht="11.25" customHeight="1">
      <c r="A51" s="381" t="s">
        <v>357</v>
      </c>
      <c r="B51" s="382"/>
      <c r="C51" s="415">
        <v>235.94978999999998</v>
      </c>
      <c r="D51" s="415">
        <v>149.42865999999998</v>
      </c>
      <c r="E51" s="415">
        <v>462.51179999999999</v>
      </c>
      <c r="F51" s="418">
        <f t="shared" si="0"/>
        <v>0.57901295507836315</v>
      </c>
      <c r="G51" s="405"/>
      <c r="H51" s="405"/>
      <c r="I51" s="405"/>
      <c r="J51" s="405"/>
      <c r="K51" s="411"/>
    </row>
    <row r="52" spans="1:11" ht="11.25" customHeight="1">
      <c r="A52" s="379" t="s">
        <v>271</v>
      </c>
      <c r="B52" s="376" t="s">
        <v>358</v>
      </c>
      <c r="C52" s="416">
        <v>93.694500000000005</v>
      </c>
      <c r="D52" s="416">
        <v>93.816519999999997</v>
      </c>
      <c r="E52" s="416">
        <v>71.243490000000008</v>
      </c>
      <c r="F52" s="417">
        <f t="shared" si="0"/>
        <v>-1.3006238133752568E-3</v>
      </c>
      <c r="G52" s="405"/>
      <c r="H52" s="405"/>
      <c r="I52" s="405"/>
      <c r="J52" s="405"/>
      <c r="K52" s="411"/>
    </row>
    <row r="53" spans="1:11" ht="11.25" customHeight="1">
      <c r="A53" s="381" t="s">
        <v>359</v>
      </c>
      <c r="B53" s="382"/>
      <c r="C53" s="415">
        <v>93.694500000000005</v>
      </c>
      <c r="D53" s="415">
        <v>93.816519999999997</v>
      </c>
      <c r="E53" s="415">
        <v>71.243490000000008</v>
      </c>
      <c r="F53" s="418">
        <f t="shared" si="0"/>
        <v>-1.3006238133752568E-3</v>
      </c>
      <c r="G53" s="405"/>
      <c r="H53" s="405"/>
      <c r="I53" s="405"/>
      <c r="J53" s="405"/>
      <c r="K53" s="411"/>
    </row>
    <row r="54" spans="1:11" ht="11.25" customHeight="1">
      <c r="A54" s="379" t="s">
        <v>272</v>
      </c>
      <c r="B54" s="376" t="s">
        <v>63</v>
      </c>
      <c r="C54" s="416">
        <v>4.4636800000000001</v>
      </c>
      <c r="D54" s="416">
        <v>5.17</v>
      </c>
      <c r="E54" s="416">
        <v>17.115880000000001</v>
      </c>
      <c r="F54" s="417">
        <f t="shared" si="0"/>
        <v>-0.13661895551257253</v>
      </c>
      <c r="G54" s="405"/>
      <c r="H54" s="405"/>
      <c r="I54" s="405"/>
      <c r="J54" s="405"/>
      <c r="K54" s="411"/>
    </row>
    <row r="55" spans="1:11" ht="11.25" customHeight="1">
      <c r="A55" s="379"/>
      <c r="B55" s="376" t="s">
        <v>60</v>
      </c>
      <c r="C55" s="416">
        <v>7.1642799999999998</v>
      </c>
      <c r="D55" s="416">
        <v>7.43696</v>
      </c>
      <c r="E55" s="416">
        <v>20.103280000000002</v>
      </c>
      <c r="F55" s="417">
        <f t="shared" si="0"/>
        <v>-3.6665519244422518E-2</v>
      </c>
      <c r="G55" s="413"/>
      <c r="H55" s="413"/>
      <c r="I55" s="413"/>
      <c r="J55" s="413"/>
      <c r="K55" s="411"/>
    </row>
    <row r="56" spans="1:11" ht="11.25" customHeight="1">
      <c r="A56" s="381" t="s">
        <v>360</v>
      </c>
      <c r="B56" s="382"/>
      <c r="C56" s="415">
        <v>11.62796</v>
      </c>
      <c r="D56" s="415">
        <v>12.606960000000001</v>
      </c>
      <c r="E56" s="415">
        <v>37.219160000000002</v>
      </c>
      <c r="F56" s="418">
        <f t="shared" si="0"/>
        <v>-7.7655517269825669E-2</v>
      </c>
      <c r="G56" s="413"/>
      <c r="H56" s="413"/>
      <c r="I56" s="413"/>
      <c r="J56" s="413"/>
      <c r="K56" s="411"/>
    </row>
    <row r="57" spans="1:11" ht="11.25" customHeight="1">
      <c r="A57" s="379" t="s">
        <v>93</v>
      </c>
      <c r="B57" s="376" t="s">
        <v>361</v>
      </c>
      <c r="C57" s="416">
        <v>29.256</v>
      </c>
      <c r="D57" s="416">
        <v>30.14968</v>
      </c>
      <c r="E57" s="416">
        <v>30.46866</v>
      </c>
      <c r="F57" s="417">
        <f t="shared" si="0"/>
        <v>-2.9641442297231646E-2</v>
      </c>
      <c r="G57" s="413"/>
      <c r="H57" s="413"/>
      <c r="I57" s="413"/>
      <c r="J57" s="413"/>
      <c r="K57" s="411"/>
    </row>
    <row r="58" spans="1:11" ht="11.25" customHeight="1">
      <c r="A58" s="379"/>
      <c r="B58" s="376" t="s">
        <v>362</v>
      </c>
      <c r="C58" s="416">
        <v>179.44051999999999</v>
      </c>
      <c r="D58" s="416">
        <v>218.93121000000002</v>
      </c>
      <c r="E58" s="416">
        <v>197.28959999999998</v>
      </c>
      <c r="F58" s="417">
        <f t="shared" si="0"/>
        <v>-0.18037944430124886</v>
      </c>
      <c r="G58" s="413"/>
      <c r="H58" s="413"/>
      <c r="I58" s="413"/>
      <c r="J58" s="413"/>
      <c r="K58" s="411"/>
    </row>
    <row r="59" spans="1:11" ht="11.25" customHeight="1">
      <c r="A59" s="379"/>
      <c r="B59" s="376" t="s">
        <v>363</v>
      </c>
      <c r="C59" s="416">
        <v>78.130660000000006</v>
      </c>
      <c r="D59" s="416">
        <v>91.062849999999997</v>
      </c>
      <c r="E59" s="416">
        <v>129.73957999999999</v>
      </c>
      <c r="F59" s="417">
        <f t="shared" si="0"/>
        <v>-0.14201389479903159</v>
      </c>
      <c r="G59" s="413"/>
      <c r="H59" s="413"/>
      <c r="I59" s="413"/>
      <c r="J59" s="413"/>
      <c r="K59" s="411"/>
    </row>
    <row r="60" spans="1:11" ht="11.25" customHeight="1">
      <c r="A60" s="379"/>
      <c r="B60" s="376" t="s">
        <v>364</v>
      </c>
      <c r="C60" s="416">
        <v>54.203440000000001</v>
      </c>
      <c r="D60" s="416">
        <v>49.580370000000002</v>
      </c>
      <c r="E60" s="416">
        <v>65.240179999999995</v>
      </c>
      <c r="F60" s="417">
        <f t="shared" si="0"/>
        <v>9.3243959252421904E-2</v>
      </c>
      <c r="G60" s="405"/>
      <c r="H60" s="405"/>
      <c r="I60" s="405"/>
      <c r="J60" s="405"/>
      <c r="K60" s="411"/>
    </row>
    <row r="61" spans="1:11" ht="11.25" customHeight="1">
      <c r="A61" s="379"/>
      <c r="B61" s="376" t="s">
        <v>365</v>
      </c>
      <c r="C61" s="416">
        <v>0</v>
      </c>
      <c r="D61" s="416">
        <v>0</v>
      </c>
      <c r="E61" s="416">
        <v>0</v>
      </c>
      <c r="F61" s="417" t="str">
        <f t="shared" si="0"/>
        <v/>
      </c>
      <c r="G61" s="405"/>
      <c r="H61" s="405"/>
      <c r="I61" s="405"/>
      <c r="J61" s="405"/>
      <c r="K61" s="411"/>
    </row>
    <row r="62" spans="1:11" ht="11.25" customHeight="1">
      <c r="A62" s="379"/>
      <c r="B62" s="376" t="s">
        <v>366</v>
      </c>
      <c r="C62" s="416">
        <v>0</v>
      </c>
      <c r="D62" s="416">
        <v>135.84263000000001</v>
      </c>
      <c r="E62" s="416">
        <v>173.95402000000001</v>
      </c>
      <c r="F62" s="417">
        <f t="shared" si="0"/>
        <v>-1</v>
      </c>
      <c r="G62" s="405"/>
      <c r="H62" s="405"/>
      <c r="I62" s="405"/>
      <c r="J62" s="405"/>
      <c r="K62" s="411"/>
    </row>
    <row r="63" spans="1:11" ht="11.25" customHeight="1">
      <c r="A63" s="379"/>
      <c r="B63" s="376" t="s">
        <v>367</v>
      </c>
      <c r="C63" s="416">
        <v>460.45155</v>
      </c>
      <c r="D63" s="416">
        <v>373.03115000000003</v>
      </c>
      <c r="E63" s="416">
        <v>284.87977000000001</v>
      </c>
      <c r="F63" s="417">
        <f t="shared" si="0"/>
        <v>0.23435147440099824</v>
      </c>
      <c r="G63" s="414"/>
      <c r="H63" s="405"/>
      <c r="I63" s="405"/>
      <c r="J63" s="405"/>
      <c r="K63" s="411"/>
    </row>
    <row r="64" spans="1:11" ht="11.25" customHeight="1">
      <c r="A64" s="379"/>
      <c r="B64" s="376" t="s">
        <v>690</v>
      </c>
      <c r="C64" s="416">
        <v>0</v>
      </c>
      <c r="D64" s="416"/>
      <c r="E64" s="416"/>
      <c r="F64" s="417" t="str">
        <f t="shared" si="0"/>
        <v/>
      </c>
      <c r="G64" s="414"/>
      <c r="H64" s="405"/>
      <c r="I64" s="405"/>
      <c r="J64" s="405"/>
      <c r="K64" s="405"/>
    </row>
    <row r="65" spans="1:11" ht="11.25" customHeight="1">
      <c r="A65" s="381" t="s">
        <v>368</v>
      </c>
      <c r="B65" s="382"/>
      <c r="C65" s="415">
        <v>801.48217</v>
      </c>
      <c r="D65" s="415">
        <v>898.59789000000001</v>
      </c>
      <c r="E65" s="415">
        <v>881.57181000000003</v>
      </c>
      <c r="F65" s="418">
        <f t="shared" si="0"/>
        <v>-0.1080747251698978</v>
      </c>
      <c r="G65" s="414"/>
      <c r="H65" s="405"/>
      <c r="I65" s="405"/>
      <c r="J65" s="405"/>
      <c r="K65" s="405"/>
    </row>
    <row r="66" spans="1:11" ht="11.25" customHeight="1">
      <c r="A66" s="753"/>
      <c r="B66" s="372"/>
      <c r="C66" s="419"/>
      <c r="D66" s="419"/>
      <c r="E66" s="419"/>
      <c r="F66" s="754"/>
    </row>
  </sheetData>
  <mergeCells count="3">
    <mergeCell ref="A2:A5"/>
    <mergeCell ref="B2:B5"/>
    <mergeCell ref="C2:F2"/>
  </mergeCells>
  <pageMargins left="0.7" right="0.7" top="0.86956521739130432" bottom="0.61458333333333337" header="0.3" footer="0.3"/>
  <pageSetup scale="93" orientation="portrait" r:id="rId1"/>
  <headerFooter>
    <oddHeader>&amp;R&amp;7Informe de la Operación Mensual - Julio 2018
INFSGI-MES-07-2018
14/08/2018
Versión: 01</oddHeader>
    <oddFooter>&amp;L&amp;7COES SINAC, 2018
&amp;C21&amp;R&amp;7Dirección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FDCF-538A-4FFD-97F3-49058BD97855}">
  <sheetPr>
    <tabColor theme="4"/>
  </sheetPr>
  <dimension ref="A1:L67"/>
  <sheetViews>
    <sheetView showGridLines="0" view="pageBreakPreview" zoomScale="145" zoomScaleNormal="100" zoomScaleSheetLayoutView="145" zoomScalePageLayoutView="160" workbookViewId="0">
      <selection activeCell="D24" sqref="D24"/>
    </sheetView>
  </sheetViews>
  <sheetFormatPr baseColWidth="10" defaultColWidth="9.28515625" defaultRowHeight="9.6"/>
  <cols>
    <col min="1" max="1" width="28.7109375" style="376" customWidth="1"/>
    <col min="2" max="2" width="22.140625" style="376" customWidth="1"/>
    <col min="3" max="4" width="17.7109375" style="376" customWidth="1"/>
    <col min="5" max="5" width="15.140625" style="376" customWidth="1"/>
    <col min="6" max="6" width="13.28515625" style="376" customWidth="1"/>
    <col min="7" max="9" width="9.28515625" style="376"/>
    <col min="10" max="11" width="9.28515625" style="376" customWidth="1"/>
    <col min="12" max="16384" width="9.28515625" style="376"/>
  </cols>
  <sheetData>
    <row r="1" spans="1:12" ht="11.25" customHeight="1">
      <c r="A1" s="871" t="s">
        <v>286</v>
      </c>
      <c r="B1" s="874" t="s">
        <v>57</v>
      </c>
      <c r="C1" s="874" t="s">
        <v>455</v>
      </c>
      <c r="D1" s="874"/>
      <c r="E1" s="874"/>
      <c r="F1" s="877"/>
      <c r="G1" s="402"/>
      <c r="H1" s="402"/>
      <c r="I1" s="402"/>
      <c r="J1" s="402"/>
      <c r="K1" s="402"/>
    </row>
    <row r="2" spans="1:12" ht="11.25" customHeight="1">
      <c r="A2" s="872"/>
      <c r="B2" s="875"/>
      <c r="C2" s="420" t="str">
        <f>+'21. ANEXOII-1'!C3</f>
        <v>JULIO 2018</v>
      </c>
      <c r="D2" s="421" t="str">
        <f>+'21. ANEXOII-1'!D3</f>
        <v>JULIO 2017</v>
      </c>
      <c r="E2" s="422">
        <v>2018</v>
      </c>
      <c r="F2" s="403" t="s">
        <v>453</v>
      </c>
      <c r="G2" s="404"/>
      <c r="H2" s="404"/>
      <c r="I2" s="404"/>
      <c r="J2" s="404"/>
      <c r="K2" s="404"/>
      <c r="L2" s="402"/>
    </row>
    <row r="3" spans="1:12" ht="11.25" customHeight="1">
      <c r="A3" s="872"/>
      <c r="B3" s="875"/>
      <c r="C3" s="423">
        <f>+'8. Max Potencia'!D8</f>
        <v>43294.791666666664</v>
      </c>
      <c r="D3" s="423">
        <f>+'8. Max Potencia'!E8</f>
        <v>42928.822916666664</v>
      </c>
      <c r="E3" s="423">
        <f>+'8. Max Potencia'!G8</f>
        <v>43214.78125</v>
      </c>
      <c r="F3" s="424" t="s">
        <v>444</v>
      </c>
      <c r="G3" s="405"/>
      <c r="H3" s="405"/>
      <c r="I3" s="406"/>
      <c r="J3" s="406"/>
      <c r="K3" s="406"/>
      <c r="L3" s="402"/>
    </row>
    <row r="4" spans="1:12" ht="11.25" customHeight="1">
      <c r="A4" s="873"/>
      <c r="B4" s="876"/>
      <c r="C4" s="425">
        <f>+'8. Max Potencia'!D9</f>
        <v>43294.791666666664</v>
      </c>
      <c r="D4" s="425">
        <f>+'8. Max Potencia'!E9</f>
        <v>42898.822916666664</v>
      </c>
      <c r="E4" s="425">
        <f>+'8. Max Potencia'!G9</f>
        <v>43214.78125</v>
      </c>
      <c r="F4" s="426" t="s">
        <v>445</v>
      </c>
      <c r="G4" s="405"/>
      <c r="H4" s="405"/>
      <c r="I4" s="405"/>
      <c r="J4" s="405"/>
      <c r="K4" s="405"/>
      <c r="L4" s="407"/>
    </row>
    <row r="5" spans="1:12" ht="11.25" customHeight="1">
      <c r="A5" s="379" t="s">
        <v>101</v>
      </c>
      <c r="B5" s="376" t="s">
        <v>369</v>
      </c>
      <c r="C5" s="416">
        <v>0</v>
      </c>
      <c r="D5" s="416">
        <v>0</v>
      </c>
      <c r="E5" s="416">
        <v>48.357289999999999</v>
      </c>
      <c r="F5" s="417" t="str">
        <f>+IF(D5=0,"",C5/D5-1)</f>
        <v/>
      </c>
    </row>
    <row r="6" spans="1:12" ht="11.25" customHeight="1">
      <c r="A6" s="379"/>
      <c r="B6" s="376" t="s">
        <v>370</v>
      </c>
      <c r="C6" s="416">
        <v>0</v>
      </c>
      <c r="D6" s="416">
        <v>0</v>
      </c>
      <c r="E6" s="416">
        <v>0</v>
      </c>
      <c r="F6" s="417" t="str">
        <f t="shared" ref="F6:F67" si="0">+IF(D6=0,"",C6/D6-1)</f>
        <v/>
      </c>
    </row>
    <row r="7" spans="1:12" ht="11.25" customHeight="1">
      <c r="A7" s="375"/>
      <c r="B7" s="376" t="s">
        <v>371</v>
      </c>
      <c r="C7" s="416">
        <v>80.24427</v>
      </c>
      <c r="D7" s="416">
        <v>130.45782</v>
      </c>
      <c r="E7" s="416">
        <v>0</v>
      </c>
      <c r="F7" s="417">
        <f t="shared" si="0"/>
        <v>-0.38490256850835003</v>
      </c>
    </row>
    <row r="8" spans="1:12" ht="11.25" customHeight="1">
      <c r="A8" s="381" t="s">
        <v>372</v>
      </c>
      <c r="B8" s="382"/>
      <c r="C8" s="415">
        <v>80.24427</v>
      </c>
      <c r="D8" s="415">
        <v>130.45782</v>
      </c>
      <c r="E8" s="415">
        <v>48.357289999999999</v>
      </c>
      <c r="F8" s="418">
        <f t="shared" si="0"/>
        <v>-0.38490256850835003</v>
      </c>
    </row>
    <row r="9" spans="1:12" ht="11.25" customHeight="1">
      <c r="A9" s="380" t="s">
        <v>103</v>
      </c>
      <c r="B9" s="372" t="s">
        <v>611</v>
      </c>
      <c r="C9" s="419">
        <v>0</v>
      </c>
      <c r="D9" s="419"/>
      <c r="E9" s="419">
        <v>0</v>
      </c>
      <c r="F9" s="417" t="str">
        <f t="shared" si="0"/>
        <v/>
      </c>
    </row>
    <row r="10" spans="1:12" ht="11.25" customHeight="1">
      <c r="A10" s="379"/>
      <c r="B10" s="376" t="s">
        <v>618</v>
      </c>
      <c r="C10" s="416">
        <v>91.487089999999995</v>
      </c>
      <c r="D10" s="416"/>
      <c r="E10" s="416">
        <v>124.78003</v>
      </c>
      <c r="F10" s="417" t="str">
        <f t="shared" si="0"/>
        <v/>
      </c>
    </row>
    <row r="11" spans="1:12" ht="11.25" customHeight="1">
      <c r="A11" s="381" t="s">
        <v>373</v>
      </c>
      <c r="B11" s="382"/>
      <c r="C11" s="415">
        <v>91.487089999999995</v>
      </c>
      <c r="D11" s="415"/>
      <c r="E11" s="415">
        <v>124.78003</v>
      </c>
      <c r="F11" s="418" t="str">
        <f t="shared" si="0"/>
        <v/>
      </c>
    </row>
    <row r="12" spans="1:12" ht="11.25" customHeight="1">
      <c r="A12" s="379" t="s">
        <v>102</v>
      </c>
      <c r="B12" s="376" t="s">
        <v>81</v>
      </c>
      <c r="C12" s="416">
        <v>16.720659999999999</v>
      </c>
      <c r="D12" s="416">
        <v>21.615210000000001</v>
      </c>
      <c r="E12" s="416">
        <v>56.373829999999998</v>
      </c>
      <c r="F12" s="417">
        <f t="shared" si="0"/>
        <v>-0.22644008547684724</v>
      </c>
    </row>
    <row r="13" spans="1:12" ht="11.25" customHeight="1">
      <c r="A13" s="379"/>
      <c r="B13" s="376" t="s">
        <v>83</v>
      </c>
      <c r="C13" s="416">
        <v>8.54312</v>
      </c>
      <c r="D13" s="416">
        <v>18.66703</v>
      </c>
      <c r="E13" s="416">
        <v>12.37213</v>
      </c>
      <c r="F13" s="417">
        <f t="shared" si="0"/>
        <v>-0.54234176513350008</v>
      </c>
    </row>
    <row r="14" spans="1:12" ht="11.25" customHeight="1">
      <c r="A14" s="381" t="s">
        <v>374</v>
      </c>
      <c r="B14" s="382"/>
      <c r="C14" s="415">
        <v>25.263779999999997</v>
      </c>
      <c r="D14" s="415">
        <v>40.282240000000002</v>
      </c>
      <c r="E14" s="415">
        <v>68.745959999999997</v>
      </c>
      <c r="F14" s="418">
        <f t="shared" si="0"/>
        <v>-0.37283080583403516</v>
      </c>
    </row>
    <row r="15" spans="1:12" ht="11.25" customHeight="1">
      <c r="A15" s="379" t="s">
        <v>92</v>
      </c>
      <c r="B15" s="376" t="s">
        <v>375</v>
      </c>
      <c r="C15" s="416">
        <v>60.123930000000001</v>
      </c>
      <c r="D15" s="416">
        <v>98.749420000000001</v>
      </c>
      <c r="E15" s="416">
        <v>108.30475</v>
      </c>
      <c r="F15" s="417">
        <f t="shared" si="0"/>
        <v>-0.39114649989842976</v>
      </c>
    </row>
    <row r="16" spans="1:12" ht="11.25" customHeight="1">
      <c r="A16" s="379"/>
      <c r="B16" s="376" t="s">
        <v>376</v>
      </c>
      <c r="C16" s="416">
        <v>90.486230000000006</v>
      </c>
      <c r="D16" s="416">
        <v>60.094000000000001</v>
      </c>
      <c r="E16" s="416">
        <v>131.79328000000001</v>
      </c>
      <c r="F16" s="417">
        <f t="shared" si="0"/>
        <v>0.50574483309481821</v>
      </c>
    </row>
    <row r="17" spans="1:6" ht="11.25" customHeight="1">
      <c r="A17" s="379"/>
      <c r="B17" s="376" t="s">
        <v>377</v>
      </c>
      <c r="C17" s="416">
        <v>744.07650000000001</v>
      </c>
      <c r="D17" s="416">
        <v>788.07396999999992</v>
      </c>
      <c r="E17" s="416">
        <v>0</v>
      </c>
      <c r="F17" s="417">
        <f t="shared" si="0"/>
        <v>-5.5829112081953292E-2</v>
      </c>
    </row>
    <row r="18" spans="1:6" ht="11.25" customHeight="1">
      <c r="A18" s="379"/>
      <c r="B18" s="376" t="s">
        <v>378</v>
      </c>
      <c r="C18" s="416">
        <v>105.42171999999999</v>
      </c>
      <c r="D18" s="416">
        <v>102.00134</v>
      </c>
      <c r="E18" s="416">
        <v>0</v>
      </c>
      <c r="F18" s="417">
        <f t="shared" si="0"/>
        <v>3.3532696727317512E-2</v>
      </c>
    </row>
    <row r="19" spans="1:6" ht="11.25" customHeight="1">
      <c r="A19" s="379"/>
      <c r="B19" s="376" t="s">
        <v>448</v>
      </c>
      <c r="C19" s="416"/>
      <c r="D19" s="416">
        <v>32.591320000000003</v>
      </c>
      <c r="E19" s="416"/>
      <c r="F19" s="417">
        <f t="shared" si="0"/>
        <v>-1</v>
      </c>
    </row>
    <row r="20" spans="1:6" ht="11.25" customHeight="1">
      <c r="A20" s="379"/>
      <c r="B20" s="376" t="s">
        <v>379</v>
      </c>
      <c r="C20" s="416">
        <v>0</v>
      </c>
      <c r="D20" s="416">
        <v>131.03205</v>
      </c>
      <c r="E20" s="416">
        <v>0</v>
      </c>
      <c r="F20" s="417">
        <f t="shared" si="0"/>
        <v>-1</v>
      </c>
    </row>
    <row r="21" spans="1:6" ht="11.25" customHeight="1">
      <c r="A21" s="379"/>
      <c r="B21" s="376" t="s">
        <v>380</v>
      </c>
      <c r="C21" s="416">
        <v>0</v>
      </c>
      <c r="D21" s="416">
        <v>0</v>
      </c>
      <c r="E21" s="416">
        <v>0</v>
      </c>
      <c r="F21" s="417" t="str">
        <f t="shared" si="0"/>
        <v/>
      </c>
    </row>
    <row r="22" spans="1:6" ht="11.25" customHeight="1">
      <c r="A22" s="379"/>
      <c r="B22" s="376" t="s">
        <v>381</v>
      </c>
      <c r="C22" s="416">
        <v>0</v>
      </c>
      <c r="D22" s="416">
        <v>0</v>
      </c>
      <c r="E22" s="416">
        <v>0</v>
      </c>
      <c r="F22" s="417" t="str">
        <f t="shared" si="0"/>
        <v/>
      </c>
    </row>
    <row r="23" spans="1:6" ht="11.25" customHeight="1">
      <c r="A23" s="379"/>
      <c r="B23" s="376" t="s">
        <v>730</v>
      </c>
      <c r="C23" s="416">
        <v>0</v>
      </c>
      <c r="D23" s="416"/>
      <c r="E23" s="416">
        <v>0</v>
      </c>
      <c r="F23" s="417" t="str">
        <f t="shared" si="0"/>
        <v/>
      </c>
    </row>
    <row r="24" spans="1:6" ht="11.25" customHeight="1">
      <c r="A24" s="381" t="s">
        <v>382</v>
      </c>
      <c r="B24" s="382"/>
      <c r="C24" s="415">
        <v>1000.1083800000001</v>
      </c>
      <c r="D24" s="415">
        <v>1212.5420999999999</v>
      </c>
      <c r="E24" s="415">
        <v>240.09802999999999</v>
      </c>
      <c r="F24" s="418">
        <f t="shared" si="0"/>
        <v>-0.175196984912936</v>
      </c>
    </row>
    <row r="25" spans="1:6" ht="11.25" customHeight="1">
      <c r="A25" s="379" t="s">
        <v>273</v>
      </c>
      <c r="B25" s="376" t="s">
        <v>383</v>
      </c>
      <c r="C25" s="416">
        <v>275.32452999999998</v>
      </c>
      <c r="D25" s="416">
        <v>553.68991000000005</v>
      </c>
      <c r="E25" s="416">
        <v>553.66996999999992</v>
      </c>
      <c r="F25" s="417">
        <f t="shared" si="0"/>
        <v>-0.50274598646740742</v>
      </c>
    </row>
    <row r="26" spans="1:6" ht="11.25" customHeight="1">
      <c r="A26" s="381" t="s">
        <v>384</v>
      </c>
      <c r="B26" s="382"/>
      <c r="C26" s="415">
        <v>275.32452999999998</v>
      </c>
      <c r="D26" s="415">
        <v>553.68991000000005</v>
      </c>
      <c r="E26" s="415">
        <v>553.66996999999992</v>
      </c>
      <c r="F26" s="418">
        <f t="shared" si="0"/>
        <v>-0.50274598646740742</v>
      </c>
    </row>
    <row r="27" spans="1:6" ht="11.25" customHeight="1">
      <c r="A27" s="379" t="s">
        <v>113</v>
      </c>
      <c r="B27" s="376" t="s">
        <v>69</v>
      </c>
      <c r="C27" s="416">
        <v>5.2402199999999999</v>
      </c>
      <c r="D27" s="416">
        <v>9.1251700000000007</v>
      </c>
      <c r="E27" s="416">
        <v>6.8397399999999999</v>
      </c>
      <c r="F27" s="417">
        <f t="shared" si="0"/>
        <v>-0.42574001361070535</v>
      </c>
    </row>
    <row r="28" spans="1:6" ht="11.25" customHeight="1">
      <c r="A28" s="381" t="s">
        <v>385</v>
      </c>
      <c r="B28" s="382"/>
      <c r="C28" s="415">
        <v>5.2402199999999999</v>
      </c>
      <c r="D28" s="415">
        <v>9.1251700000000007</v>
      </c>
      <c r="E28" s="415">
        <v>6.8397399999999999</v>
      </c>
      <c r="F28" s="418">
        <f t="shared" si="0"/>
        <v>-0.42574001361070535</v>
      </c>
    </row>
    <row r="29" spans="1:6" ht="11.25" customHeight="1">
      <c r="A29" s="379" t="s">
        <v>116</v>
      </c>
      <c r="B29" s="376" t="s">
        <v>265</v>
      </c>
      <c r="C29" s="416">
        <v>0</v>
      </c>
      <c r="D29" s="416">
        <v>0</v>
      </c>
      <c r="E29" s="416">
        <v>0</v>
      </c>
      <c r="F29" s="417" t="str">
        <f t="shared" si="0"/>
        <v/>
      </c>
    </row>
    <row r="30" spans="1:6" ht="11.25" customHeight="1">
      <c r="A30" s="381" t="s">
        <v>386</v>
      </c>
      <c r="B30" s="382"/>
      <c r="C30" s="415">
        <v>0</v>
      </c>
      <c r="D30" s="415">
        <v>0</v>
      </c>
      <c r="E30" s="415">
        <v>0</v>
      </c>
      <c r="F30" s="418" t="str">
        <f t="shared" si="0"/>
        <v/>
      </c>
    </row>
    <row r="31" spans="1:6" ht="11.25" customHeight="1">
      <c r="A31" s="379" t="s">
        <v>117</v>
      </c>
      <c r="B31" s="376" t="s">
        <v>87</v>
      </c>
      <c r="C31" s="416">
        <v>0</v>
      </c>
      <c r="D31" s="416">
        <v>0</v>
      </c>
      <c r="E31" s="416">
        <v>0</v>
      </c>
      <c r="F31" s="417" t="str">
        <f t="shared" si="0"/>
        <v/>
      </c>
    </row>
    <row r="32" spans="1:6" ht="11.25" customHeight="1">
      <c r="A32" s="381" t="s">
        <v>387</v>
      </c>
      <c r="B32" s="382"/>
      <c r="C32" s="415">
        <v>0</v>
      </c>
      <c r="D32" s="415">
        <v>0</v>
      </c>
      <c r="E32" s="415">
        <v>0</v>
      </c>
      <c r="F32" s="418" t="str">
        <f t="shared" si="0"/>
        <v/>
      </c>
    </row>
    <row r="33" spans="1:6" ht="11.25" customHeight="1">
      <c r="A33" s="379" t="s">
        <v>121</v>
      </c>
      <c r="B33" s="376" t="s">
        <v>77</v>
      </c>
      <c r="C33" s="416">
        <v>3.2</v>
      </c>
      <c r="D33" s="416">
        <v>3.6</v>
      </c>
      <c r="E33" s="416">
        <v>0</v>
      </c>
      <c r="F33" s="417">
        <f t="shared" si="0"/>
        <v>-0.11111111111111105</v>
      </c>
    </row>
    <row r="34" spans="1:6" ht="11.25" customHeight="1">
      <c r="A34" s="381" t="s">
        <v>388</v>
      </c>
      <c r="B34" s="382"/>
      <c r="C34" s="415">
        <v>3.2</v>
      </c>
      <c r="D34" s="415">
        <v>3.6</v>
      </c>
      <c r="E34" s="415">
        <v>0</v>
      </c>
      <c r="F34" s="418">
        <f t="shared" si="0"/>
        <v>-0.11111111111111105</v>
      </c>
    </row>
    <row r="35" spans="1:6" ht="11.25" customHeight="1">
      <c r="A35" s="379" t="s">
        <v>108</v>
      </c>
      <c r="B35" s="376" t="s">
        <v>389</v>
      </c>
      <c r="C35" s="416">
        <v>17.027999999999999</v>
      </c>
      <c r="D35" s="416">
        <v>16.532</v>
      </c>
      <c r="E35" s="416">
        <v>19.619999999999997</v>
      </c>
      <c r="F35" s="417">
        <f t="shared" si="0"/>
        <v>3.0002419549963522E-2</v>
      </c>
    </row>
    <row r="36" spans="1:6" ht="11.25" customHeight="1">
      <c r="A36" s="381" t="s">
        <v>390</v>
      </c>
      <c r="B36" s="382"/>
      <c r="C36" s="415">
        <v>17.027999999999999</v>
      </c>
      <c r="D36" s="415">
        <v>16.532</v>
      </c>
      <c r="E36" s="415">
        <v>19.619999999999997</v>
      </c>
      <c r="F36" s="418">
        <f t="shared" si="0"/>
        <v>3.0002419549963522E-2</v>
      </c>
    </row>
    <row r="37" spans="1:6" ht="11.25" customHeight="1">
      <c r="A37" s="379" t="s">
        <v>274</v>
      </c>
      <c r="B37" s="376" t="s">
        <v>62</v>
      </c>
      <c r="C37" s="416">
        <v>15.15048</v>
      </c>
      <c r="D37" s="416">
        <v>0</v>
      </c>
      <c r="E37" s="416">
        <v>9.0002999999999993</v>
      </c>
      <c r="F37" s="417" t="str">
        <f t="shared" si="0"/>
        <v/>
      </c>
    </row>
    <row r="38" spans="1:6" ht="11.25" customHeight="1">
      <c r="A38" s="381" t="s">
        <v>392</v>
      </c>
      <c r="B38" s="382"/>
      <c r="C38" s="415">
        <v>15.15048</v>
      </c>
      <c r="D38" s="415">
        <v>0</v>
      </c>
      <c r="E38" s="415">
        <v>9.0002999999999993</v>
      </c>
      <c r="F38" s="418" t="str">
        <f t="shared" si="0"/>
        <v/>
      </c>
    </row>
    <row r="39" spans="1:6" ht="11.25" customHeight="1">
      <c r="A39" s="379" t="s">
        <v>123</v>
      </c>
      <c r="B39" s="376" t="s">
        <v>393</v>
      </c>
      <c r="C39" s="416">
        <v>0</v>
      </c>
      <c r="D39" s="416">
        <v>0</v>
      </c>
      <c r="E39" s="416">
        <v>0</v>
      </c>
      <c r="F39" s="417" t="str">
        <f t="shared" si="0"/>
        <v/>
      </c>
    </row>
    <row r="40" spans="1:6" ht="11.25" customHeight="1">
      <c r="A40" s="379"/>
      <c r="B40" s="376" t="s">
        <v>394</v>
      </c>
      <c r="C40" s="416">
        <v>0</v>
      </c>
      <c r="D40" s="416">
        <v>0</v>
      </c>
      <c r="E40" s="416">
        <v>0</v>
      </c>
      <c r="F40" s="417" t="str">
        <f t="shared" si="0"/>
        <v/>
      </c>
    </row>
    <row r="41" spans="1:6" ht="11.25" customHeight="1">
      <c r="A41" s="381" t="s">
        <v>395</v>
      </c>
      <c r="B41" s="382"/>
      <c r="C41" s="415">
        <v>0</v>
      </c>
      <c r="D41" s="415">
        <v>0</v>
      </c>
      <c r="E41" s="415">
        <v>0</v>
      </c>
      <c r="F41" s="418" t="str">
        <f t="shared" si="0"/>
        <v/>
      </c>
    </row>
    <row r="42" spans="1:6" ht="11.25" customHeight="1">
      <c r="A42" s="379" t="s">
        <v>678</v>
      </c>
      <c r="B42" s="376" t="s">
        <v>397</v>
      </c>
      <c r="C42" s="416">
        <v>677.27194000000009</v>
      </c>
      <c r="D42" s="416">
        <v>386.40255999999999</v>
      </c>
      <c r="E42" s="416">
        <v>508.16005999999999</v>
      </c>
      <c r="F42" s="417">
        <f t="shared" si="0"/>
        <v>0.75276255933708125</v>
      </c>
    </row>
    <row r="43" spans="1:6" ht="11.25" customHeight="1">
      <c r="A43" s="379"/>
      <c r="B43" s="376" t="s">
        <v>398</v>
      </c>
      <c r="C43" s="416">
        <v>0</v>
      </c>
      <c r="D43" s="416">
        <v>0</v>
      </c>
      <c r="E43" s="416">
        <v>0</v>
      </c>
      <c r="F43" s="417" t="str">
        <f t="shared" si="0"/>
        <v/>
      </c>
    </row>
    <row r="44" spans="1:6" ht="11.25" customHeight="1">
      <c r="A44" s="379"/>
      <c r="B44" s="376" t="s">
        <v>728</v>
      </c>
      <c r="C44" s="416">
        <v>516.64779999999996</v>
      </c>
      <c r="D44" s="416"/>
      <c r="E44" s="416">
        <v>526.44351000000006</v>
      </c>
      <c r="F44" s="417" t="str">
        <f t="shared" si="0"/>
        <v/>
      </c>
    </row>
    <row r="45" spans="1:6" ht="11.25" customHeight="1">
      <c r="A45" s="379"/>
      <c r="B45" s="376" t="s">
        <v>399</v>
      </c>
      <c r="C45" s="416">
        <v>4.26417</v>
      </c>
      <c r="D45" s="416"/>
      <c r="E45" s="416">
        <v>10.008279999999999</v>
      </c>
      <c r="F45" s="417" t="str">
        <f>+IF(D45=0,"",C45/D45-1)</f>
        <v/>
      </c>
    </row>
    <row r="46" spans="1:6" ht="11.25" customHeight="1">
      <c r="A46" s="381" t="s">
        <v>400</v>
      </c>
      <c r="B46" s="382"/>
      <c r="C46" s="415">
        <v>1198.18391</v>
      </c>
      <c r="D46" s="415">
        <v>386.40255999999999</v>
      </c>
      <c r="E46" s="415">
        <v>1044.61185</v>
      </c>
      <c r="F46" s="418"/>
    </row>
    <row r="47" spans="1:6" ht="11.25" customHeight="1">
      <c r="A47" s="379" t="s">
        <v>729</v>
      </c>
      <c r="B47" s="376" t="s">
        <v>685</v>
      </c>
      <c r="C47" s="416">
        <v>60.503439999999998</v>
      </c>
      <c r="D47" s="416">
        <v>50.859630000000003</v>
      </c>
      <c r="E47" s="416">
        <v>88.961479999999995</v>
      </c>
      <c r="F47" s="417">
        <f t="shared" si="0"/>
        <v>0.18961620444348481</v>
      </c>
    </row>
    <row r="48" spans="1:6" ht="11.25" customHeight="1">
      <c r="A48" s="381" t="s">
        <v>521</v>
      </c>
      <c r="B48" s="382"/>
      <c r="C48" s="415">
        <v>60.503439999999998</v>
      </c>
      <c r="D48" s="415">
        <v>50.859630000000003</v>
      </c>
      <c r="E48" s="415">
        <v>88.961479999999995</v>
      </c>
      <c r="F48" s="418">
        <f>+IF(D48=0,"",C48/D48-1)</f>
        <v>0.18961620444348481</v>
      </c>
    </row>
    <row r="49" spans="1:6" ht="11.25" customHeight="1">
      <c r="A49" s="379" t="s">
        <v>122</v>
      </c>
      <c r="B49" s="376" t="s">
        <v>75</v>
      </c>
      <c r="C49" s="416">
        <v>1.857</v>
      </c>
      <c r="D49" s="416">
        <v>3.3959999999999999</v>
      </c>
      <c r="E49" s="416">
        <v>3.7160000000000002</v>
      </c>
      <c r="F49" s="417">
        <f t="shared" si="0"/>
        <v>-0.45318021201413428</v>
      </c>
    </row>
    <row r="50" spans="1:6" ht="11.25" customHeight="1">
      <c r="A50" s="381" t="s">
        <v>401</v>
      </c>
      <c r="B50" s="382"/>
      <c r="C50" s="415">
        <v>1.857</v>
      </c>
      <c r="D50" s="415">
        <v>3.3959999999999999</v>
      </c>
      <c r="E50" s="415">
        <v>3.7160000000000002</v>
      </c>
      <c r="F50" s="418">
        <f t="shared" si="0"/>
        <v>-0.45318021201413428</v>
      </c>
    </row>
    <row r="51" spans="1:6" ht="11.25" customHeight="1">
      <c r="A51" s="379" t="s">
        <v>115</v>
      </c>
      <c r="B51" s="376" t="s">
        <v>85</v>
      </c>
      <c r="C51" s="416">
        <v>0</v>
      </c>
      <c r="D51" s="416">
        <v>0</v>
      </c>
      <c r="E51" s="416">
        <v>0</v>
      </c>
      <c r="F51" s="417" t="str">
        <f t="shared" si="0"/>
        <v/>
      </c>
    </row>
    <row r="52" spans="1:6" ht="11.25" customHeight="1">
      <c r="A52" s="381" t="s">
        <v>402</v>
      </c>
      <c r="B52" s="382"/>
      <c r="C52" s="415">
        <v>0</v>
      </c>
      <c r="D52" s="415">
        <v>0</v>
      </c>
      <c r="E52" s="415">
        <v>0</v>
      </c>
      <c r="F52" s="418" t="str">
        <f t="shared" si="0"/>
        <v/>
      </c>
    </row>
    <row r="53" spans="1:6" ht="11.25" customHeight="1">
      <c r="A53" s="379" t="s">
        <v>275</v>
      </c>
      <c r="B53" s="376" t="s">
        <v>74</v>
      </c>
      <c r="C53" s="416">
        <v>4.2064300000000001</v>
      </c>
      <c r="D53" s="416">
        <v>4.4266899999999998</v>
      </c>
      <c r="E53" s="416">
        <v>5.1007199999999999</v>
      </c>
      <c r="F53" s="417">
        <f t="shared" si="0"/>
        <v>-4.9757267845726649E-2</v>
      </c>
    </row>
    <row r="54" spans="1:6" ht="11.25" customHeight="1">
      <c r="A54" s="379"/>
      <c r="B54" s="376" t="s">
        <v>403</v>
      </c>
      <c r="C54" s="416">
        <v>74.134309999999999</v>
      </c>
      <c r="D54" s="416">
        <v>91.051299999999998</v>
      </c>
      <c r="E54" s="416">
        <v>248.68201999999999</v>
      </c>
      <c r="F54" s="417">
        <f t="shared" si="0"/>
        <v>-0.18579624892780222</v>
      </c>
    </row>
    <row r="55" spans="1:6" ht="11.25" customHeight="1">
      <c r="A55" s="379"/>
      <c r="B55" s="376" t="s">
        <v>404</v>
      </c>
      <c r="C55" s="416">
        <v>59.151530000000001</v>
      </c>
      <c r="D55" s="416">
        <v>91.924590000000009</v>
      </c>
      <c r="E55" s="416">
        <v>89.720569999999995</v>
      </c>
      <c r="F55" s="417">
        <f t="shared" si="0"/>
        <v>-0.35652114412476577</v>
      </c>
    </row>
    <row r="56" spans="1:6" ht="11.25" customHeight="1">
      <c r="A56" s="379"/>
      <c r="B56" s="376" t="s">
        <v>65</v>
      </c>
      <c r="C56" s="416">
        <v>0</v>
      </c>
      <c r="D56" s="416">
        <v>0</v>
      </c>
      <c r="E56" s="416">
        <v>9.9176400000000005</v>
      </c>
      <c r="F56" s="417" t="str">
        <f t="shared" si="0"/>
        <v/>
      </c>
    </row>
    <row r="57" spans="1:6" ht="11.25" customHeight="1">
      <c r="A57" s="381" t="s">
        <v>405</v>
      </c>
      <c r="B57" s="382"/>
      <c r="C57" s="415">
        <v>137.49226999999999</v>
      </c>
      <c r="D57" s="415">
        <v>187.40258</v>
      </c>
      <c r="E57" s="415">
        <v>353.42095</v>
      </c>
      <c r="F57" s="418">
        <f t="shared" si="0"/>
        <v>-0.26632669624932592</v>
      </c>
    </row>
    <row r="58" spans="1:6" ht="11.25" customHeight="1">
      <c r="A58" s="379" t="s">
        <v>276</v>
      </c>
      <c r="B58" s="376" t="s">
        <v>82</v>
      </c>
      <c r="C58" s="416">
        <v>15.02704</v>
      </c>
      <c r="D58" s="416">
        <v>19.93937</v>
      </c>
      <c r="E58" s="416">
        <v>26.574349999999999</v>
      </c>
      <c r="F58" s="417">
        <f t="shared" si="0"/>
        <v>-0.24636335049703184</v>
      </c>
    </row>
    <row r="59" spans="1:6" ht="11.25" customHeight="1">
      <c r="A59" s="381" t="s">
        <v>406</v>
      </c>
      <c r="B59" s="382"/>
      <c r="C59" s="415">
        <v>15.02704</v>
      </c>
      <c r="D59" s="415">
        <v>19.93937</v>
      </c>
      <c r="E59" s="415">
        <v>26.574349999999999</v>
      </c>
      <c r="F59" s="418">
        <f t="shared" si="0"/>
        <v>-0.24636335049703184</v>
      </c>
    </row>
    <row r="60" spans="1:6" ht="11.25" customHeight="1">
      <c r="A60" s="379" t="s">
        <v>104</v>
      </c>
      <c r="B60" s="376" t="s">
        <v>79</v>
      </c>
      <c r="C60" s="416">
        <v>53.820979999999999</v>
      </c>
      <c r="D60" s="416">
        <v>55.829160000000002</v>
      </c>
      <c r="E60" s="416">
        <v>88.914940000000001</v>
      </c>
      <c r="F60" s="417">
        <f t="shared" si="0"/>
        <v>-3.5970091615206146E-2</v>
      </c>
    </row>
    <row r="61" spans="1:6" ht="11.25" customHeight="1">
      <c r="A61" s="381" t="s">
        <v>407</v>
      </c>
      <c r="B61" s="382"/>
      <c r="C61" s="415">
        <v>53.820979999999999</v>
      </c>
      <c r="D61" s="415">
        <v>55.829160000000002</v>
      </c>
      <c r="E61" s="415">
        <v>88.914940000000001</v>
      </c>
      <c r="F61" s="418">
        <f t="shared" si="0"/>
        <v>-3.5970091615206146E-2</v>
      </c>
    </row>
    <row r="62" spans="1:6" ht="11.25" customHeight="1">
      <c r="A62" s="379" t="s">
        <v>112</v>
      </c>
      <c r="B62" s="376" t="s">
        <v>264</v>
      </c>
      <c r="C62" s="416">
        <v>0</v>
      </c>
      <c r="D62" s="416">
        <v>0</v>
      </c>
      <c r="E62" s="416">
        <v>0</v>
      </c>
      <c r="F62" s="417" t="str">
        <f t="shared" si="0"/>
        <v/>
      </c>
    </row>
    <row r="63" spans="1:6" ht="11.25" customHeight="1">
      <c r="A63" s="381" t="s">
        <v>408</v>
      </c>
      <c r="B63" s="382"/>
      <c r="C63" s="415">
        <v>0</v>
      </c>
      <c r="D63" s="415">
        <v>0</v>
      </c>
      <c r="E63" s="415">
        <v>0</v>
      </c>
      <c r="F63" s="418" t="str">
        <f t="shared" si="0"/>
        <v/>
      </c>
    </row>
    <row r="64" spans="1:6" ht="11.25" customHeight="1">
      <c r="A64" s="379" t="s">
        <v>679</v>
      </c>
      <c r="B64" s="376" t="s">
        <v>682</v>
      </c>
      <c r="C64" s="416">
        <v>0</v>
      </c>
      <c r="D64" s="416"/>
      <c r="E64" s="416">
        <v>0</v>
      </c>
      <c r="F64" s="417" t="str">
        <f t="shared" si="0"/>
        <v/>
      </c>
    </row>
    <row r="65" spans="1:6" ht="11.25" customHeight="1">
      <c r="A65" s="379"/>
      <c r="B65" s="376" t="s">
        <v>89</v>
      </c>
      <c r="C65" s="416">
        <v>4.3132000000000001</v>
      </c>
      <c r="D65" s="416">
        <v>2.8588</v>
      </c>
      <c r="E65" s="416">
        <v>4.4090999999999996</v>
      </c>
      <c r="F65" s="417">
        <f t="shared" si="0"/>
        <v>0.50874492794179371</v>
      </c>
    </row>
    <row r="66" spans="1:6" ht="11.25" customHeight="1">
      <c r="A66" s="379"/>
      <c r="B66" s="376" t="s">
        <v>691</v>
      </c>
      <c r="C66" s="416">
        <v>0</v>
      </c>
      <c r="D66" s="416"/>
      <c r="E66" s="416"/>
      <c r="F66" s="417" t="str">
        <f t="shared" si="0"/>
        <v/>
      </c>
    </row>
    <row r="67" spans="1:6" ht="11.25" customHeight="1">
      <c r="A67" s="381" t="s">
        <v>409</v>
      </c>
      <c r="B67" s="382"/>
      <c r="C67" s="415">
        <v>4.3132000000000001</v>
      </c>
      <c r="D67" s="415">
        <v>2.8588</v>
      </c>
      <c r="E67" s="415">
        <v>4.4090999999999996</v>
      </c>
      <c r="F67" s="418">
        <f t="shared" si="0"/>
        <v>0.50874492794179371</v>
      </c>
    </row>
  </sheetData>
  <mergeCells count="3">
    <mergeCell ref="A1:A4"/>
    <mergeCell ref="B1:B4"/>
    <mergeCell ref="C1:F1"/>
  </mergeCells>
  <pageMargins left="0.7" right="0.7" top="0.86956521739130432" bottom="0.61458333333333337" header="0.3" footer="0.3"/>
  <pageSetup scale="91" orientation="portrait" r:id="rId1"/>
  <headerFooter>
    <oddHeader>&amp;R&amp;7Informe de la Operación Mensual - Julio 2018
INFSGI-MES-07-2018
14/08/2018
Versión: 01</oddHeader>
    <oddFooter>&amp;L&amp;7COES SINAC, 2018
&amp;C22&amp;R&amp;7Dirección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8E4F-20E0-43AD-908A-49DD1484B7D6}">
  <sheetPr>
    <tabColor theme="4"/>
  </sheetPr>
  <dimension ref="A1:L66"/>
  <sheetViews>
    <sheetView showGridLines="0" view="pageBreakPreview" zoomScale="140" zoomScaleNormal="100" zoomScaleSheetLayoutView="140" zoomScalePageLayoutView="130" workbookViewId="0">
      <selection activeCell="A66" sqref="A66"/>
    </sheetView>
  </sheetViews>
  <sheetFormatPr baseColWidth="10" defaultColWidth="9.28515625" defaultRowHeight="9.6"/>
  <cols>
    <col min="1" max="1" width="27.7109375" style="376" customWidth="1"/>
    <col min="2" max="2" width="23" style="376" customWidth="1"/>
    <col min="3" max="4" width="17.7109375" style="376" customWidth="1"/>
    <col min="5" max="5" width="15.140625" style="376" customWidth="1"/>
    <col min="6" max="6" width="13.28515625" style="376" customWidth="1"/>
    <col min="7" max="9" width="9.28515625" style="376"/>
    <col min="10" max="11" width="9.28515625" style="376" customWidth="1"/>
    <col min="12" max="16384" width="9.28515625" style="376"/>
  </cols>
  <sheetData>
    <row r="1" spans="1:12" ht="11.25" customHeight="1">
      <c r="A1" s="871" t="s">
        <v>286</v>
      </c>
      <c r="B1" s="874" t="s">
        <v>57</v>
      </c>
      <c r="C1" s="874" t="s">
        <v>455</v>
      </c>
      <c r="D1" s="874"/>
      <c r="E1" s="874"/>
      <c r="F1" s="877"/>
      <c r="G1" s="402"/>
      <c r="H1" s="402"/>
      <c r="I1" s="402"/>
      <c r="J1" s="402"/>
      <c r="K1" s="402"/>
    </row>
    <row r="2" spans="1:12" ht="11.25" customHeight="1">
      <c r="A2" s="872"/>
      <c r="B2" s="875"/>
      <c r="C2" s="420" t="str">
        <f>+'22. ANEXOII-2'!C2</f>
        <v>JULIO 2018</v>
      </c>
      <c r="D2" s="421" t="str">
        <f>+'22. ANEXOII-2'!D2</f>
        <v>JULIO 2017</v>
      </c>
      <c r="E2" s="422">
        <v>2018</v>
      </c>
      <c r="F2" s="403" t="s">
        <v>453</v>
      </c>
      <c r="G2" s="404"/>
      <c r="H2" s="404"/>
      <c r="I2" s="404"/>
      <c r="J2" s="404"/>
      <c r="K2" s="404"/>
      <c r="L2" s="402"/>
    </row>
    <row r="3" spans="1:12" ht="11.25" customHeight="1">
      <c r="A3" s="872"/>
      <c r="B3" s="875"/>
      <c r="C3" s="423">
        <f>+'8. Max Potencia'!D8</f>
        <v>43294.791666666664</v>
      </c>
      <c r="D3" s="423">
        <f>+'8. Max Potencia'!E8</f>
        <v>42928.822916666664</v>
      </c>
      <c r="E3" s="423">
        <f>+'8. Max Potencia'!G8</f>
        <v>43214.78125</v>
      </c>
      <c r="F3" s="424" t="s">
        <v>444</v>
      </c>
      <c r="G3" s="405"/>
      <c r="H3" s="405"/>
      <c r="I3" s="406"/>
      <c r="J3" s="406"/>
      <c r="K3" s="406"/>
      <c r="L3" s="402"/>
    </row>
    <row r="4" spans="1:12" ht="11.25" customHeight="1">
      <c r="A4" s="873"/>
      <c r="B4" s="876"/>
      <c r="C4" s="425">
        <f>+'8. Max Potencia'!D9</f>
        <v>43294.791666666664</v>
      </c>
      <c r="D4" s="425">
        <f>+'8. Max Potencia'!E9</f>
        <v>42898.822916666664</v>
      </c>
      <c r="E4" s="425">
        <f>+'8. Max Potencia'!G9</f>
        <v>43214.78125</v>
      </c>
      <c r="F4" s="426" t="s">
        <v>445</v>
      </c>
      <c r="G4" s="405"/>
      <c r="H4" s="405"/>
      <c r="I4" s="405"/>
      <c r="J4" s="405"/>
      <c r="K4" s="405"/>
      <c r="L4" s="407"/>
    </row>
    <row r="5" spans="1:12" ht="11.25" customHeight="1">
      <c r="A5" s="379" t="s">
        <v>277</v>
      </c>
      <c r="B5" s="376" t="s">
        <v>410</v>
      </c>
      <c r="C5" s="416">
        <v>0</v>
      </c>
      <c r="D5" s="416">
        <v>0</v>
      </c>
      <c r="E5" s="416">
        <v>0</v>
      </c>
      <c r="F5" s="417" t="str">
        <f t="shared" ref="F5:F52" si="0">+IF(D5=0,"",C5/D5-1)</f>
        <v/>
      </c>
    </row>
    <row r="6" spans="1:12" ht="11.25" customHeight="1">
      <c r="A6" s="381" t="s">
        <v>411</v>
      </c>
      <c r="B6" s="382"/>
      <c r="C6" s="415">
        <v>0</v>
      </c>
      <c r="D6" s="415">
        <v>0</v>
      </c>
      <c r="E6" s="415">
        <v>0</v>
      </c>
      <c r="F6" s="418" t="str">
        <f t="shared" si="0"/>
        <v/>
      </c>
    </row>
    <row r="7" spans="1:12" ht="11.25" customHeight="1">
      <c r="A7" s="379" t="s">
        <v>128</v>
      </c>
      <c r="B7" s="376" t="s">
        <v>449</v>
      </c>
      <c r="C7" s="416"/>
      <c r="D7" s="416">
        <v>0</v>
      </c>
      <c r="E7" s="416"/>
      <c r="F7" s="417" t="str">
        <f t="shared" si="0"/>
        <v/>
      </c>
    </row>
    <row r="8" spans="1:12" ht="11.25" customHeight="1">
      <c r="A8" s="381" t="s">
        <v>450</v>
      </c>
      <c r="B8" s="382"/>
      <c r="C8" s="415"/>
      <c r="D8" s="415">
        <v>0</v>
      </c>
      <c r="E8" s="415"/>
      <c r="F8" s="418" t="str">
        <f t="shared" si="0"/>
        <v/>
      </c>
    </row>
    <row r="9" spans="1:12" ht="11.25" customHeight="1">
      <c r="A9" s="379" t="s">
        <v>109</v>
      </c>
      <c r="B9" s="376" t="s">
        <v>64</v>
      </c>
      <c r="C9" s="416">
        <v>5.1794700000000002</v>
      </c>
      <c r="D9" s="416">
        <v>8.1204599999999996</v>
      </c>
      <c r="E9" s="416">
        <v>18.94304</v>
      </c>
      <c r="F9" s="417">
        <f t="shared" si="0"/>
        <v>-0.36217036965886162</v>
      </c>
    </row>
    <row r="10" spans="1:12" ht="11.25" customHeight="1">
      <c r="A10" s="381" t="s">
        <v>412</v>
      </c>
      <c r="B10" s="382"/>
      <c r="C10" s="415">
        <v>5.1794700000000002</v>
      </c>
      <c r="D10" s="415">
        <v>8.1204599999999996</v>
      </c>
      <c r="E10" s="415">
        <v>18.94304</v>
      </c>
      <c r="F10" s="418">
        <f t="shared" si="0"/>
        <v>-0.36217036965886162</v>
      </c>
    </row>
    <row r="11" spans="1:12" ht="11.25" customHeight="1">
      <c r="A11" s="379" t="s">
        <v>278</v>
      </c>
      <c r="B11" s="376" t="s">
        <v>413</v>
      </c>
      <c r="C11" s="416">
        <v>0</v>
      </c>
      <c r="D11" s="416">
        <v>299.68656999999996</v>
      </c>
      <c r="E11" s="416">
        <v>0</v>
      </c>
      <c r="F11" s="417">
        <f t="shared" si="0"/>
        <v>-1</v>
      </c>
    </row>
    <row r="12" spans="1:12" ht="11.25" customHeight="1">
      <c r="A12" s="381" t="s">
        <v>414</v>
      </c>
      <c r="B12" s="382"/>
      <c r="C12" s="415">
        <v>0</v>
      </c>
      <c r="D12" s="415">
        <v>299.68656999999996</v>
      </c>
      <c r="E12" s="415">
        <v>0</v>
      </c>
      <c r="F12" s="418">
        <f t="shared" si="0"/>
        <v>-1</v>
      </c>
    </row>
    <row r="13" spans="1:12" ht="11.25" customHeight="1">
      <c r="A13" s="379" t="s">
        <v>100</v>
      </c>
      <c r="B13" s="376" t="s">
        <v>415</v>
      </c>
      <c r="C13" s="416">
        <v>76.185190000000006</v>
      </c>
      <c r="D13" s="416">
        <v>67.215320000000006</v>
      </c>
      <c r="E13" s="416">
        <v>110.79231</v>
      </c>
      <c r="F13" s="417">
        <f t="shared" si="0"/>
        <v>0.13344978495973825</v>
      </c>
    </row>
    <row r="14" spans="1:12" ht="11.25" customHeight="1">
      <c r="A14" s="379"/>
      <c r="B14" s="376" t="s">
        <v>451</v>
      </c>
      <c r="C14" s="416"/>
      <c r="D14" s="416">
        <v>0</v>
      </c>
      <c r="E14" s="416"/>
      <c r="F14" s="417" t="str">
        <f t="shared" si="0"/>
        <v/>
      </c>
    </row>
    <row r="15" spans="1:12" ht="11.25" customHeight="1">
      <c r="A15" s="381" t="s">
        <v>416</v>
      </c>
      <c r="B15" s="382"/>
      <c r="C15" s="415">
        <v>76.185190000000006</v>
      </c>
      <c r="D15" s="415">
        <v>67.215320000000006</v>
      </c>
      <c r="E15" s="415">
        <v>110.79231</v>
      </c>
      <c r="F15" s="418">
        <f t="shared" si="0"/>
        <v>0.13344978495973825</v>
      </c>
    </row>
    <row r="16" spans="1:12" ht="11.25" customHeight="1">
      <c r="A16" s="379" t="s">
        <v>279</v>
      </c>
      <c r="B16" s="376" t="s">
        <v>68</v>
      </c>
      <c r="C16" s="416">
        <v>4.0438000000000001</v>
      </c>
      <c r="D16" s="416">
        <v>1.98065</v>
      </c>
      <c r="E16" s="416">
        <v>8.5421899999999997</v>
      </c>
      <c r="F16" s="417">
        <f t="shared" si="0"/>
        <v>1.0416529927044151</v>
      </c>
    </row>
    <row r="17" spans="1:6" ht="11.25" customHeight="1">
      <c r="A17" s="379"/>
      <c r="B17" s="376" t="s">
        <v>67</v>
      </c>
      <c r="C17" s="416">
        <v>4.8136400000000004</v>
      </c>
      <c r="D17" s="416">
        <v>2.2770299999999999</v>
      </c>
      <c r="E17" s="416">
        <v>8.9284199999999991</v>
      </c>
      <c r="F17" s="417">
        <f t="shared" si="0"/>
        <v>1.1139993763806366</v>
      </c>
    </row>
    <row r="18" spans="1:6" ht="11.25" customHeight="1">
      <c r="A18" s="379"/>
      <c r="B18" s="376" t="s">
        <v>71</v>
      </c>
      <c r="C18" s="416">
        <v>1.2998400000000001</v>
      </c>
      <c r="D18" s="416">
        <v>1.5784499999999999</v>
      </c>
      <c r="E18" s="416">
        <v>4.32423</v>
      </c>
      <c r="F18" s="417">
        <f t="shared" si="0"/>
        <v>-0.17650860020906578</v>
      </c>
    </row>
    <row r="19" spans="1:6" ht="11.25" customHeight="1">
      <c r="A19" s="379"/>
      <c r="B19" s="376" t="s">
        <v>70</v>
      </c>
      <c r="C19" s="416">
        <v>1.5760000000000001</v>
      </c>
      <c r="D19" s="416">
        <v>1.8900999999999999</v>
      </c>
      <c r="E19" s="416">
        <v>5.0239000000000003</v>
      </c>
      <c r="F19" s="417">
        <f t="shared" si="0"/>
        <v>-0.16618168350880902</v>
      </c>
    </row>
    <row r="20" spans="1:6" ht="11.25" customHeight="1">
      <c r="A20" s="381" t="s">
        <v>417</v>
      </c>
      <c r="B20" s="382"/>
      <c r="C20" s="415">
        <v>11.733280000000001</v>
      </c>
      <c r="D20" s="415">
        <v>7.7262299999999993</v>
      </c>
      <c r="E20" s="415">
        <v>26.818740000000002</v>
      </c>
      <c r="F20" s="418">
        <f t="shared" si="0"/>
        <v>0.51862939622558502</v>
      </c>
    </row>
    <row r="21" spans="1:6" ht="11.25" customHeight="1">
      <c r="A21" s="379" t="s">
        <v>107</v>
      </c>
      <c r="B21" s="376" t="s">
        <v>418</v>
      </c>
      <c r="C21" s="416">
        <v>28.065159999999999</v>
      </c>
      <c r="D21" s="416">
        <v>28.249939999999999</v>
      </c>
      <c r="E21" s="416">
        <v>27.351590000000002</v>
      </c>
      <c r="F21" s="417">
        <f t="shared" si="0"/>
        <v>-6.540898847926746E-3</v>
      </c>
    </row>
    <row r="22" spans="1:6" ht="11.25" customHeight="1">
      <c r="A22" s="381" t="s">
        <v>419</v>
      </c>
      <c r="B22" s="382"/>
      <c r="C22" s="415">
        <v>28.065159999999999</v>
      </c>
      <c r="D22" s="415">
        <v>28.249939999999999</v>
      </c>
      <c r="E22" s="415">
        <v>27.351590000000002</v>
      </c>
      <c r="F22" s="418">
        <f t="shared" si="0"/>
        <v>-6.540898847926746E-3</v>
      </c>
    </row>
    <row r="23" spans="1:6" ht="11.25" customHeight="1">
      <c r="A23" s="379" t="s">
        <v>125</v>
      </c>
      <c r="B23" s="376" t="s">
        <v>420</v>
      </c>
      <c r="C23" s="416">
        <v>0</v>
      </c>
      <c r="D23" s="416">
        <v>0</v>
      </c>
      <c r="E23" s="416">
        <v>0</v>
      </c>
      <c r="F23" s="417" t="str">
        <f t="shared" si="0"/>
        <v/>
      </c>
    </row>
    <row r="24" spans="1:6" ht="11.25" customHeight="1">
      <c r="A24" s="381" t="s">
        <v>421</v>
      </c>
      <c r="B24" s="382"/>
      <c r="C24" s="415">
        <v>0</v>
      </c>
      <c r="D24" s="415">
        <v>0</v>
      </c>
      <c r="E24" s="415">
        <v>0</v>
      </c>
      <c r="F24" s="418" t="str">
        <f t="shared" si="0"/>
        <v/>
      </c>
    </row>
    <row r="25" spans="1:6" ht="11.25" customHeight="1">
      <c r="A25" s="379" t="s">
        <v>118</v>
      </c>
      <c r="B25" s="376" t="s">
        <v>452</v>
      </c>
      <c r="C25" s="416"/>
      <c r="D25" s="416">
        <v>0</v>
      </c>
      <c r="E25" s="416"/>
      <c r="F25" s="417" t="str">
        <f t="shared" si="0"/>
        <v/>
      </c>
    </row>
    <row r="26" spans="1:6" ht="11.25" customHeight="1">
      <c r="A26" s="379"/>
      <c r="B26" s="376" t="s">
        <v>72</v>
      </c>
      <c r="C26" s="416">
        <v>4.2768300000000004</v>
      </c>
      <c r="D26" s="416">
        <v>8.9406099999999995</v>
      </c>
      <c r="E26" s="416">
        <v>8.8075100000000006</v>
      </c>
      <c r="F26" s="417">
        <f t="shared" si="0"/>
        <v>-0.52164002232509854</v>
      </c>
    </row>
    <row r="27" spans="1:6" ht="11.25" customHeight="1">
      <c r="A27" s="381" t="s">
        <v>422</v>
      </c>
      <c r="B27" s="382"/>
      <c r="C27" s="415">
        <v>4.2768300000000004</v>
      </c>
      <c r="D27" s="415">
        <v>8.9406099999999995</v>
      </c>
      <c r="E27" s="415">
        <v>8.8075100000000006</v>
      </c>
      <c r="F27" s="418">
        <f t="shared" si="0"/>
        <v>-0.52164002232509854</v>
      </c>
    </row>
    <row r="28" spans="1:6" ht="11.25" customHeight="1">
      <c r="A28" s="379" t="s">
        <v>95</v>
      </c>
      <c r="B28" s="376" t="s">
        <v>423</v>
      </c>
      <c r="C28" s="416">
        <v>26.742939999999997</v>
      </c>
      <c r="D28" s="416">
        <v>40.836280000000002</v>
      </c>
      <c r="E28" s="416">
        <v>43.690919999999998</v>
      </c>
      <c r="F28" s="417">
        <f t="shared" si="0"/>
        <v>-0.3451181155580284</v>
      </c>
    </row>
    <row r="29" spans="1:6" ht="11.25" customHeight="1">
      <c r="A29" s="379"/>
      <c r="B29" s="376" t="s">
        <v>424</v>
      </c>
      <c r="C29" s="416">
        <v>84.394719999999992</v>
      </c>
      <c r="D29" s="416">
        <v>36.099069999999998</v>
      </c>
      <c r="E29" s="416">
        <v>167.52777</v>
      </c>
      <c r="F29" s="417">
        <f t="shared" si="0"/>
        <v>1.3378641056403944</v>
      </c>
    </row>
    <row r="30" spans="1:6" ht="11.25" customHeight="1">
      <c r="A30" s="379"/>
      <c r="B30" s="376" t="s">
        <v>425</v>
      </c>
      <c r="C30" s="416">
        <v>0</v>
      </c>
      <c r="D30" s="416">
        <v>15.05608</v>
      </c>
      <c r="E30" s="416">
        <v>30.279130000000002</v>
      </c>
      <c r="F30" s="417">
        <f t="shared" si="0"/>
        <v>-1</v>
      </c>
    </row>
    <row r="31" spans="1:6" ht="11.25" customHeight="1">
      <c r="A31" s="379"/>
      <c r="B31" s="376" t="s">
        <v>426</v>
      </c>
      <c r="C31" s="416">
        <v>0.18</v>
      </c>
      <c r="D31" s="416">
        <v>0</v>
      </c>
      <c r="E31" s="416">
        <v>0</v>
      </c>
      <c r="F31" s="417" t="str">
        <f t="shared" si="0"/>
        <v/>
      </c>
    </row>
    <row r="32" spans="1:6" ht="11.25" customHeight="1">
      <c r="A32" s="379"/>
      <c r="B32" s="376" t="s">
        <v>427</v>
      </c>
      <c r="C32" s="416">
        <v>22.949870000000001</v>
      </c>
      <c r="D32" s="416">
        <v>20.692640000000001</v>
      </c>
      <c r="E32" s="416">
        <v>32.940539999999999</v>
      </c>
      <c r="F32" s="417">
        <f t="shared" si="0"/>
        <v>0.10908371285635865</v>
      </c>
    </row>
    <row r="33" spans="1:6" ht="11.25" customHeight="1">
      <c r="A33" s="379"/>
      <c r="B33" s="376" t="s">
        <v>428</v>
      </c>
      <c r="C33" s="416">
        <v>2.9966400000000002</v>
      </c>
      <c r="D33" s="416">
        <v>2.9</v>
      </c>
      <c r="E33" s="416">
        <v>3.0095999999999998</v>
      </c>
      <c r="F33" s="417">
        <f t="shared" si="0"/>
        <v>3.3324137931034503E-2</v>
      </c>
    </row>
    <row r="34" spans="1:6" ht="11.25" customHeight="1">
      <c r="A34" s="379"/>
      <c r="B34" s="376" t="s">
        <v>429</v>
      </c>
      <c r="C34" s="416">
        <v>6.1300799999999995</v>
      </c>
      <c r="D34" s="416">
        <v>5.5277999999999992</v>
      </c>
      <c r="E34" s="416">
        <v>8.1388800000000003</v>
      </c>
      <c r="F34" s="417">
        <f t="shared" si="0"/>
        <v>0.10895473787040055</v>
      </c>
    </row>
    <row r="35" spans="1:6" ht="11.25" customHeight="1">
      <c r="A35" s="379"/>
      <c r="B35" s="376" t="s">
        <v>430</v>
      </c>
      <c r="C35" s="416">
        <v>1.9351400000000001</v>
      </c>
      <c r="D35" s="416">
        <v>4.8715700000000002</v>
      </c>
      <c r="E35" s="416">
        <v>5.7245100000000004</v>
      </c>
      <c r="F35" s="417">
        <f t="shared" si="0"/>
        <v>-0.60276871727184456</v>
      </c>
    </row>
    <row r="36" spans="1:6" ht="11.25" customHeight="1">
      <c r="A36" s="379"/>
      <c r="B36" s="376" t="s">
        <v>431</v>
      </c>
      <c r="C36" s="416">
        <v>1.50193</v>
      </c>
      <c r="D36" s="416">
        <v>2.27902</v>
      </c>
      <c r="E36" s="416">
        <v>4.1269400000000003</v>
      </c>
      <c r="F36" s="417">
        <f t="shared" si="0"/>
        <v>-0.34097550701617363</v>
      </c>
    </row>
    <row r="37" spans="1:6" ht="11.25" customHeight="1">
      <c r="A37" s="379"/>
      <c r="B37" s="376" t="s">
        <v>432</v>
      </c>
      <c r="C37" s="416">
        <v>0.41125</v>
      </c>
      <c r="D37" s="416">
        <v>0.41</v>
      </c>
      <c r="E37" s="416">
        <v>0</v>
      </c>
      <c r="F37" s="417">
        <f t="shared" si="0"/>
        <v>3.0487804878049918E-3</v>
      </c>
    </row>
    <row r="38" spans="1:6" ht="11.25" customHeight="1">
      <c r="A38" s="379"/>
      <c r="B38" s="376" t="s">
        <v>433</v>
      </c>
      <c r="C38" s="416">
        <v>0.32163000000000003</v>
      </c>
      <c r="D38" s="416">
        <v>0.27950000000000003</v>
      </c>
      <c r="E38" s="416">
        <v>0</v>
      </c>
      <c r="F38" s="417">
        <f t="shared" si="0"/>
        <v>0.15073345259391768</v>
      </c>
    </row>
    <row r="39" spans="1:6" ht="11.25" customHeight="1">
      <c r="A39" s="379"/>
      <c r="B39" s="376" t="s">
        <v>434</v>
      </c>
      <c r="C39" s="416">
        <v>101.00725000000001</v>
      </c>
      <c r="D39" s="416">
        <v>78.856069999999988</v>
      </c>
      <c r="E39" s="416">
        <v>105.35533</v>
      </c>
      <c r="F39" s="417">
        <f t="shared" si="0"/>
        <v>0.28090646668037134</v>
      </c>
    </row>
    <row r="40" spans="1:6" ht="11.25" customHeight="1">
      <c r="A40" s="381" t="s">
        <v>435</v>
      </c>
      <c r="B40" s="382"/>
      <c r="C40" s="415">
        <v>248.57144999999997</v>
      </c>
      <c r="D40" s="415">
        <v>207.80803</v>
      </c>
      <c r="E40" s="415">
        <v>400.79361999999992</v>
      </c>
      <c r="F40" s="418">
        <f t="shared" si="0"/>
        <v>0.19615902234384297</v>
      </c>
    </row>
    <row r="41" spans="1:6" ht="11.25" customHeight="1">
      <c r="A41" s="379" t="s">
        <v>114</v>
      </c>
      <c r="B41" s="376" t="s">
        <v>263</v>
      </c>
      <c r="C41" s="416">
        <v>0</v>
      </c>
      <c r="D41" s="416">
        <v>0</v>
      </c>
      <c r="E41" s="416">
        <v>0</v>
      </c>
      <c r="F41" s="417" t="str">
        <f t="shared" si="0"/>
        <v/>
      </c>
    </row>
    <row r="42" spans="1:6" ht="11.25" customHeight="1">
      <c r="A42" s="381" t="s">
        <v>436</v>
      </c>
      <c r="B42" s="382"/>
      <c r="C42" s="415">
        <v>0</v>
      </c>
      <c r="D42" s="415">
        <v>0</v>
      </c>
      <c r="E42" s="415">
        <v>0</v>
      </c>
      <c r="F42" s="418" t="str">
        <f t="shared" si="0"/>
        <v/>
      </c>
    </row>
    <row r="43" spans="1:6" ht="11.25" customHeight="1">
      <c r="A43" s="379" t="s">
        <v>105</v>
      </c>
      <c r="B43" s="376" t="s">
        <v>687</v>
      </c>
      <c r="C43" s="416">
        <v>294.18524000000002</v>
      </c>
      <c r="D43" s="416">
        <v>0</v>
      </c>
      <c r="E43" s="416">
        <v>293.38225</v>
      </c>
      <c r="F43" s="417" t="str">
        <f t="shared" si="0"/>
        <v/>
      </c>
    </row>
    <row r="44" spans="1:6" ht="11.25" customHeight="1">
      <c r="A44" s="381" t="s">
        <v>437</v>
      </c>
      <c r="B44" s="382"/>
      <c r="C44" s="415">
        <v>294.18524000000002</v>
      </c>
      <c r="D44" s="415">
        <v>0</v>
      </c>
      <c r="E44" s="415">
        <v>293.38225</v>
      </c>
      <c r="F44" s="418" t="str">
        <f t="shared" si="0"/>
        <v/>
      </c>
    </row>
    <row r="45" spans="1:6" ht="11.25" customHeight="1">
      <c r="A45" s="379" t="s">
        <v>110</v>
      </c>
      <c r="B45" s="376" t="s">
        <v>438</v>
      </c>
      <c r="C45" s="416">
        <v>86.796319999999994</v>
      </c>
      <c r="D45" s="416">
        <v>0</v>
      </c>
      <c r="E45" s="416">
        <v>0</v>
      </c>
      <c r="F45" s="417" t="str">
        <f t="shared" si="0"/>
        <v/>
      </c>
    </row>
    <row r="46" spans="1:6" ht="11.25" customHeight="1">
      <c r="A46" s="381" t="s">
        <v>439</v>
      </c>
      <c r="B46" s="382"/>
      <c r="C46" s="415">
        <v>86.796319999999994</v>
      </c>
      <c r="D46" s="415">
        <v>0</v>
      </c>
      <c r="E46" s="415">
        <v>0</v>
      </c>
      <c r="F46" s="418" t="str">
        <f t="shared" si="0"/>
        <v/>
      </c>
    </row>
    <row r="47" spans="1:6" ht="11.25" customHeight="1">
      <c r="A47" s="379" t="s">
        <v>516</v>
      </c>
      <c r="B47" s="376" t="s">
        <v>612</v>
      </c>
      <c r="C47" s="416">
        <v>19.981480000000001</v>
      </c>
      <c r="D47" s="416"/>
      <c r="E47" s="416">
        <v>19.976400000000002</v>
      </c>
      <c r="F47" s="417" t="str">
        <f t="shared" si="0"/>
        <v/>
      </c>
    </row>
    <row r="48" spans="1:6" ht="11.25" customHeight="1">
      <c r="A48" s="381" t="s">
        <v>518</v>
      </c>
      <c r="B48" s="382"/>
      <c r="C48" s="415">
        <v>19.981480000000001</v>
      </c>
      <c r="D48" s="415"/>
      <c r="E48" s="415">
        <v>19.976400000000002</v>
      </c>
      <c r="F48" s="418" t="str">
        <f t="shared" si="0"/>
        <v/>
      </c>
    </row>
    <row r="49" spans="1:6" ht="12" customHeight="1">
      <c r="A49" s="380" t="s">
        <v>731</v>
      </c>
      <c r="B49" s="372" t="s">
        <v>391</v>
      </c>
      <c r="C49" s="419">
        <v>17.331960000000002</v>
      </c>
      <c r="D49" s="419">
        <v>15.346770000000001</v>
      </c>
      <c r="E49" s="419">
        <v>19.575330000000001</v>
      </c>
      <c r="F49" s="755">
        <f t="shared" si="0"/>
        <v>0.12935555820540756</v>
      </c>
    </row>
    <row r="50" spans="1:6" ht="12" customHeight="1">
      <c r="A50" s="381" t="s">
        <v>543</v>
      </c>
      <c r="B50" s="382"/>
      <c r="C50" s="415">
        <v>17.331960000000002</v>
      </c>
      <c r="D50" s="415">
        <v>15.346770000000001</v>
      </c>
      <c r="E50" s="415">
        <v>19.575330000000001</v>
      </c>
      <c r="F50" s="418"/>
    </row>
    <row r="52" spans="1:6" ht="10.5" customHeight="1">
      <c r="A52" s="390" t="s">
        <v>519</v>
      </c>
      <c r="B52" s="561"/>
      <c r="C52" s="392">
        <v>6542.2351099999987</v>
      </c>
      <c r="D52" s="392">
        <v>6400.7671099999989</v>
      </c>
      <c r="E52" s="392">
        <v>6710.6748599999992</v>
      </c>
      <c r="F52" s="563">
        <f t="shared" si="0"/>
        <v>2.2101725866417343E-2</v>
      </c>
    </row>
    <row r="53" spans="1:6" ht="10.5" customHeight="1">
      <c r="A53" s="394" t="s">
        <v>441</v>
      </c>
      <c r="B53" s="395"/>
      <c r="C53" s="392">
        <f>+'8. Max Potencia'!D16</f>
        <v>41.844000000000001</v>
      </c>
      <c r="D53" s="392">
        <f>+'8. Max Potencia'!E16</f>
        <v>0</v>
      </c>
      <c r="E53" s="393">
        <v>0</v>
      </c>
      <c r="F53" s="564">
        <v>0</v>
      </c>
    </row>
    <row r="54" spans="1:6" ht="10.5" customHeight="1">
      <c r="A54" s="398" t="s">
        <v>442</v>
      </c>
      <c r="B54" s="399"/>
      <c r="C54" s="392">
        <f>+'8. Max Potencia'!D17</f>
        <v>0</v>
      </c>
      <c r="D54" s="392">
        <f>+'8. Max Potencia'!E17</f>
        <v>0</v>
      </c>
      <c r="E54" s="393">
        <v>0</v>
      </c>
      <c r="F54" s="564">
        <v>0</v>
      </c>
    </row>
    <row r="56" spans="1:6" ht="11.25" customHeight="1">
      <c r="A56" s="376" t="s">
        <v>564</v>
      </c>
    </row>
    <row r="57" spans="1:6" s="706" customFormat="1" ht="11.25" customHeight="1">
      <c r="A57" s="376" t="s">
        <v>600</v>
      </c>
      <c r="B57" s="376"/>
      <c r="C57" s="376"/>
      <c r="D57" s="376"/>
      <c r="E57" s="376"/>
      <c r="F57" s="376"/>
    </row>
    <row r="58" spans="1:6" ht="11.25" customHeight="1">
      <c r="A58" s="376" t="s">
        <v>601</v>
      </c>
    </row>
    <row r="59" spans="1:6" ht="11.25" customHeight="1">
      <c r="A59" s="376" t="s">
        <v>602</v>
      </c>
    </row>
    <row r="60" spans="1:6" ht="11.25" customHeight="1">
      <c r="A60" s="376" t="s">
        <v>603</v>
      </c>
    </row>
    <row r="61" spans="1:6" ht="11.25" customHeight="1">
      <c r="A61" s="376" t="s">
        <v>604</v>
      </c>
    </row>
    <row r="62" spans="1:6" ht="10.5" customHeight="1">
      <c r="A62" s="376" t="s">
        <v>605</v>
      </c>
    </row>
    <row r="63" spans="1:6">
      <c r="A63" s="376" t="s">
        <v>606</v>
      </c>
    </row>
    <row r="64" spans="1:6">
      <c r="A64" s="376" t="s">
        <v>607</v>
      </c>
    </row>
    <row r="65" spans="1:1">
      <c r="A65" s="376" t="s">
        <v>610</v>
      </c>
    </row>
    <row r="66" spans="1:1">
      <c r="A66" s="376" t="s">
        <v>680</v>
      </c>
    </row>
  </sheetData>
  <mergeCells count="3">
    <mergeCell ref="A1:A4"/>
    <mergeCell ref="B1:B4"/>
    <mergeCell ref="C1:F1"/>
  </mergeCells>
  <pageMargins left="0.7" right="0.7" top="0.86956521739130432" bottom="0.61458333333333337" header="0.3" footer="0.3"/>
  <pageSetup scale="94" orientation="portrait" r:id="rId1"/>
  <headerFooter>
    <oddHeader>&amp;R&amp;7Informe de la Operación Mensual - Julio 2018
INFSGI-MES-07-2018
14/08/2018
Versión: 01</oddHeader>
    <oddFooter>&amp;L&amp;7COES SINAC, 2018
&amp;C23&amp;R&amp;7Dirección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F0BA-941D-46C6-B6E4-8A142B4FD1D1}">
  <sheetPr>
    <tabColor theme="4"/>
  </sheetPr>
  <dimension ref="A1:M68"/>
  <sheetViews>
    <sheetView showGridLines="0" view="pageBreakPreview" zoomScale="115" zoomScaleNormal="100" zoomScaleSheetLayoutView="115" zoomScalePageLayoutView="145" workbookViewId="0">
      <selection activeCell="Q29" sqref="Q29"/>
    </sheetView>
  </sheetViews>
  <sheetFormatPr baseColWidth="10" defaultColWidth="9.28515625" defaultRowHeight="10.199999999999999"/>
  <cols>
    <col min="1" max="1" width="9.85546875" customWidth="1"/>
    <col min="2" max="2" width="6.7109375" customWidth="1"/>
    <col min="3" max="3" width="10.140625" bestFit="1" customWidth="1"/>
    <col min="4" max="5" width="12.140625" customWidth="1"/>
    <col min="6" max="6" width="10"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434" t="s">
        <v>463</v>
      </c>
      <c r="B3" s="432"/>
    </row>
    <row r="4" spans="1:13" ht="11.25" customHeight="1">
      <c r="B4" s="432"/>
    </row>
    <row r="5" spans="1:13" ht="11.25" customHeight="1">
      <c r="A5" s="433" t="s">
        <v>609</v>
      </c>
      <c r="C5" s="681" t="s">
        <v>740</v>
      </c>
    </row>
    <row r="6" spans="1:13" ht="11.25" customHeight="1">
      <c r="A6" s="433" t="s">
        <v>464</v>
      </c>
      <c r="C6" s="536" t="s">
        <v>705</v>
      </c>
    </row>
    <row r="7" spans="1:13" ht="11.25" customHeight="1">
      <c r="A7" s="433" t="s">
        <v>465</v>
      </c>
      <c r="C7" s="537" t="s">
        <v>529</v>
      </c>
    </row>
    <row r="8" spans="1:13" ht="11.25" customHeight="1"/>
    <row r="9" spans="1:13" ht="14.25" customHeight="1">
      <c r="A9" s="878" t="s">
        <v>456</v>
      </c>
      <c r="B9" s="879" t="s">
        <v>457</v>
      </c>
      <c r="C9" s="879"/>
      <c r="D9" s="879"/>
      <c r="E9" s="879"/>
      <c r="F9" s="879"/>
      <c r="G9" s="879" t="s">
        <v>458</v>
      </c>
      <c r="H9" s="879"/>
      <c r="I9" s="879"/>
      <c r="J9" s="879"/>
      <c r="K9" s="879"/>
    </row>
    <row r="10" spans="1:13" ht="26.25" customHeight="1">
      <c r="A10" s="878"/>
      <c r="B10" s="427" t="s">
        <v>459</v>
      </c>
      <c r="C10" s="427" t="s">
        <v>214</v>
      </c>
      <c r="D10" s="427" t="s">
        <v>441</v>
      </c>
      <c r="E10" s="427" t="s">
        <v>442</v>
      </c>
      <c r="F10" s="428" t="s">
        <v>462</v>
      </c>
      <c r="G10" s="427" t="s">
        <v>459</v>
      </c>
      <c r="H10" s="427" t="s">
        <v>214</v>
      </c>
      <c r="I10" s="427" t="s">
        <v>441</v>
      </c>
      <c r="J10" s="427" t="s">
        <v>442</v>
      </c>
      <c r="K10" s="428" t="s">
        <v>462</v>
      </c>
      <c r="L10" s="36"/>
      <c r="M10" s="46"/>
    </row>
    <row r="11" spans="1:13" ht="11.25" customHeight="1">
      <c r="A11" s="878"/>
      <c r="B11" s="427" t="s">
        <v>460</v>
      </c>
      <c r="C11" s="427" t="s">
        <v>461</v>
      </c>
      <c r="D11" s="427" t="s">
        <v>461</v>
      </c>
      <c r="E11" s="427" t="s">
        <v>461</v>
      </c>
      <c r="F11" s="427" t="s">
        <v>461</v>
      </c>
      <c r="G11" s="427" t="s">
        <v>460</v>
      </c>
      <c r="H11" s="427" t="s">
        <v>461</v>
      </c>
      <c r="I11" s="427" t="s">
        <v>461</v>
      </c>
      <c r="J11" s="427" t="s">
        <v>461</v>
      </c>
      <c r="K11" s="427" t="s">
        <v>461</v>
      </c>
      <c r="L11" s="36"/>
      <c r="M11" s="46"/>
    </row>
    <row r="12" spans="1:13" ht="11.25" customHeight="1">
      <c r="A12" s="533" t="s">
        <v>692</v>
      </c>
      <c r="B12" s="534" t="s">
        <v>559</v>
      </c>
      <c r="C12" s="429">
        <v>5331.8531999999996</v>
      </c>
      <c r="D12" s="429">
        <v>0</v>
      </c>
      <c r="E12" s="429">
        <v>0</v>
      </c>
      <c r="F12" s="429">
        <v>5331.8531999999996</v>
      </c>
      <c r="G12" s="534" t="s">
        <v>524</v>
      </c>
      <c r="H12" s="429">
        <v>5936.7866800000002</v>
      </c>
      <c r="I12" s="429">
        <v>0</v>
      </c>
      <c r="J12" s="429">
        <v>0</v>
      </c>
      <c r="K12" s="429">
        <v>5936.7866800000002</v>
      </c>
      <c r="L12" s="246"/>
      <c r="M12" s="46"/>
    </row>
    <row r="13" spans="1:13" ht="11.25" customHeight="1">
      <c r="A13" s="533" t="s">
        <v>693</v>
      </c>
      <c r="B13" s="535" t="s">
        <v>525</v>
      </c>
      <c r="C13" s="430">
        <v>6045.4693699999998</v>
      </c>
      <c r="D13" s="430">
        <v>0</v>
      </c>
      <c r="E13" s="430">
        <v>0</v>
      </c>
      <c r="F13" s="430">
        <v>6045.4693699999998</v>
      </c>
      <c r="G13" s="535" t="s">
        <v>524</v>
      </c>
      <c r="H13" s="430">
        <v>6220.2354500000001</v>
      </c>
      <c r="I13" s="430">
        <v>0</v>
      </c>
      <c r="J13" s="430">
        <v>0</v>
      </c>
      <c r="K13" s="430">
        <v>6220.2354500000001</v>
      </c>
      <c r="L13" s="5"/>
    </row>
    <row r="14" spans="1:13" ht="11.25" customHeight="1">
      <c r="A14" s="533" t="s">
        <v>694</v>
      </c>
      <c r="B14" s="535" t="s">
        <v>528</v>
      </c>
      <c r="C14" s="430">
        <v>6118.5688200000004</v>
      </c>
      <c r="D14" s="430">
        <v>0</v>
      </c>
      <c r="E14" s="430">
        <v>0</v>
      </c>
      <c r="F14" s="430">
        <v>6118.5688200000004</v>
      </c>
      <c r="G14" s="535" t="s">
        <v>524</v>
      </c>
      <c r="H14" s="430">
        <v>6264.0161399999997</v>
      </c>
      <c r="I14" s="430">
        <v>0</v>
      </c>
      <c r="J14" s="430">
        <v>0</v>
      </c>
      <c r="K14" s="430">
        <v>6264.0161399999997</v>
      </c>
      <c r="L14" s="15"/>
    </row>
    <row r="15" spans="1:13" ht="11.25" customHeight="1">
      <c r="A15" s="533" t="s">
        <v>695</v>
      </c>
      <c r="B15" s="535" t="s">
        <v>530</v>
      </c>
      <c r="C15" s="430">
        <v>6068.6416399999998</v>
      </c>
      <c r="D15" s="430">
        <v>0</v>
      </c>
      <c r="E15" s="430">
        <v>0</v>
      </c>
      <c r="F15" s="430">
        <v>6068.6416399999998</v>
      </c>
      <c r="G15" s="535" t="s">
        <v>557</v>
      </c>
      <c r="H15" s="430">
        <v>6308.6395000000002</v>
      </c>
      <c r="I15" s="430">
        <v>0</v>
      </c>
      <c r="J15" s="430">
        <v>0</v>
      </c>
      <c r="K15" s="430">
        <v>6308.6395000000002</v>
      </c>
      <c r="L15" s="12"/>
    </row>
    <row r="16" spans="1:13" ht="11.25" customHeight="1">
      <c r="A16" s="533" t="s">
        <v>696</v>
      </c>
      <c r="B16" s="535" t="s">
        <v>565</v>
      </c>
      <c r="C16" s="430">
        <v>6210.0478000000003</v>
      </c>
      <c r="D16" s="430">
        <v>0</v>
      </c>
      <c r="E16" s="430">
        <v>0</v>
      </c>
      <c r="F16" s="430">
        <v>6210.0478000000003</v>
      </c>
      <c r="G16" s="535" t="s">
        <v>558</v>
      </c>
      <c r="H16" s="430">
        <v>6354.2221099999997</v>
      </c>
      <c r="I16" s="430">
        <v>0</v>
      </c>
      <c r="J16" s="430">
        <v>0</v>
      </c>
      <c r="K16" s="430">
        <v>6354.2221099999997</v>
      </c>
      <c r="L16" s="22"/>
    </row>
    <row r="17" spans="1:12" ht="11.25" customHeight="1">
      <c r="A17" s="533" t="s">
        <v>697</v>
      </c>
      <c r="B17" s="722" t="s">
        <v>530</v>
      </c>
      <c r="C17" s="431">
        <v>6371.4687999999996</v>
      </c>
      <c r="D17" s="431">
        <v>0</v>
      </c>
      <c r="E17" s="431">
        <v>0</v>
      </c>
      <c r="F17" s="431">
        <v>6371.4687999999996</v>
      </c>
      <c r="G17" s="535" t="s">
        <v>558</v>
      </c>
      <c r="H17" s="430">
        <v>6374.5698599999996</v>
      </c>
      <c r="I17" s="430">
        <v>0</v>
      </c>
      <c r="J17" s="430">
        <v>0</v>
      </c>
      <c r="K17" s="430">
        <v>6374.5698599999996</v>
      </c>
      <c r="L17" s="22"/>
    </row>
    <row r="18" spans="1:12" ht="11.25" customHeight="1">
      <c r="A18" s="533" t="s">
        <v>698</v>
      </c>
      <c r="B18" s="535" t="s">
        <v>525</v>
      </c>
      <c r="C18" s="430">
        <v>6220.7463500000003</v>
      </c>
      <c r="D18" s="430">
        <v>0</v>
      </c>
      <c r="E18" s="430">
        <v>0</v>
      </c>
      <c r="F18" s="430">
        <v>6220.7463500000003</v>
      </c>
      <c r="G18" s="535" t="s">
        <v>558</v>
      </c>
      <c r="H18" s="430">
        <v>6247.3988399999998</v>
      </c>
      <c r="I18" s="430">
        <v>0</v>
      </c>
      <c r="J18" s="430">
        <v>0</v>
      </c>
      <c r="K18" s="430">
        <v>6247.3988399999998</v>
      </c>
      <c r="L18" s="22"/>
    </row>
    <row r="19" spans="1:12" ht="11.25" customHeight="1">
      <c r="A19" s="533" t="s">
        <v>699</v>
      </c>
      <c r="B19" s="535" t="s">
        <v>526</v>
      </c>
      <c r="C19" s="430">
        <v>5590.2484800000002</v>
      </c>
      <c r="D19" s="430">
        <v>0</v>
      </c>
      <c r="E19" s="430">
        <v>0</v>
      </c>
      <c r="F19" s="430">
        <v>5590.2484800000002</v>
      </c>
      <c r="G19" s="535" t="s">
        <v>527</v>
      </c>
      <c r="H19" s="430">
        <v>6217.0258800000001</v>
      </c>
      <c r="I19" s="430">
        <v>0</v>
      </c>
      <c r="J19" s="430">
        <v>0</v>
      </c>
      <c r="K19" s="430">
        <v>6217.0258800000001</v>
      </c>
      <c r="L19" s="22"/>
    </row>
    <row r="20" spans="1:12" ht="11.25" customHeight="1">
      <c r="A20" s="533" t="s">
        <v>700</v>
      </c>
      <c r="B20" s="535" t="s">
        <v>565</v>
      </c>
      <c r="C20" s="430">
        <v>6268.3362399999996</v>
      </c>
      <c r="D20" s="430">
        <v>0</v>
      </c>
      <c r="E20" s="430">
        <v>0</v>
      </c>
      <c r="F20" s="430">
        <v>6268.3362399999996</v>
      </c>
      <c r="G20" s="535" t="s">
        <v>557</v>
      </c>
      <c r="H20" s="430">
        <v>6442.6819100000002</v>
      </c>
      <c r="I20" s="430">
        <v>0</v>
      </c>
      <c r="J20" s="430">
        <v>0</v>
      </c>
      <c r="K20" s="430">
        <v>6442.6819100000002</v>
      </c>
      <c r="L20" s="24"/>
    </row>
    <row r="21" spans="1:12" ht="11.25" customHeight="1">
      <c r="A21" s="533" t="s">
        <v>701</v>
      </c>
      <c r="B21" s="535" t="s">
        <v>565</v>
      </c>
      <c r="C21" s="430">
        <v>6259.4796200000001</v>
      </c>
      <c r="D21" s="430">
        <v>28.494440000000001</v>
      </c>
      <c r="E21" s="430">
        <v>0</v>
      </c>
      <c r="F21" s="430">
        <v>6287.9740599999996</v>
      </c>
      <c r="G21" s="535" t="s">
        <v>529</v>
      </c>
      <c r="H21" s="430">
        <v>6420.1099299999996</v>
      </c>
      <c r="I21" s="430">
        <v>30.24024</v>
      </c>
      <c r="J21" s="430">
        <v>0</v>
      </c>
      <c r="K21" s="430">
        <v>6450.3501699999997</v>
      </c>
      <c r="L21" s="22"/>
    </row>
    <row r="22" spans="1:12" ht="11.25" customHeight="1">
      <c r="A22" s="533" t="s">
        <v>702</v>
      </c>
      <c r="B22" s="535" t="s">
        <v>530</v>
      </c>
      <c r="C22" s="430">
        <v>6224.4206000000004</v>
      </c>
      <c r="D22" s="430">
        <v>31.495999999999999</v>
      </c>
      <c r="E22" s="430">
        <v>0</v>
      </c>
      <c r="F22" s="430">
        <v>6255.9165999999996</v>
      </c>
      <c r="G22" s="535" t="s">
        <v>566</v>
      </c>
      <c r="H22" s="430">
        <v>6395.5163499999999</v>
      </c>
      <c r="I22" s="430">
        <v>37.531999999999996</v>
      </c>
      <c r="J22" s="430">
        <v>0</v>
      </c>
      <c r="K22" s="430">
        <v>6433.04835</v>
      </c>
      <c r="L22" s="22"/>
    </row>
    <row r="23" spans="1:12" ht="11.25" customHeight="1">
      <c r="A23" s="533" t="s">
        <v>703</v>
      </c>
      <c r="B23" s="535" t="s">
        <v>530</v>
      </c>
      <c r="C23" s="430">
        <v>6241.80249</v>
      </c>
      <c r="D23" s="430">
        <v>0</v>
      </c>
      <c r="E23" s="430">
        <v>0</v>
      </c>
      <c r="F23" s="430">
        <v>6241.80249</v>
      </c>
      <c r="G23" s="535" t="s">
        <v>704</v>
      </c>
      <c r="H23" s="430">
        <v>6373.98513</v>
      </c>
      <c r="I23" s="430">
        <v>0</v>
      </c>
      <c r="J23" s="430">
        <v>0</v>
      </c>
      <c r="K23" s="430">
        <v>6373.98513</v>
      </c>
      <c r="L23" s="22"/>
    </row>
    <row r="24" spans="1:12" ht="11.25" customHeight="1">
      <c r="A24" s="533" t="s">
        <v>705</v>
      </c>
      <c r="B24" s="535" t="s">
        <v>528</v>
      </c>
      <c r="C24" s="430">
        <v>6315.9332599999998</v>
      </c>
      <c r="D24" s="430">
        <v>31.54</v>
      </c>
      <c r="E24" s="430">
        <v>0</v>
      </c>
      <c r="F24" s="430">
        <v>6347.4732599999998</v>
      </c>
      <c r="G24" s="722" t="s">
        <v>529</v>
      </c>
      <c r="H24" s="431">
        <v>6421.0112600000002</v>
      </c>
      <c r="I24" s="431">
        <v>41.844000000000001</v>
      </c>
      <c r="J24" s="431">
        <v>0</v>
      </c>
      <c r="K24" s="431">
        <v>6462.8552600000003</v>
      </c>
      <c r="L24" s="22"/>
    </row>
    <row r="25" spans="1:12" ht="11.25" customHeight="1">
      <c r="A25" s="533" t="s">
        <v>706</v>
      </c>
      <c r="B25" s="535" t="s">
        <v>525</v>
      </c>
      <c r="C25" s="430">
        <v>6246.76782</v>
      </c>
      <c r="D25" s="430">
        <v>0</v>
      </c>
      <c r="E25" s="430">
        <v>0</v>
      </c>
      <c r="F25" s="430">
        <v>6246.76782</v>
      </c>
      <c r="G25" s="535" t="s">
        <v>529</v>
      </c>
      <c r="H25" s="430">
        <v>6415.6925499999998</v>
      </c>
      <c r="I25" s="430">
        <v>0</v>
      </c>
      <c r="J25" s="430">
        <v>0</v>
      </c>
      <c r="K25" s="430">
        <v>6415.6925499999998</v>
      </c>
      <c r="L25" s="22"/>
    </row>
    <row r="26" spans="1:12" ht="11.25" customHeight="1">
      <c r="A26" s="533" t="s">
        <v>707</v>
      </c>
      <c r="B26" s="535" t="s">
        <v>559</v>
      </c>
      <c r="C26" s="430">
        <v>5604.3935499999998</v>
      </c>
      <c r="D26" s="430">
        <v>0</v>
      </c>
      <c r="E26" s="430">
        <v>0</v>
      </c>
      <c r="F26" s="430">
        <v>5604.3935499999998</v>
      </c>
      <c r="G26" s="535" t="s">
        <v>708</v>
      </c>
      <c r="H26" s="430">
        <v>6219.9731400000001</v>
      </c>
      <c r="I26" s="430">
        <v>0</v>
      </c>
      <c r="J26" s="430">
        <v>0</v>
      </c>
      <c r="K26" s="430">
        <v>6219.9731400000001</v>
      </c>
      <c r="L26" s="22"/>
    </row>
    <row r="27" spans="1:12" ht="11.25" customHeight="1">
      <c r="A27" s="533" t="s">
        <v>709</v>
      </c>
      <c r="B27" s="535" t="s">
        <v>530</v>
      </c>
      <c r="C27" s="430">
        <v>6255.2487600000004</v>
      </c>
      <c r="D27" s="430">
        <v>0</v>
      </c>
      <c r="E27" s="430">
        <v>0</v>
      </c>
      <c r="F27" s="430">
        <v>6255.2487600000004</v>
      </c>
      <c r="G27" s="535" t="s">
        <v>524</v>
      </c>
      <c r="H27" s="430">
        <v>6440.1621800000003</v>
      </c>
      <c r="I27" s="430">
        <v>0</v>
      </c>
      <c r="J27" s="430">
        <v>0</v>
      </c>
      <c r="K27" s="430">
        <v>6440.1621800000003</v>
      </c>
      <c r="L27" s="22"/>
    </row>
    <row r="28" spans="1:12" ht="11.25" customHeight="1">
      <c r="A28" s="533" t="s">
        <v>710</v>
      </c>
      <c r="B28" s="535" t="s">
        <v>565</v>
      </c>
      <c r="C28" s="430">
        <v>6224.1400999999996</v>
      </c>
      <c r="D28" s="430">
        <v>0</v>
      </c>
      <c r="E28" s="430">
        <v>0</v>
      </c>
      <c r="F28" s="430">
        <v>6224.1400999999996</v>
      </c>
      <c r="G28" s="535" t="s">
        <v>558</v>
      </c>
      <c r="H28" s="430">
        <v>6372.1262900000002</v>
      </c>
      <c r="I28" s="430">
        <v>0</v>
      </c>
      <c r="J28" s="430">
        <v>0</v>
      </c>
      <c r="K28" s="430">
        <v>6372.1262900000002</v>
      </c>
      <c r="L28" s="30"/>
    </row>
    <row r="29" spans="1:12" ht="11.25" customHeight="1">
      <c r="A29" s="533" t="s">
        <v>711</v>
      </c>
      <c r="B29" s="535" t="s">
        <v>565</v>
      </c>
      <c r="C29" s="430">
        <v>6302.3174799999997</v>
      </c>
      <c r="D29" s="430">
        <v>29.81024</v>
      </c>
      <c r="E29" s="430">
        <v>0</v>
      </c>
      <c r="F29" s="430">
        <v>6332.1277200000004</v>
      </c>
      <c r="G29" s="535" t="s">
        <v>529</v>
      </c>
      <c r="H29" s="430">
        <v>6377.4450100000004</v>
      </c>
      <c r="I29" s="430">
        <v>38.443840000000002</v>
      </c>
      <c r="J29" s="430">
        <v>0</v>
      </c>
      <c r="K29" s="430">
        <v>6415.8888500000003</v>
      </c>
      <c r="L29" s="22"/>
    </row>
    <row r="30" spans="1:12" ht="11.25" customHeight="1">
      <c r="A30" s="533" t="s">
        <v>712</v>
      </c>
      <c r="B30" s="535" t="s">
        <v>713</v>
      </c>
      <c r="C30" s="430">
        <v>6090.9292299999997</v>
      </c>
      <c r="D30" s="430">
        <v>34.147039999999997</v>
      </c>
      <c r="E30" s="430">
        <v>0</v>
      </c>
      <c r="F30" s="430">
        <v>6125.0762699999996</v>
      </c>
      <c r="G30" s="535" t="s">
        <v>524</v>
      </c>
      <c r="H30" s="430">
        <v>6311.95849</v>
      </c>
      <c r="I30" s="430">
        <v>36.706600000000002</v>
      </c>
      <c r="J30" s="430">
        <v>0</v>
      </c>
      <c r="K30" s="430">
        <v>6348.6650900000004</v>
      </c>
      <c r="L30" s="22"/>
    </row>
    <row r="31" spans="1:12" ht="11.25" customHeight="1">
      <c r="A31" s="533" t="s">
        <v>714</v>
      </c>
      <c r="B31" s="535" t="s">
        <v>528</v>
      </c>
      <c r="C31" s="430">
        <v>6243.5434500000001</v>
      </c>
      <c r="D31" s="430">
        <v>38.92004</v>
      </c>
      <c r="E31" s="430">
        <v>0</v>
      </c>
      <c r="F31" s="430">
        <v>6282.4634900000001</v>
      </c>
      <c r="G31" s="535" t="s">
        <v>529</v>
      </c>
      <c r="H31" s="430">
        <v>6320.2184200000002</v>
      </c>
      <c r="I31" s="430">
        <v>36.714840000000002</v>
      </c>
      <c r="J31" s="430">
        <v>0</v>
      </c>
      <c r="K31" s="430">
        <v>6356.9332599999998</v>
      </c>
      <c r="L31" s="15"/>
    </row>
    <row r="32" spans="1:12" ht="11.25" customHeight="1">
      <c r="A32" s="533" t="s">
        <v>715</v>
      </c>
      <c r="B32" s="535" t="s">
        <v>716</v>
      </c>
      <c r="C32" s="430">
        <v>6230.7864399999999</v>
      </c>
      <c r="D32" s="430">
        <v>0</v>
      </c>
      <c r="E32" s="430">
        <v>0</v>
      </c>
      <c r="F32" s="430">
        <v>6230.7864399999999</v>
      </c>
      <c r="G32" s="535" t="s">
        <v>529</v>
      </c>
      <c r="H32" s="430">
        <v>6426.7177600000005</v>
      </c>
      <c r="I32" s="430">
        <v>0</v>
      </c>
      <c r="J32" s="430">
        <v>0</v>
      </c>
      <c r="K32" s="430">
        <v>6426.7177600000005</v>
      </c>
      <c r="L32" s="16"/>
    </row>
    <row r="33" spans="1:12" ht="11.25" customHeight="1">
      <c r="A33" s="533" t="s">
        <v>717</v>
      </c>
      <c r="B33" s="535" t="s">
        <v>526</v>
      </c>
      <c r="C33" s="430">
        <v>5607.6966899999998</v>
      </c>
      <c r="D33" s="430">
        <v>0</v>
      </c>
      <c r="E33" s="430">
        <v>0</v>
      </c>
      <c r="F33" s="430">
        <v>5607.6966899999998</v>
      </c>
      <c r="G33" s="535" t="s">
        <v>557</v>
      </c>
      <c r="H33" s="430">
        <v>6196.4582200000004</v>
      </c>
      <c r="I33" s="430">
        <v>0</v>
      </c>
      <c r="J33" s="430">
        <v>0</v>
      </c>
      <c r="K33" s="430">
        <v>6196.4582200000004</v>
      </c>
      <c r="L33" s="15"/>
    </row>
    <row r="34" spans="1:12" ht="11.25" customHeight="1">
      <c r="A34" s="533" t="s">
        <v>718</v>
      </c>
      <c r="B34" s="535" t="s">
        <v>716</v>
      </c>
      <c r="C34" s="430">
        <v>6202.7687100000003</v>
      </c>
      <c r="D34" s="430">
        <v>0</v>
      </c>
      <c r="E34" s="430">
        <v>0</v>
      </c>
      <c r="F34" s="430">
        <v>6202.7687100000003</v>
      </c>
      <c r="G34" s="535" t="s">
        <v>527</v>
      </c>
      <c r="H34" s="430">
        <v>6402.0417600000001</v>
      </c>
      <c r="I34" s="430">
        <v>0</v>
      </c>
      <c r="J34" s="430">
        <v>0</v>
      </c>
      <c r="K34" s="430">
        <v>6402.0417600000001</v>
      </c>
      <c r="L34" s="15"/>
    </row>
    <row r="35" spans="1:12" ht="11.25" customHeight="1">
      <c r="A35" s="533" t="s">
        <v>719</v>
      </c>
      <c r="B35" s="535" t="s">
        <v>528</v>
      </c>
      <c r="C35" s="430">
        <v>6171.4989299999997</v>
      </c>
      <c r="D35" s="430">
        <v>0</v>
      </c>
      <c r="E35" s="430">
        <v>0</v>
      </c>
      <c r="F35" s="430">
        <v>6171.4989299999997</v>
      </c>
      <c r="G35" s="535" t="s">
        <v>704</v>
      </c>
      <c r="H35" s="430">
        <v>6350.9157599999999</v>
      </c>
      <c r="I35" s="430">
        <v>0</v>
      </c>
      <c r="J35" s="430">
        <v>0</v>
      </c>
      <c r="K35" s="430">
        <v>6350.9157599999999</v>
      </c>
      <c r="L35" s="22"/>
    </row>
    <row r="36" spans="1:12" ht="11.25" customHeight="1">
      <c r="A36" s="533" t="s">
        <v>720</v>
      </c>
      <c r="B36" s="535" t="s">
        <v>525</v>
      </c>
      <c r="C36" s="430">
        <v>6299.1638000000003</v>
      </c>
      <c r="D36" s="430">
        <v>0</v>
      </c>
      <c r="E36" s="430">
        <v>0</v>
      </c>
      <c r="F36" s="430">
        <v>6299.1638000000003</v>
      </c>
      <c r="G36" s="535" t="s">
        <v>529</v>
      </c>
      <c r="H36" s="430">
        <v>6397.4354599999997</v>
      </c>
      <c r="I36" s="430">
        <v>0</v>
      </c>
      <c r="J36" s="430">
        <v>0</v>
      </c>
      <c r="K36" s="430">
        <v>6397.4354599999997</v>
      </c>
      <c r="L36" s="22"/>
    </row>
    <row r="37" spans="1:12" ht="11.25" customHeight="1">
      <c r="A37" s="533" t="s">
        <v>721</v>
      </c>
      <c r="B37" s="535" t="s">
        <v>716</v>
      </c>
      <c r="C37" s="430">
        <v>6122.6852399999998</v>
      </c>
      <c r="D37" s="430">
        <v>0</v>
      </c>
      <c r="E37" s="430">
        <v>0</v>
      </c>
      <c r="F37" s="430">
        <v>6122.6852399999998</v>
      </c>
      <c r="G37" s="535" t="s">
        <v>529</v>
      </c>
      <c r="H37" s="430">
        <v>6298.8063599999996</v>
      </c>
      <c r="I37" s="430">
        <v>0</v>
      </c>
      <c r="J37" s="430">
        <v>0</v>
      </c>
      <c r="K37" s="430">
        <v>6298.8063599999996</v>
      </c>
      <c r="L37" s="22"/>
    </row>
    <row r="38" spans="1:12" ht="11.25" customHeight="1">
      <c r="A38" s="533" t="s">
        <v>722</v>
      </c>
      <c r="B38" s="535" t="s">
        <v>530</v>
      </c>
      <c r="C38" s="430">
        <v>6077.1362200000003</v>
      </c>
      <c r="D38" s="430">
        <v>0</v>
      </c>
      <c r="E38" s="430">
        <v>0</v>
      </c>
      <c r="F38" s="430">
        <v>6077.1362200000003</v>
      </c>
      <c r="G38" s="535" t="s">
        <v>558</v>
      </c>
      <c r="H38" s="430">
        <v>6136.90049</v>
      </c>
      <c r="I38" s="430">
        <v>0</v>
      </c>
      <c r="J38" s="430">
        <v>0</v>
      </c>
      <c r="K38" s="430">
        <v>6136.90049</v>
      </c>
      <c r="L38" s="22"/>
    </row>
    <row r="39" spans="1:12" ht="11.25" customHeight="1">
      <c r="A39" s="533" t="s">
        <v>723</v>
      </c>
      <c r="B39" s="535" t="s">
        <v>526</v>
      </c>
      <c r="C39" s="430">
        <v>5399.72444</v>
      </c>
      <c r="D39" s="430">
        <v>0</v>
      </c>
      <c r="E39" s="430">
        <v>0</v>
      </c>
      <c r="F39" s="430">
        <v>5399.72444</v>
      </c>
      <c r="G39" s="535" t="s">
        <v>708</v>
      </c>
      <c r="H39" s="430">
        <v>5829.8321900000001</v>
      </c>
      <c r="I39" s="430">
        <v>0</v>
      </c>
      <c r="J39" s="430">
        <v>0</v>
      </c>
      <c r="K39" s="430">
        <v>5829.8321900000001</v>
      </c>
      <c r="L39" s="22"/>
    </row>
    <row r="40" spans="1:12" ht="11.25" customHeight="1">
      <c r="A40" s="533" t="s">
        <v>724</v>
      </c>
      <c r="B40" s="535" t="s">
        <v>526</v>
      </c>
      <c r="C40" s="430">
        <v>5198.8913400000001</v>
      </c>
      <c r="D40" s="430">
        <v>0</v>
      </c>
      <c r="E40" s="430">
        <v>0</v>
      </c>
      <c r="F40" s="430">
        <v>5198.8913400000001</v>
      </c>
      <c r="G40" s="535" t="s">
        <v>524</v>
      </c>
      <c r="H40" s="430">
        <v>5831.1313700000001</v>
      </c>
      <c r="I40" s="430">
        <v>0</v>
      </c>
      <c r="J40" s="430">
        <v>0</v>
      </c>
      <c r="K40" s="430">
        <v>5831.1313700000001</v>
      </c>
      <c r="L40" s="22"/>
    </row>
    <row r="41" spans="1:12" ht="11.25" customHeight="1">
      <c r="A41" s="533" t="s">
        <v>725</v>
      </c>
      <c r="B41" s="535" t="s">
        <v>528</v>
      </c>
      <c r="C41" s="430">
        <v>6031.5474400000003</v>
      </c>
      <c r="D41" s="430">
        <v>0</v>
      </c>
      <c r="E41" s="430">
        <v>0</v>
      </c>
      <c r="F41" s="430">
        <v>6031.5474400000003</v>
      </c>
      <c r="G41" s="535" t="s">
        <v>529</v>
      </c>
      <c r="H41" s="430">
        <v>6255.5639000000001</v>
      </c>
      <c r="I41" s="430">
        <v>0</v>
      </c>
      <c r="J41" s="430">
        <v>0</v>
      </c>
      <c r="K41" s="430">
        <v>6255.5639000000001</v>
      </c>
      <c r="L41" s="22"/>
    </row>
    <row r="42" spans="1:12" ht="11.25" customHeight="1">
      <c r="A42" s="533" t="s">
        <v>726</v>
      </c>
      <c r="B42" s="535" t="s">
        <v>613</v>
      </c>
      <c r="C42" s="430">
        <v>5962.3674899999996</v>
      </c>
      <c r="D42" s="430">
        <v>0</v>
      </c>
      <c r="E42" s="430">
        <v>0</v>
      </c>
      <c r="F42" s="430">
        <v>5962.3674899999996</v>
      </c>
      <c r="G42" s="535" t="s">
        <v>529</v>
      </c>
      <c r="H42" s="430">
        <v>6191.9475499999999</v>
      </c>
      <c r="I42" s="430">
        <v>0</v>
      </c>
      <c r="J42" s="430">
        <v>0</v>
      </c>
      <c r="K42" s="430">
        <v>6191.9475499999999</v>
      </c>
      <c r="L42" s="22"/>
    </row>
    <row r="43" spans="1:12" ht="11.25" customHeight="1">
      <c r="A43" s="237"/>
      <c r="B43" s="237"/>
      <c r="C43" s="237"/>
      <c r="D43" s="237"/>
      <c r="E43" s="237"/>
      <c r="F43" s="237"/>
      <c r="G43" s="237"/>
      <c r="H43" s="237"/>
      <c r="I43" s="237"/>
      <c r="J43" s="237"/>
      <c r="K43" s="239"/>
      <c r="L43" s="22"/>
    </row>
    <row r="44" spans="1:12" ht="11.25" customHeight="1">
      <c r="A44" s="237"/>
      <c r="B44" s="237"/>
      <c r="C44" s="237"/>
      <c r="D44" s="237"/>
      <c r="E44" s="237"/>
      <c r="F44" s="237"/>
      <c r="G44" s="237"/>
      <c r="H44" s="237"/>
      <c r="I44" s="237"/>
      <c r="J44" s="237"/>
      <c r="K44" s="239"/>
      <c r="L44" s="22"/>
    </row>
    <row r="45" spans="1:12" ht="11.25" customHeight="1">
      <c r="A45" s="237"/>
      <c r="B45" s="237"/>
      <c r="C45" s="237"/>
      <c r="D45" s="237"/>
      <c r="E45" s="237"/>
      <c r="F45" s="237"/>
      <c r="G45" s="237"/>
      <c r="H45" s="237"/>
      <c r="I45" s="237"/>
      <c r="J45" s="237"/>
      <c r="K45" s="239"/>
      <c r="L45" s="22"/>
    </row>
    <row r="46" spans="1:12" ht="11.25" customHeight="1">
      <c r="A46" s="237"/>
      <c r="B46" s="237"/>
      <c r="C46" s="237"/>
      <c r="D46" s="237"/>
      <c r="E46" s="237"/>
      <c r="F46" s="237"/>
      <c r="G46" s="237"/>
      <c r="H46" s="237"/>
      <c r="I46" s="237"/>
      <c r="J46" s="237"/>
      <c r="K46" s="239"/>
      <c r="L46" s="22"/>
    </row>
    <row r="47" spans="1:12" ht="11.25" customHeight="1">
      <c r="A47" s="237"/>
      <c r="B47" s="237"/>
      <c r="C47" s="237"/>
      <c r="D47" s="237"/>
      <c r="E47" s="237"/>
      <c r="F47" s="237"/>
      <c r="G47" s="237"/>
      <c r="H47" s="237"/>
      <c r="I47" s="237"/>
      <c r="J47" s="237"/>
      <c r="K47" s="239"/>
      <c r="L47" s="22"/>
    </row>
    <row r="48" spans="1:12" ht="11.25" customHeight="1">
      <c r="A48" s="237"/>
      <c r="B48" s="237"/>
      <c r="C48" s="237"/>
      <c r="D48" s="237"/>
      <c r="E48" s="237"/>
      <c r="F48" s="237"/>
      <c r="G48" s="237"/>
      <c r="H48" s="237"/>
      <c r="I48" s="237"/>
      <c r="J48" s="237"/>
      <c r="K48" s="240"/>
      <c r="L48" s="11"/>
    </row>
    <row r="49" spans="1:12" ht="11.25" customHeight="1">
      <c r="A49" s="237"/>
      <c r="B49" s="237"/>
      <c r="C49" s="237"/>
      <c r="D49" s="237"/>
      <c r="E49" s="237"/>
      <c r="F49" s="237"/>
      <c r="G49" s="237"/>
      <c r="H49" s="237"/>
      <c r="I49" s="237"/>
      <c r="J49" s="237"/>
      <c r="K49" s="240"/>
      <c r="L49" s="11"/>
    </row>
    <row r="50" spans="1:12" ht="11.25" customHeight="1">
      <c r="A50" s="237"/>
      <c r="B50" s="237"/>
      <c r="C50" s="237"/>
      <c r="D50" s="237"/>
      <c r="E50" s="237"/>
      <c r="F50" s="237"/>
      <c r="G50" s="237"/>
      <c r="H50" s="237"/>
      <c r="I50" s="237"/>
      <c r="J50" s="237"/>
      <c r="K50" s="240"/>
      <c r="L50" s="11"/>
    </row>
    <row r="51" spans="1:12" ht="11.25" customHeight="1">
      <c r="A51" s="237"/>
      <c r="B51" s="237"/>
      <c r="C51" s="237"/>
      <c r="D51" s="237"/>
      <c r="E51" s="237"/>
      <c r="F51" s="237"/>
      <c r="G51" s="237"/>
      <c r="H51" s="237"/>
      <c r="I51" s="237"/>
      <c r="J51" s="237"/>
      <c r="K51" s="239"/>
    </row>
    <row r="52" spans="1:12" ht="11.25" customHeight="1">
      <c r="A52" s="237"/>
      <c r="B52" s="237"/>
      <c r="C52" s="237"/>
      <c r="D52" s="237"/>
      <c r="E52" s="237"/>
      <c r="F52" s="237"/>
      <c r="G52" s="237"/>
      <c r="H52" s="237"/>
      <c r="I52" s="237"/>
      <c r="J52" s="237"/>
      <c r="K52" s="239"/>
    </row>
    <row r="53" spans="1:12" ht="13.2">
      <c r="A53" s="237"/>
      <c r="B53" s="237"/>
      <c r="C53" s="237"/>
      <c r="D53" s="237"/>
      <c r="E53" s="237"/>
      <c r="F53" s="237"/>
      <c r="G53" s="237"/>
      <c r="H53" s="237"/>
      <c r="I53" s="237"/>
      <c r="J53" s="237"/>
      <c r="K53" s="239"/>
    </row>
    <row r="54" spans="1:12" ht="13.2">
      <c r="A54" s="237"/>
      <c r="B54" s="237"/>
      <c r="C54" s="237"/>
      <c r="D54" s="237"/>
      <c r="E54" s="237"/>
      <c r="F54" s="237"/>
      <c r="G54" s="237"/>
      <c r="H54" s="237"/>
      <c r="I54" s="237"/>
      <c r="J54" s="237"/>
      <c r="K54" s="239"/>
    </row>
    <row r="55" spans="1:12" ht="13.2">
      <c r="A55" s="237"/>
      <c r="B55" s="237"/>
      <c r="C55" s="237"/>
      <c r="D55" s="237"/>
      <c r="E55" s="237"/>
      <c r="F55" s="237"/>
      <c r="G55" s="237"/>
      <c r="H55" s="237"/>
      <c r="I55" s="237"/>
      <c r="J55" s="237"/>
      <c r="K55" s="239"/>
    </row>
    <row r="56" spans="1:12" ht="13.2">
      <c r="A56" s="237"/>
      <c r="B56" s="237"/>
      <c r="C56" s="237"/>
      <c r="D56" s="237"/>
      <c r="E56" s="237"/>
      <c r="F56" s="237"/>
      <c r="G56" s="237"/>
      <c r="H56" s="237"/>
      <c r="I56" s="237"/>
      <c r="J56" s="237"/>
      <c r="K56" s="239"/>
    </row>
    <row r="57" spans="1:12" ht="13.2">
      <c r="A57" s="237"/>
      <c r="B57" s="237"/>
      <c r="C57" s="237"/>
      <c r="D57" s="237"/>
      <c r="E57" s="237"/>
      <c r="F57" s="237"/>
      <c r="G57" s="237"/>
      <c r="H57" s="237"/>
      <c r="I57" s="237"/>
      <c r="J57" s="237"/>
      <c r="K57" s="239"/>
    </row>
    <row r="58" spans="1:12" ht="13.2">
      <c r="A58" s="237"/>
      <c r="B58" s="111"/>
      <c r="C58" s="111"/>
      <c r="D58" s="111"/>
      <c r="E58" s="111"/>
      <c r="F58" s="111"/>
      <c r="G58" s="111"/>
      <c r="H58" s="111"/>
      <c r="I58" s="111"/>
      <c r="J58" s="111"/>
      <c r="K58" s="239"/>
    </row>
    <row r="59" spans="1:12" ht="13.2">
      <c r="A59" s="237"/>
      <c r="B59" s="111"/>
      <c r="C59" s="111"/>
      <c r="D59" s="111"/>
      <c r="E59" s="111"/>
      <c r="F59" s="111"/>
      <c r="G59" s="111"/>
      <c r="H59" s="111"/>
      <c r="I59" s="111"/>
      <c r="J59" s="111"/>
      <c r="K59" s="239"/>
    </row>
    <row r="60" spans="1:12" ht="13.2">
      <c r="A60" s="237"/>
      <c r="B60" s="111"/>
      <c r="C60" s="111"/>
      <c r="D60" s="111"/>
      <c r="E60" s="111"/>
      <c r="F60" s="111"/>
      <c r="G60" s="111"/>
      <c r="H60" s="111"/>
      <c r="I60" s="111"/>
      <c r="J60" s="111"/>
      <c r="K60" s="239"/>
    </row>
    <row r="61" spans="1:12" ht="13.2">
      <c r="A61" s="237"/>
      <c r="B61" s="111"/>
      <c r="C61" s="111"/>
      <c r="D61" s="111"/>
      <c r="E61" s="111"/>
      <c r="F61" s="111"/>
      <c r="G61" s="111"/>
      <c r="H61" s="111"/>
      <c r="I61" s="111"/>
      <c r="J61" s="111"/>
      <c r="K61" s="239"/>
    </row>
    <row r="62" spans="1:12" ht="13.2">
      <c r="A62" s="237"/>
      <c r="B62" s="111"/>
      <c r="C62" s="111"/>
      <c r="D62" s="111"/>
      <c r="E62" s="111"/>
      <c r="F62" s="111"/>
      <c r="G62" s="111"/>
      <c r="H62" s="111"/>
      <c r="I62" s="111"/>
      <c r="J62" s="111"/>
      <c r="K62" s="239"/>
    </row>
    <row r="63" spans="1:12" ht="13.2">
      <c r="A63" s="237"/>
      <c r="B63" s="238"/>
      <c r="C63" s="238"/>
      <c r="D63" s="238"/>
      <c r="E63" s="238"/>
      <c r="F63" s="238"/>
      <c r="G63" s="238"/>
      <c r="H63" s="238"/>
      <c r="I63" s="238"/>
      <c r="J63" s="238"/>
      <c r="K63" s="239"/>
    </row>
    <row r="64" spans="1:12" ht="13.2">
      <c r="A64" s="237"/>
      <c r="B64" s="238"/>
      <c r="C64" s="238"/>
      <c r="D64" s="238"/>
      <c r="E64" s="238"/>
      <c r="F64" s="238"/>
      <c r="G64" s="238"/>
      <c r="H64" s="238"/>
      <c r="I64" s="238"/>
      <c r="J64" s="238"/>
      <c r="K64" s="239"/>
    </row>
    <row r="65" spans="1:11" ht="13.2">
      <c r="A65" s="237"/>
      <c r="B65" s="241"/>
      <c r="C65" s="239"/>
      <c r="D65" s="239"/>
      <c r="E65" s="239"/>
      <c r="F65" s="239"/>
      <c r="G65" s="238"/>
      <c r="H65" s="238"/>
      <c r="I65" s="238"/>
      <c r="J65" s="238"/>
      <c r="K65" s="239"/>
    </row>
    <row r="66" spans="1:11" ht="13.2">
      <c r="A66" s="242"/>
      <c r="B66" s="243"/>
      <c r="C66" s="243"/>
      <c r="D66" s="243"/>
      <c r="E66" s="243"/>
      <c r="F66" s="243"/>
      <c r="G66" s="243"/>
      <c r="H66" s="238"/>
      <c r="I66" s="238"/>
      <c r="J66" s="238"/>
      <c r="K66" s="239"/>
    </row>
    <row r="67" spans="1:11" ht="13.2">
      <c r="A67" s="242"/>
      <c r="B67" s="243"/>
      <c r="C67" s="243"/>
      <c r="D67" s="243"/>
      <c r="E67" s="243"/>
      <c r="F67" s="243"/>
      <c r="G67" s="243"/>
      <c r="H67" s="238"/>
      <c r="I67" s="238"/>
      <c r="J67" s="238"/>
      <c r="K67" s="238"/>
    </row>
    <row r="68" spans="1:11" ht="13.2">
      <c r="A68" s="242"/>
      <c r="B68" s="243"/>
      <c r="C68" s="243"/>
      <c r="D68" s="243"/>
      <c r="E68" s="243"/>
      <c r="F68" s="243"/>
      <c r="G68" s="243"/>
      <c r="H68" s="238"/>
      <c r="I68" s="238"/>
      <c r="J68" s="238"/>
      <c r="K68" s="238"/>
    </row>
  </sheetData>
  <mergeCells count="3">
    <mergeCell ref="A9:A11"/>
    <mergeCell ref="B9:F9"/>
    <mergeCell ref="G9:K9"/>
  </mergeCells>
  <pageMargins left="0.7" right="0.7" top="0.86956521739130432" bottom="0.61458333333333337" header="0.3" footer="0.3"/>
  <pageSetup orientation="portrait" r:id="rId1"/>
  <headerFooter>
    <oddHeader>&amp;R&amp;7Informe de la Operación Mensual - Julio 2018
INFSGI-MES-07-2018
14/08/2018
Versión: 01</oddHeader>
    <oddFooter>&amp;L&amp;7COES SINAC, 2018
&amp;C24&amp;R&amp;7Dirección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39E0-705A-4D89-9F74-B7CD13CD2C0A}">
  <sheetPr>
    <tabColor theme="4"/>
  </sheetPr>
  <dimension ref="A1:I160"/>
  <sheetViews>
    <sheetView showGridLines="0" view="pageBreakPreview" zoomScale="145" zoomScaleNormal="100" zoomScaleSheetLayoutView="145" zoomScalePageLayoutView="130" workbookViewId="0">
      <selection activeCell="Q29" sqref="Q29"/>
    </sheetView>
  </sheetViews>
  <sheetFormatPr baseColWidth="10" defaultColWidth="9.28515625" defaultRowHeight="9.6"/>
  <cols>
    <col min="1" max="1" width="16.140625" style="437" customWidth="1"/>
    <col min="2" max="2" width="19.7109375" style="437" customWidth="1"/>
    <col min="3" max="3" width="12.140625" style="437" bestFit="1" customWidth="1"/>
    <col min="4" max="4" width="47.140625" style="437" customWidth="1"/>
    <col min="5" max="5" width="11.42578125" style="437" customWidth="1"/>
    <col min="6" max="6" width="10.42578125" style="437" customWidth="1"/>
    <col min="7" max="8" width="9.28515625" style="437" customWidth="1"/>
    <col min="9" max="16384" width="9.28515625" style="437"/>
  </cols>
  <sheetData>
    <row r="1" spans="1:9" ht="11.25" customHeight="1">
      <c r="A1" s="435" t="s">
        <v>466</v>
      </c>
      <c r="B1" s="436"/>
      <c r="C1" s="436"/>
      <c r="D1" s="436"/>
      <c r="E1" s="436"/>
      <c r="F1" s="436"/>
    </row>
    <row r="2" spans="1:9" ht="30" customHeight="1">
      <c r="A2" s="445" t="s">
        <v>286</v>
      </c>
      <c r="B2" s="446" t="s">
        <v>467</v>
      </c>
      <c r="C2" s="445" t="s">
        <v>456</v>
      </c>
      <c r="D2" s="447" t="s">
        <v>468</v>
      </c>
      <c r="E2" s="448" t="s">
        <v>469</v>
      </c>
      <c r="F2" s="448" t="s">
        <v>470</v>
      </c>
      <c r="G2" s="406"/>
      <c r="H2" s="438"/>
      <c r="I2" s="402"/>
    </row>
    <row r="3" spans="1:9" ht="105.75" customHeight="1">
      <c r="A3" s="567" t="s">
        <v>106</v>
      </c>
      <c r="B3" s="567" t="s">
        <v>621</v>
      </c>
      <c r="C3" s="568">
        <v>43283.795138888891</v>
      </c>
      <c r="D3" s="569" t="s">
        <v>622</v>
      </c>
      <c r="E3" s="570">
        <v>1.2</v>
      </c>
      <c r="F3" s="570"/>
      <c r="H3" s="406"/>
      <c r="I3" s="402"/>
    </row>
    <row r="4" spans="1:9" ht="123" customHeight="1">
      <c r="A4" s="567" t="s">
        <v>623</v>
      </c>
      <c r="B4" s="567" t="s">
        <v>624</v>
      </c>
      <c r="C4" s="571">
        <v>43284.626388888886</v>
      </c>
      <c r="D4" s="572" t="s">
        <v>625</v>
      </c>
      <c r="E4" s="573">
        <v>40.42</v>
      </c>
      <c r="F4" s="573"/>
      <c r="G4" s="405"/>
      <c r="H4" s="405"/>
      <c r="I4" s="439"/>
    </row>
    <row r="5" spans="1:9" ht="93" customHeight="1">
      <c r="A5" s="567" t="s">
        <v>623</v>
      </c>
      <c r="B5" s="567" t="s">
        <v>626</v>
      </c>
      <c r="C5" s="571">
        <v>43284.626388888886</v>
      </c>
      <c r="D5" s="572" t="s">
        <v>627</v>
      </c>
      <c r="E5" s="573">
        <v>11.46</v>
      </c>
      <c r="F5" s="573"/>
      <c r="G5" s="405"/>
      <c r="H5" s="405"/>
      <c r="I5" s="440"/>
    </row>
    <row r="6" spans="1:9" ht="97.5" customHeight="1">
      <c r="A6" s="567" t="s">
        <v>474</v>
      </c>
      <c r="B6" s="567" t="s">
        <v>628</v>
      </c>
      <c r="C6" s="571">
        <v>43286.29791666667</v>
      </c>
      <c r="D6" s="572" t="s">
        <v>629</v>
      </c>
      <c r="E6" s="573"/>
      <c r="F6" s="573">
        <v>100.19</v>
      </c>
      <c r="G6" s="405"/>
      <c r="H6" s="405"/>
      <c r="I6" s="441"/>
    </row>
    <row r="7" spans="1:9" ht="75" customHeight="1">
      <c r="A7" s="567" t="s">
        <v>623</v>
      </c>
      <c r="B7" s="567" t="s">
        <v>624</v>
      </c>
      <c r="C7" s="571">
        <v>43287.529166666667</v>
      </c>
      <c r="D7" s="572" t="s">
        <v>630</v>
      </c>
      <c r="E7" s="573">
        <v>9.1199999999999992</v>
      </c>
      <c r="F7" s="573"/>
      <c r="G7" s="405"/>
      <c r="H7" s="405"/>
      <c r="I7" s="442"/>
    </row>
    <row r="8" spans="1:9" ht="86.25" customHeight="1">
      <c r="A8" s="567" t="s">
        <v>475</v>
      </c>
      <c r="B8" s="567" t="s">
        <v>631</v>
      </c>
      <c r="C8" s="571">
        <v>43292.558333333334</v>
      </c>
      <c r="D8" s="572" t="s">
        <v>632</v>
      </c>
      <c r="E8" s="573">
        <v>9.3000000000000007</v>
      </c>
      <c r="F8" s="573"/>
      <c r="G8" s="405"/>
      <c r="H8" s="405"/>
      <c r="I8" s="441"/>
    </row>
    <row r="9" spans="1:9" ht="70.5" customHeight="1">
      <c r="A9" s="567" t="s">
        <v>472</v>
      </c>
      <c r="B9" s="567" t="s">
        <v>473</v>
      </c>
      <c r="C9" s="571">
        <v>43292.770138888889</v>
      </c>
      <c r="D9" s="572" t="s">
        <v>633</v>
      </c>
      <c r="E9" s="573">
        <v>8.59</v>
      </c>
      <c r="F9" s="573"/>
      <c r="G9" s="405"/>
      <c r="H9" s="405"/>
      <c r="I9" s="441"/>
    </row>
    <row r="10" spans="1:9">
      <c r="E10" s="444"/>
      <c r="F10" s="444"/>
    </row>
    <row r="11" spans="1:9">
      <c r="E11" s="444"/>
      <c r="F11" s="444"/>
    </row>
    <row r="12" spans="1:9">
      <c r="E12" s="444"/>
      <c r="F12" s="444"/>
    </row>
    <row r="13" spans="1:9">
      <c r="E13" s="444"/>
      <c r="F13" s="444"/>
    </row>
    <row r="14" spans="1:9">
      <c r="E14" s="444"/>
      <c r="F14" s="444"/>
    </row>
    <row r="15" spans="1:9">
      <c r="E15" s="444"/>
      <c r="F15" s="444"/>
    </row>
    <row r="16" spans="1:9">
      <c r="E16" s="444"/>
      <c r="F16" s="444"/>
    </row>
    <row r="17" spans="5:6">
      <c r="E17" s="444"/>
      <c r="F17" s="444"/>
    </row>
    <row r="18" spans="5:6">
      <c r="E18" s="444"/>
      <c r="F18" s="444"/>
    </row>
    <row r="19" spans="5:6">
      <c r="E19" s="444"/>
      <c r="F19" s="444"/>
    </row>
    <row r="20" spans="5:6">
      <c r="E20" s="444"/>
      <c r="F20" s="444"/>
    </row>
    <row r="21" spans="5:6">
      <c r="E21" s="444"/>
      <c r="F21" s="444"/>
    </row>
    <row r="22" spans="5:6">
      <c r="E22" s="444"/>
      <c r="F22" s="444"/>
    </row>
    <row r="23" spans="5:6">
      <c r="E23" s="444"/>
      <c r="F23" s="444"/>
    </row>
    <row r="24" spans="5:6">
      <c r="E24" s="444"/>
      <c r="F24" s="444"/>
    </row>
    <row r="25" spans="5:6">
      <c r="E25" s="444"/>
      <c r="F25" s="444"/>
    </row>
    <row r="26" spans="5:6">
      <c r="E26" s="444"/>
      <c r="F26" s="444"/>
    </row>
    <row r="27" spans="5:6">
      <c r="E27" s="444"/>
      <c r="F27" s="444"/>
    </row>
    <row r="28" spans="5:6">
      <c r="E28" s="444"/>
      <c r="F28" s="444"/>
    </row>
    <row r="29" spans="5:6">
      <c r="E29" s="444"/>
      <c r="F29" s="444"/>
    </row>
    <row r="30" spans="5:6">
      <c r="E30" s="444"/>
      <c r="F30" s="444"/>
    </row>
    <row r="31" spans="5:6">
      <c r="E31" s="444"/>
      <c r="F31" s="444"/>
    </row>
    <row r="32" spans="5:6">
      <c r="E32" s="444"/>
      <c r="F32" s="444"/>
    </row>
    <row r="33" spans="5:6">
      <c r="E33" s="444"/>
      <c r="F33" s="444"/>
    </row>
    <row r="34" spans="5:6">
      <c r="E34" s="444"/>
      <c r="F34" s="444"/>
    </row>
    <row r="35" spans="5:6">
      <c r="E35" s="444"/>
      <c r="F35" s="444"/>
    </row>
    <row r="36" spans="5:6">
      <c r="E36" s="444"/>
      <c r="F36" s="444"/>
    </row>
    <row r="37" spans="5:6">
      <c r="E37" s="444"/>
      <c r="F37" s="444"/>
    </row>
    <row r="38" spans="5:6">
      <c r="E38" s="444"/>
      <c r="F38" s="444"/>
    </row>
    <row r="39" spans="5:6">
      <c r="E39" s="444"/>
      <c r="F39" s="444"/>
    </row>
    <row r="40" spans="5:6">
      <c r="E40" s="444"/>
      <c r="F40" s="444"/>
    </row>
    <row r="41" spans="5:6">
      <c r="E41" s="444"/>
      <c r="F41" s="444"/>
    </row>
    <row r="42" spans="5:6">
      <c r="E42" s="444"/>
      <c r="F42" s="444"/>
    </row>
    <row r="43" spans="5:6">
      <c r="E43" s="444"/>
      <c r="F43" s="444"/>
    </row>
    <row r="44" spans="5:6">
      <c r="E44" s="444"/>
      <c r="F44" s="444"/>
    </row>
    <row r="45" spans="5:6">
      <c r="E45" s="444"/>
      <c r="F45" s="444"/>
    </row>
    <row r="46" spans="5:6">
      <c r="E46" s="444"/>
      <c r="F46" s="444"/>
    </row>
    <row r="47" spans="5:6">
      <c r="E47" s="444"/>
      <c r="F47" s="444"/>
    </row>
    <row r="48" spans="5:6">
      <c r="E48" s="444"/>
      <c r="F48" s="444"/>
    </row>
    <row r="49" spans="5:6">
      <c r="E49" s="444"/>
      <c r="F49" s="444"/>
    </row>
    <row r="50" spans="5:6">
      <c r="E50" s="444"/>
      <c r="F50" s="444"/>
    </row>
    <row r="51" spans="5:6">
      <c r="E51" s="444"/>
      <c r="F51" s="444"/>
    </row>
    <row r="52" spans="5:6">
      <c r="E52" s="444"/>
      <c r="F52" s="444"/>
    </row>
    <row r="53" spans="5:6">
      <c r="E53" s="444"/>
      <c r="F53" s="444"/>
    </row>
    <row r="54" spans="5:6">
      <c r="E54" s="444"/>
      <c r="F54" s="444"/>
    </row>
    <row r="55" spans="5:6">
      <c r="E55" s="444"/>
      <c r="F55" s="444"/>
    </row>
    <row r="56" spans="5:6">
      <c r="E56" s="444"/>
      <c r="F56" s="444"/>
    </row>
    <row r="57" spans="5:6">
      <c r="E57" s="444"/>
      <c r="F57" s="444"/>
    </row>
    <row r="58" spans="5:6">
      <c r="E58" s="444"/>
      <c r="F58" s="444"/>
    </row>
    <row r="59" spans="5:6">
      <c r="E59" s="444"/>
      <c r="F59" s="444"/>
    </row>
    <row r="60" spans="5:6">
      <c r="E60" s="444"/>
      <c r="F60" s="444"/>
    </row>
    <row r="61" spans="5:6">
      <c r="E61" s="444"/>
      <c r="F61" s="444"/>
    </row>
    <row r="62" spans="5:6">
      <c r="E62" s="444"/>
      <c r="F62" s="444"/>
    </row>
    <row r="63" spans="5:6">
      <c r="E63" s="444"/>
      <c r="F63" s="444"/>
    </row>
    <row r="64" spans="5:6">
      <c r="E64" s="444"/>
      <c r="F64" s="444"/>
    </row>
    <row r="65" spans="5:6">
      <c r="E65" s="444"/>
      <c r="F65" s="444"/>
    </row>
    <row r="66" spans="5:6">
      <c r="E66" s="444"/>
      <c r="F66" s="444"/>
    </row>
    <row r="67" spans="5:6">
      <c r="E67" s="444"/>
      <c r="F67" s="444"/>
    </row>
    <row r="68" spans="5:6">
      <c r="E68" s="444"/>
      <c r="F68" s="444"/>
    </row>
    <row r="69" spans="5:6">
      <c r="E69" s="444"/>
      <c r="F69" s="444"/>
    </row>
    <row r="70" spans="5:6">
      <c r="E70" s="444"/>
      <c r="F70" s="444"/>
    </row>
    <row r="71" spans="5:6">
      <c r="E71" s="444"/>
      <c r="F71" s="444"/>
    </row>
    <row r="72" spans="5:6">
      <c r="E72" s="444"/>
      <c r="F72" s="444"/>
    </row>
    <row r="73" spans="5:6">
      <c r="E73" s="444"/>
      <c r="F73" s="444"/>
    </row>
    <row r="74" spans="5:6">
      <c r="E74" s="444"/>
      <c r="F74" s="444"/>
    </row>
    <row r="75" spans="5:6">
      <c r="E75" s="444"/>
      <c r="F75" s="444"/>
    </row>
    <row r="76" spans="5:6">
      <c r="E76" s="444"/>
      <c r="F76" s="444"/>
    </row>
    <row r="77" spans="5:6">
      <c r="E77" s="444"/>
      <c r="F77" s="444"/>
    </row>
    <row r="78" spans="5:6">
      <c r="E78" s="444"/>
      <c r="F78" s="444"/>
    </row>
    <row r="79" spans="5:6">
      <c r="E79" s="444"/>
      <c r="F79" s="444"/>
    </row>
    <row r="80" spans="5:6">
      <c r="E80" s="444"/>
      <c r="F80" s="444"/>
    </row>
    <row r="81" spans="5:6">
      <c r="E81" s="444"/>
      <c r="F81" s="444"/>
    </row>
    <row r="82" spans="5:6">
      <c r="E82" s="444"/>
      <c r="F82" s="444"/>
    </row>
    <row r="83" spans="5:6">
      <c r="E83" s="444"/>
      <c r="F83" s="444"/>
    </row>
    <row r="84" spans="5:6">
      <c r="E84" s="444"/>
      <c r="F84" s="444"/>
    </row>
    <row r="85" spans="5:6">
      <c r="E85" s="444"/>
      <c r="F85" s="444"/>
    </row>
    <row r="86" spans="5:6">
      <c r="E86" s="444"/>
      <c r="F86" s="444"/>
    </row>
    <row r="87" spans="5:6">
      <c r="E87" s="444"/>
      <c r="F87" s="444"/>
    </row>
    <row r="88" spans="5:6">
      <c r="E88" s="444"/>
      <c r="F88" s="444"/>
    </row>
    <row r="89" spans="5:6">
      <c r="E89" s="444"/>
      <c r="F89" s="444"/>
    </row>
    <row r="90" spans="5:6">
      <c r="E90" s="444"/>
      <c r="F90" s="444"/>
    </row>
    <row r="91" spans="5:6">
      <c r="E91" s="444"/>
      <c r="F91" s="444"/>
    </row>
    <row r="92" spans="5:6">
      <c r="E92" s="444"/>
      <c r="F92" s="444"/>
    </row>
    <row r="93" spans="5:6">
      <c r="E93" s="444"/>
      <c r="F93" s="444"/>
    </row>
    <row r="94" spans="5:6">
      <c r="E94" s="444"/>
      <c r="F94" s="444"/>
    </row>
    <row r="95" spans="5:6">
      <c r="E95" s="444"/>
      <c r="F95" s="444"/>
    </row>
    <row r="96" spans="5:6">
      <c r="E96" s="444"/>
      <c r="F96" s="444"/>
    </row>
    <row r="97" spans="5:6">
      <c r="E97" s="444"/>
      <c r="F97" s="444"/>
    </row>
    <row r="98" spans="5:6">
      <c r="E98" s="444"/>
      <c r="F98" s="444"/>
    </row>
    <row r="99" spans="5:6">
      <c r="E99" s="444"/>
      <c r="F99" s="444"/>
    </row>
    <row r="100" spans="5:6">
      <c r="E100" s="444"/>
      <c r="F100" s="444"/>
    </row>
    <row r="101" spans="5:6">
      <c r="E101" s="444"/>
      <c r="F101" s="444"/>
    </row>
    <row r="102" spans="5:6">
      <c r="E102" s="444"/>
      <c r="F102" s="444"/>
    </row>
    <row r="103" spans="5:6">
      <c r="E103" s="444"/>
      <c r="F103" s="444"/>
    </row>
    <row r="104" spans="5:6">
      <c r="E104" s="444"/>
      <c r="F104" s="444"/>
    </row>
    <row r="105" spans="5:6">
      <c r="E105" s="444"/>
      <c r="F105" s="444"/>
    </row>
    <row r="106" spans="5:6">
      <c r="E106" s="444"/>
      <c r="F106" s="444"/>
    </row>
    <row r="107" spans="5:6">
      <c r="E107" s="444"/>
      <c r="F107" s="444"/>
    </row>
    <row r="108" spans="5:6">
      <c r="E108" s="444"/>
      <c r="F108" s="444"/>
    </row>
    <row r="109" spans="5:6">
      <c r="E109" s="444"/>
      <c r="F109" s="444"/>
    </row>
    <row r="110" spans="5:6">
      <c r="E110" s="444"/>
      <c r="F110" s="444"/>
    </row>
    <row r="111" spans="5:6">
      <c r="E111" s="444"/>
      <c r="F111" s="444"/>
    </row>
    <row r="112" spans="5:6">
      <c r="E112" s="444"/>
      <c r="F112" s="444"/>
    </row>
    <row r="113" spans="5:6">
      <c r="E113" s="444"/>
      <c r="F113" s="444"/>
    </row>
    <row r="114" spans="5:6">
      <c r="E114" s="444"/>
      <c r="F114" s="444"/>
    </row>
    <row r="115" spans="5:6">
      <c r="E115" s="444"/>
      <c r="F115" s="444"/>
    </row>
    <row r="116" spans="5:6">
      <c r="E116" s="444"/>
      <c r="F116" s="444"/>
    </row>
    <row r="117" spans="5:6">
      <c r="E117" s="444"/>
      <c r="F117" s="444"/>
    </row>
    <row r="118" spans="5:6">
      <c r="E118" s="444"/>
      <c r="F118" s="444"/>
    </row>
    <row r="119" spans="5:6">
      <c r="E119" s="444"/>
      <c r="F119" s="444"/>
    </row>
    <row r="120" spans="5:6">
      <c r="E120" s="444"/>
      <c r="F120" s="444"/>
    </row>
    <row r="121" spans="5:6">
      <c r="E121" s="444"/>
      <c r="F121" s="444"/>
    </row>
    <row r="122" spans="5:6">
      <c r="E122" s="444"/>
      <c r="F122" s="444"/>
    </row>
    <row r="123" spans="5:6">
      <c r="E123" s="444"/>
      <c r="F123" s="444"/>
    </row>
    <row r="124" spans="5:6">
      <c r="E124" s="444"/>
      <c r="F124" s="444"/>
    </row>
    <row r="125" spans="5:6">
      <c r="E125" s="444"/>
      <c r="F125" s="444"/>
    </row>
    <row r="126" spans="5:6">
      <c r="E126" s="444"/>
      <c r="F126" s="444"/>
    </row>
    <row r="127" spans="5:6">
      <c r="E127" s="444"/>
      <c r="F127" s="444"/>
    </row>
    <row r="128" spans="5:6">
      <c r="E128" s="444"/>
      <c r="F128" s="444"/>
    </row>
    <row r="129" spans="5:6">
      <c r="E129" s="444"/>
      <c r="F129" s="444"/>
    </row>
    <row r="130" spans="5:6">
      <c r="E130" s="444"/>
      <c r="F130" s="444"/>
    </row>
    <row r="131" spans="5:6">
      <c r="E131" s="444"/>
      <c r="F131" s="444"/>
    </row>
    <row r="132" spans="5:6">
      <c r="E132" s="444"/>
      <c r="F132" s="444"/>
    </row>
    <row r="133" spans="5:6">
      <c r="E133" s="444"/>
      <c r="F133" s="444"/>
    </row>
    <row r="134" spans="5:6">
      <c r="E134" s="444"/>
      <c r="F134" s="444"/>
    </row>
    <row r="135" spans="5:6">
      <c r="E135" s="444"/>
      <c r="F135" s="444"/>
    </row>
    <row r="136" spans="5:6">
      <c r="E136" s="444"/>
      <c r="F136" s="444"/>
    </row>
    <row r="137" spans="5:6">
      <c r="E137" s="444"/>
      <c r="F137" s="444"/>
    </row>
    <row r="138" spans="5:6">
      <c r="E138" s="444"/>
      <c r="F138" s="444"/>
    </row>
    <row r="139" spans="5:6">
      <c r="E139" s="444"/>
      <c r="F139" s="444"/>
    </row>
    <row r="140" spans="5:6">
      <c r="E140" s="444"/>
      <c r="F140" s="444"/>
    </row>
    <row r="141" spans="5:6">
      <c r="E141" s="444"/>
      <c r="F141" s="444"/>
    </row>
    <row r="142" spans="5:6">
      <c r="E142" s="444"/>
      <c r="F142" s="444"/>
    </row>
    <row r="143" spans="5:6">
      <c r="E143" s="444"/>
      <c r="F143" s="444"/>
    </row>
    <row r="144" spans="5:6">
      <c r="E144" s="444"/>
      <c r="F144" s="444"/>
    </row>
    <row r="145" spans="5:6">
      <c r="E145" s="444"/>
      <c r="F145" s="444"/>
    </row>
    <row r="146" spans="5:6">
      <c r="E146" s="444"/>
      <c r="F146" s="444"/>
    </row>
    <row r="147" spans="5:6">
      <c r="E147" s="444"/>
      <c r="F147" s="444"/>
    </row>
    <row r="148" spans="5:6">
      <c r="E148" s="444"/>
      <c r="F148" s="444"/>
    </row>
    <row r="149" spans="5:6">
      <c r="E149" s="444"/>
      <c r="F149" s="444"/>
    </row>
    <row r="150" spans="5:6">
      <c r="E150" s="444"/>
      <c r="F150" s="444"/>
    </row>
    <row r="151" spans="5:6">
      <c r="E151" s="444"/>
      <c r="F151" s="444"/>
    </row>
    <row r="152" spans="5:6">
      <c r="E152" s="444"/>
      <c r="F152" s="444"/>
    </row>
    <row r="153" spans="5:6">
      <c r="E153" s="444"/>
      <c r="F153" s="444"/>
    </row>
    <row r="154" spans="5:6">
      <c r="E154" s="444"/>
      <c r="F154" s="444"/>
    </row>
    <row r="155" spans="5:6">
      <c r="E155" s="444"/>
      <c r="F155" s="444"/>
    </row>
    <row r="156" spans="5:6">
      <c r="E156" s="444"/>
      <c r="F156" s="444"/>
    </row>
    <row r="157" spans="5:6">
      <c r="E157" s="444"/>
      <c r="F157" s="444"/>
    </row>
    <row r="158" spans="5:6">
      <c r="E158" s="444"/>
      <c r="F158" s="444"/>
    </row>
    <row r="159" spans="5:6">
      <c r="E159" s="444"/>
      <c r="F159" s="444"/>
    </row>
    <row r="160" spans="5:6">
      <c r="E160" s="444"/>
      <c r="F160" s="444"/>
    </row>
  </sheetData>
  <pageMargins left="0.7" right="0.51432291666666663" top="0.86956521739130432" bottom="0.61458333333333337" header="0.3" footer="0.3"/>
  <pageSetup scale="98" orientation="portrait" r:id="rId1"/>
  <headerFooter>
    <oddHeader>&amp;R&amp;7Informe de la Operación Mensual - Julio 2018
INFSGI-MES-07-2018
14/08/2018
Versión: 01</oddHeader>
    <oddFooter>&amp;L&amp;7COES SINAC, 2018
&amp;C25&amp;R&amp;7Dirección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2B29-AA80-4581-A249-398768758A33}">
  <sheetPr>
    <tabColor theme="4"/>
  </sheetPr>
  <dimension ref="A1:I137"/>
  <sheetViews>
    <sheetView showGridLines="0" view="pageBreakPreview" zoomScale="145" zoomScaleNormal="100" zoomScaleSheetLayoutView="145" zoomScalePageLayoutView="145" workbookViewId="0">
      <selection activeCell="Q29" sqref="Q29"/>
    </sheetView>
  </sheetViews>
  <sheetFormatPr baseColWidth="10" defaultColWidth="9.28515625" defaultRowHeight="9.6"/>
  <cols>
    <col min="1" max="1" width="16.140625" style="437" customWidth="1"/>
    <col min="2" max="2" width="19.7109375" style="437" customWidth="1"/>
    <col min="3" max="3" width="12.140625" style="437" bestFit="1" customWidth="1"/>
    <col min="4" max="4" width="47.140625" style="437" customWidth="1"/>
    <col min="5" max="5" width="11.42578125" style="437" customWidth="1"/>
    <col min="6" max="6" width="10.42578125" style="437" customWidth="1"/>
    <col min="7" max="8" width="9.28515625" style="437" customWidth="1"/>
    <col min="9" max="16384" width="9.28515625" style="437"/>
  </cols>
  <sheetData>
    <row r="1" spans="1:9" ht="30" customHeight="1">
      <c r="A1" s="445" t="s">
        <v>286</v>
      </c>
      <c r="B1" s="446" t="s">
        <v>467</v>
      </c>
      <c r="C1" s="445" t="s">
        <v>456</v>
      </c>
      <c r="D1" s="447" t="s">
        <v>468</v>
      </c>
      <c r="E1" s="448" t="s">
        <v>469</v>
      </c>
      <c r="F1" s="448" t="s">
        <v>470</v>
      </c>
      <c r="G1" s="406"/>
      <c r="H1" s="438"/>
      <c r="I1" s="402"/>
    </row>
    <row r="2" spans="1:9" ht="78.75" customHeight="1">
      <c r="A2" s="449" t="s">
        <v>95</v>
      </c>
      <c r="B2" s="449" t="s">
        <v>615</v>
      </c>
      <c r="C2" s="450">
        <v>43294.573611111111</v>
      </c>
      <c r="D2" s="572" t="s">
        <v>634</v>
      </c>
      <c r="E2" s="451">
        <v>0.3</v>
      </c>
      <c r="F2" s="451"/>
      <c r="G2" s="405"/>
      <c r="H2" s="405"/>
      <c r="I2" s="441"/>
    </row>
    <row r="3" spans="1:9" ht="86.25" customHeight="1">
      <c r="A3" s="449" t="s">
        <v>476</v>
      </c>
      <c r="B3" s="449" t="s">
        <v>635</v>
      </c>
      <c r="C3" s="450">
        <v>43296.365277777775</v>
      </c>
      <c r="D3" s="572" t="s">
        <v>636</v>
      </c>
      <c r="E3" s="451">
        <v>10.9</v>
      </c>
      <c r="F3" s="451"/>
      <c r="G3" s="405"/>
      <c r="H3" s="405"/>
      <c r="I3" s="441"/>
    </row>
    <row r="4" spans="1:9" ht="86.25" customHeight="1">
      <c r="A4" s="449" t="s">
        <v>95</v>
      </c>
      <c r="B4" s="449" t="s">
        <v>637</v>
      </c>
      <c r="C4" s="450">
        <v>43296.595833333333</v>
      </c>
      <c r="D4" s="572" t="s">
        <v>638</v>
      </c>
      <c r="E4" s="451">
        <v>2.2999999999999998</v>
      </c>
      <c r="F4" s="451"/>
      <c r="G4" s="405"/>
      <c r="H4" s="405"/>
      <c r="I4" s="441"/>
    </row>
    <row r="5" spans="1:9" ht="71.25" customHeight="1">
      <c r="A5" s="449" t="s">
        <v>476</v>
      </c>
      <c r="B5" s="449" t="s">
        <v>635</v>
      </c>
      <c r="C5" s="450">
        <v>43296.696527777778</v>
      </c>
      <c r="D5" s="572" t="s">
        <v>639</v>
      </c>
      <c r="E5" s="451">
        <v>10</v>
      </c>
      <c r="F5" s="451"/>
      <c r="G5" s="405"/>
      <c r="H5" s="405"/>
      <c r="I5" s="442"/>
    </row>
    <row r="6" spans="1:9" ht="87" customHeight="1">
      <c r="A6" s="449" t="s">
        <v>476</v>
      </c>
      <c r="B6" s="449" t="s">
        <v>640</v>
      </c>
      <c r="C6" s="450">
        <v>43296.749305555553</v>
      </c>
      <c r="D6" s="572" t="s">
        <v>641</v>
      </c>
      <c r="E6" s="451">
        <v>8</v>
      </c>
      <c r="F6" s="451"/>
      <c r="G6" s="405"/>
      <c r="H6" s="405"/>
      <c r="I6" s="441"/>
    </row>
    <row r="7" spans="1:9" ht="78.75" customHeight="1">
      <c r="A7" s="449" t="s">
        <v>472</v>
      </c>
      <c r="B7" s="449" t="s">
        <v>473</v>
      </c>
      <c r="C7" s="450">
        <v>43300.461805555555</v>
      </c>
      <c r="D7" s="572" t="s">
        <v>642</v>
      </c>
      <c r="E7" s="451">
        <v>6.4</v>
      </c>
      <c r="F7" s="451"/>
      <c r="G7" s="405"/>
      <c r="H7" s="405"/>
      <c r="I7" s="441"/>
    </row>
    <row r="8" spans="1:9" ht="76.5" customHeight="1">
      <c r="A8" s="449" t="s">
        <v>472</v>
      </c>
      <c r="B8" s="449" t="s">
        <v>473</v>
      </c>
      <c r="C8" s="450">
        <v>43300.711805555555</v>
      </c>
      <c r="D8" s="572" t="s">
        <v>643</v>
      </c>
      <c r="E8" s="451">
        <v>8.4</v>
      </c>
      <c r="F8" s="451"/>
      <c r="G8" s="405"/>
      <c r="H8" s="405"/>
      <c r="I8" s="441"/>
    </row>
    <row r="9" spans="1:9" ht="78.599999999999994" customHeight="1">
      <c r="A9" s="449" t="s">
        <v>614</v>
      </c>
      <c r="B9" s="449" t="s">
        <v>644</v>
      </c>
      <c r="C9" s="450">
        <v>43300.715277777781</v>
      </c>
      <c r="D9" s="572" t="s">
        <v>645</v>
      </c>
      <c r="E9" s="451"/>
      <c r="F9" s="451">
        <v>134.47999999999999</v>
      </c>
      <c r="G9" s="405"/>
      <c r="H9" s="405"/>
      <c r="I9" s="441"/>
    </row>
    <row r="10" spans="1:9" ht="80.25" customHeight="1">
      <c r="A10" s="631"/>
      <c r="B10" s="631"/>
      <c r="C10" s="632"/>
      <c r="D10" s="633"/>
      <c r="E10" s="634"/>
      <c r="F10" s="634"/>
    </row>
    <row r="11" spans="1:9">
      <c r="E11" s="444"/>
      <c r="F11" s="444"/>
    </row>
    <row r="12" spans="1:9">
      <c r="E12" s="444"/>
      <c r="F12" s="444"/>
    </row>
    <row r="13" spans="1:9">
      <c r="E13" s="444"/>
      <c r="F13" s="444"/>
    </row>
    <row r="14" spans="1:9">
      <c r="E14" s="444"/>
      <c r="F14" s="444"/>
    </row>
    <row r="15" spans="1:9">
      <c r="E15" s="444"/>
      <c r="F15" s="444"/>
    </row>
    <row r="16" spans="1:9">
      <c r="E16" s="444"/>
      <c r="F16" s="444"/>
    </row>
    <row r="17" spans="5:6">
      <c r="E17" s="444"/>
      <c r="F17" s="444"/>
    </row>
    <row r="18" spans="5:6">
      <c r="E18" s="444"/>
      <c r="F18" s="444"/>
    </row>
    <row r="19" spans="5:6">
      <c r="E19" s="444"/>
      <c r="F19" s="444"/>
    </row>
    <row r="20" spans="5:6">
      <c r="E20" s="444"/>
      <c r="F20" s="444"/>
    </row>
    <row r="21" spans="5:6">
      <c r="E21" s="444"/>
      <c r="F21" s="444"/>
    </row>
    <row r="22" spans="5:6">
      <c r="E22" s="444"/>
      <c r="F22" s="444"/>
    </row>
    <row r="23" spans="5:6">
      <c r="E23" s="444"/>
      <c r="F23" s="444"/>
    </row>
    <row r="24" spans="5:6">
      <c r="E24" s="444"/>
      <c r="F24" s="444"/>
    </row>
    <row r="25" spans="5:6">
      <c r="E25" s="444"/>
      <c r="F25" s="444"/>
    </row>
    <row r="26" spans="5:6">
      <c r="E26" s="444"/>
      <c r="F26" s="444"/>
    </row>
    <row r="27" spans="5:6">
      <c r="E27" s="444"/>
      <c r="F27" s="444"/>
    </row>
    <row r="28" spans="5:6">
      <c r="E28" s="444"/>
      <c r="F28" s="444"/>
    </row>
    <row r="29" spans="5:6">
      <c r="E29" s="444"/>
      <c r="F29" s="444"/>
    </row>
    <row r="30" spans="5:6">
      <c r="E30" s="444"/>
      <c r="F30" s="444"/>
    </row>
    <row r="31" spans="5:6">
      <c r="E31" s="444"/>
      <c r="F31" s="444"/>
    </row>
    <row r="32" spans="5:6">
      <c r="E32" s="444"/>
      <c r="F32" s="444"/>
    </row>
    <row r="33" spans="5:6">
      <c r="E33" s="444"/>
      <c r="F33" s="444"/>
    </row>
    <row r="34" spans="5:6">
      <c r="E34" s="444"/>
      <c r="F34" s="444"/>
    </row>
    <row r="35" spans="5:6">
      <c r="E35" s="444"/>
      <c r="F35" s="444"/>
    </row>
    <row r="36" spans="5:6">
      <c r="E36" s="444"/>
      <c r="F36" s="444"/>
    </row>
    <row r="37" spans="5:6">
      <c r="E37" s="444"/>
      <c r="F37" s="444"/>
    </row>
    <row r="38" spans="5:6">
      <c r="E38" s="444"/>
      <c r="F38" s="444"/>
    </row>
    <row r="39" spans="5:6">
      <c r="E39" s="444"/>
      <c r="F39" s="444"/>
    </row>
    <row r="40" spans="5:6">
      <c r="E40" s="444"/>
      <c r="F40" s="444"/>
    </row>
    <row r="41" spans="5:6">
      <c r="E41" s="444"/>
      <c r="F41" s="444"/>
    </row>
    <row r="42" spans="5:6">
      <c r="E42" s="444"/>
      <c r="F42" s="444"/>
    </row>
    <row r="43" spans="5:6">
      <c r="E43" s="444"/>
      <c r="F43" s="444"/>
    </row>
    <row r="44" spans="5:6">
      <c r="E44" s="444"/>
      <c r="F44" s="444"/>
    </row>
    <row r="45" spans="5:6">
      <c r="E45" s="444"/>
      <c r="F45" s="444"/>
    </row>
    <row r="46" spans="5:6">
      <c r="E46" s="444"/>
      <c r="F46" s="444"/>
    </row>
    <row r="47" spans="5:6">
      <c r="E47" s="444"/>
      <c r="F47" s="444"/>
    </row>
    <row r="48" spans="5:6">
      <c r="E48" s="444"/>
      <c r="F48" s="444"/>
    </row>
    <row r="49" spans="5:6">
      <c r="E49" s="444"/>
      <c r="F49" s="444"/>
    </row>
    <row r="50" spans="5:6">
      <c r="E50" s="444"/>
      <c r="F50" s="444"/>
    </row>
    <row r="51" spans="5:6">
      <c r="E51" s="444"/>
      <c r="F51" s="444"/>
    </row>
    <row r="52" spans="5:6">
      <c r="E52" s="444"/>
      <c r="F52" s="444"/>
    </row>
    <row r="53" spans="5:6">
      <c r="E53" s="444"/>
      <c r="F53" s="444"/>
    </row>
    <row r="54" spans="5:6">
      <c r="E54" s="444"/>
      <c r="F54" s="444"/>
    </row>
    <row r="55" spans="5:6">
      <c r="E55" s="444"/>
      <c r="F55" s="444"/>
    </row>
    <row r="56" spans="5:6">
      <c r="E56" s="444"/>
      <c r="F56" s="444"/>
    </row>
    <row r="57" spans="5:6">
      <c r="E57" s="444"/>
      <c r="F57" s="444"/>
    </row>
    <row r="58" spans="5:6">
      <c r="E58" s="444"/>
      <c r="F58" s="444"/>
    </row>
    <row r="59" spans="5:6">
      <c r="E59" s="444"/>
      <c r="F59" s="444"/>
    </row>
    <row r="60" spans="5:6">
      <c r="E60" s="444"/>
      <c r="F60" s="444"/>
    </row>
    <row r="61" spans="5:6">
      <c r="E61" s="444"/>
      <c r="F61" s="444"/>
    </row>
    <row r="62" spans="5:6">
      <c r="E62" s="444"/>
      <c r="F62" s="444"/>
    </row>
    <row r="63" spans="5:6">
      <c r="E63" s="444"/>
      <c r="F63" s="444"/>
    </row>
    <row r="64" spans="5:6">
      <c r="E64" s="444"/>
      <c r="F64" s="444"/>
    </row>
    <row r="65" spans="5:6">
      <c r="E65" s="444"/>
      <c r="F65" s="444"/>
    </row>
    <row r="66" spans="5:6">
      <c r="E66" s="444"/>
      <c r="F66" s="444"/>
    </row>
    <row r="67" spans="5:6">
      <c r="E67" s="444"/>
      <c r="F67" s="444"/>
    </row>
    <row r="68" spans="5:6">
      <c r="E68" s="444"/>
      <c r="F68" s="444"/>
    </row>
    <row r="69" spans="5:6">
      <c r="E69" s="444"/>
      <c r="F69" s="444"/>
    </row>
    <row r="70" spans="5:6">
      <c r="E70" s="444"/>
      <c r="F70" s="444"/>
    </row>
    <row r="71" spans="5:6">
      <c r="E71" s="444"/>
      <c r="F71" s="444"/>
    </row>
    <row r="72" spans="5:6">
      <c r="E72" s="444"/>
      <c r="F72" s="444"/>
    </row>
    <row r="73" spans="5:6">
      <c r="E73" s="444"/>
      <c r="F73" s="444"/>
    </row>
    <row r="74" spans="5:6">
      <c r="E74" s="444"/>
      <c r="F74" s="444"/>
    </row>
    <row r="75" spans="5:6">
      <c r="E75" s="444"/>
      <c r="F75" s="444"/>
    </row>
    <row r="76" spans="5:6">
      <c r="E76" s="444"/>
      <c r="F76" s="444"/>
    </row>
    <row r="77" spans="5:6">
      <c r="E77" s="444"/>
      <c r="F77" s="444"/>
    </row>
    <row r="78" spans="5:6">
      <c r="E78" s="444"/>
      <c r="F78" s="444"/>
    </row>
    <row r="79" spans="5:6">
      <c r="E79" s="444"/>
      <c r="F79" s="444"/>
    </row>
    <row r="80" spans="5:6">
      <c r="E80" s="444"/>
      <c r="F80" s="444"/>
    </row>
    <row r="81" spans="5:6">
      <c r="E81" s="444"/>
      <c r="F81" s="444"/>
    </row>
    <row r="82" spans="5:6">
      <c r="E82" s="444"/>
      <c r="F82" s="444"/>
    </row>
    <row r="83" spans="5:6">
      <c r="E83" s="444"/>
      <c r="F83" s="444"/>
    </row>
    <row r="84" spans="5:6">
      <c r="E84" s="444"/>
      <c r="F84" s="444"/>
    </row>
    <row r="85" spans="5:6">
      <c r="E85" s="444"/>
      <c r="F85" s="444"/>
    </row>
    <row r="86" spans="5:6">
      <c r="E86" s="444"/>
      <c r="F86" s="444"/>
    </row>
    <row r="87" spans="5:6">
      <c r="E87" s="444"/>
      <c r="F87" s="444"/>
    </row>
    <row r="88" spans="5:6">
      <c r="E88" s="444"/>
      <c r="F88" s="444"/>
    </row>
    <row r="89" spans="5:6">
      <c r="E89" s="444"/>
      <c r="F89" s="444"/>
    </row>
    <row r="90" spans="5:6">
      <c r="E90" s="444"/>
      <c r="F90" s="444"/>
    </row>
    <row r="91" spans="5:6">
      <c r="E91" s="444"/>
      <c r="F91" s="444"/>
    </row>
    <row r="92" spans="5:6">
      <c r="E92" s="444"/>
      <c r="F92" s="444"/>
    </row>
    <row r="93" spans="5:6">
      <c r="E93" s="444"/>
      <c r="F93" s="444"/>
    </row>
    <row r="94" spans="5:6">
      <c r="E94" s="444"/>
      <c r="F94" s="444"/>
    </row>
    <row r="95" spans="5:6">
      <c r="E95" s="444"/>
      <c r="F95" s="444"/>
    </row>
    <row r="96" spans="5:6">
      <c r="E96" s="444"/>
      <c r="F96" s="444"/>
    </row>
    <row r="97" spans="5:6">
      <c r="E97" s="444"/>
      <c r="F97" s="444"/>
    </row>
    <row r="98" spans="5:6">
      <c r="E98" s="444"/>
      <c r="F98" s="444"/>
    </row>
    <row r="99" spans="5:6">
      <c r="E99" s="444"/>
      <c r="F99" s="444"/>
    </row>
    <row r="100" spans="5:6">
      <c r="E100" s="444"/>
      <c r="F100" s="444"/>
    </row>
    <row r="101" spans="5:6">
      <c r="E101" s="444"/>
      <c r="F101" s="444"/>
    </row>
    <row r="102" spans="5:6">
      <c r="E102" s="444"/>
      <c r="F102" s="444"/>
    </row>
    <row r="103" spans="5:6">
      <c r="E103" s="444"/>
      <c r="F103" s="444"/>
    </row>
    <row r="104" spans="5:6">
      <c r="E104" s="444"/>
      <c r="F104" s="444"/>
    </row>
    <row r="105" spans="5:6">
      <c r="E105" s="444"/>
      <c r="F105" s="444"/>
    </row>
    <row r="106" spans="5:6">
      <c r="E106" s="444"/>
      <c r="F106" s="444"/>
    </row>
    <row r="107" spans="5:6">
      <c r="E107" s="444"/>
      <c r="F107" s="444"/>
    </row>
    <row r="108" spans="5:6">
      <c r="E108" s="444"/>
      <c r="F108" s="444"/>
    </row>
    <row r="109" spans="5:6">
      <c r="E109" s="444"/>
      <c r="F109" s="444"/>
    </row>
    <row r="110" spans="5:6">
      <c r="E110" s="444"/>
      <c r="F110" s="444"/>
    </row>
    <row r="111" spans="5:6">
      <c r="E111" s="444"/>
      <c r="F111" s="444"/>
    </row>
    <row r="112" spans="5:6">
      <c r="E112" s="444"/>
      <c r="F112" s="444"/>
    </row>
    <row r="113" spans="5:6">
      <c r="E113" s="444"/>
      <c r="F113" s="444"/>
    </row>
    <row r="114" spans="5:6">
      <c r="E114" s="444"/>
      <c r="F114" s="444"/>
    </row>
    <row r="115" spans="5:6">
      <c r="E115" s="444"/>
      <c r="F115" s="444"/>
    </row>
    <row r="116" spans="5:6">
      <c r="E116" s="444"/>
      <c r="F116" s="444"/>
    </row>
    <row r="117" spans="5:6">
      <c r="E117" s="444"/>
      <c r="F117" s="444"/>
    </row>
    <row r="118" spans="5:6">
      <c r="E118" s="444"/>
      <c r="F118" s="444"/>
    </row>
    <row r="119" spans="5:6">
      <c r="E119" s="444"/>
      <c r="F119" s="444"/>
    </row>
    <row r="120" spans="5:6">
      <c r="E120" s="444"/>
      <c r="F120" s="444"/>
    </row>
    <row r="121" spans="5:6">
      <c r="E121" s="444"/>
      <c r="F121" s="444"/>
    </row>
    <row r="122" spans="5:6">
      <c r="E122" s="444"/>
      <c r="F122" s="444"/>
    </row>
    <row r="123" spans="5:6">
      <c r="E123" s="444"/>
      <c r="F123" s="444"/>
    </row>
    <row r="124" spans="5:6">
      <c r="E124" s="444"/>
      <c r="F124" s="444"/>
    </row>
    <row r="125" spans="5:6">
      <c r="E125" s="444"/>
      <c r="F125" s="444"/>
    </row>
    <row r="126" spans="5:6">
      <c r="E126" s="444"/>
      <c r="F126" s="444"/>
    </row>
    <row r="127" spans="5:6">
      <c r="E127" s="444"/>
      <c r="F127" s="444"/>
    </row>
    <row r="128" spans="5:6">
      <c r="E128" s="444"/>
      <c r="F128" s="444"/>
    </row>
    <row r="129" spans="5:6">
      <c r="E129" s="444"/>
      <c r="F129" s="444"/>
    </row>
    <row r="130" spans="5:6">
      <c r="E130" s="444"/>
      <c r="F130" s="444"/>
    </row>
    <row r="131" spans="5:6">
      <c r="E131" s="444"/>
      <c r="F131" s="444"/>
    </row>
    <row r="132" spans="5:6">
      <c r="E132" s="444"/>
      <c r="F132" s="444"/>
    </row>
    <row r="133" spans="5:6">
      <c r="E133" s="444"/>
      <c r="F133" s="444"/>
    </row>
    <row r="134" spans="5:6">
      <c r="E134" s="444"/>
      <c r="F134" s="444"/>
    </row>
    <row r="135" spans="5:6">
      <c r="E135" s="444"/>
      <c r="F135" s="444"/>
    </row>
    <row r="136" spans="5:6">
      <c r="E136" s="444"/>
      <c r="F136" s="444"/>
    </row>
    <row r="137" spans="5:6">
      <c r="E137" s="444"/>
      <c r="F137" s="444"/>
    </row>
  </sheetData>
  <pageMargins left="0.7" right="0.51432291666666663" top="0.86956521739130432" bottom="0.61458333333333337" header="0.3" footer="0.3"/>
  <pageSetup scale="99" orientation="portrait" r:id="rId1"/>
  <headerFooter>
    <oddHeader>&amp;R&amp;7Informe de la Operación Mensual - Julio 2018
INFSGI-MES-07-2018
14/08/2018
Versión: 01</oddHeader>
    <oddFooter>&amp;L&amp;7COES SINAC, 2018
&amp;C26&amp;R&amp;7Dirección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48C0E-AD5A-486C-961F-0EB626B94238}">
  <sheetPr>
    <tabColor theme="4"/>
  </sheetPr>
  <dimension ref="A1:I119"/>
  <sheetViews>
    <sheetView showGridLines="0" view="pageBreakPreview" zoomScale="160" zoomScaleNormal="100" zoomScaleSheetLayoutView="160" zoomScalePageLayoutView="145" workbookViewId="0">
      <selection activeCell="Q29" sqref="Q29"/>
    </sheetView>
  </sheetViews>
  <sheetFormatPr baseColWidth="10" defaultColWidth="9.28515625" defaultRowHeight="9.6"/>
  <cols>
    <col min="1" max="1" width="16.140625" style="437" customWidth="1"/>
    <col min="2" max="2" width="19.7109375" style="437" customWidth="1"/>
    <col min="3" max="3" width="12.140625" style="437" bestFit="1" customWidth="1"/>
    <col min="4" max="4" width="47.140625" style="437" customWidth="1"/>
    <col min="5" max="5" width="11.42578125" style="437" customWidth="1"/>
    <col min="6" max="6" width="10.42578125" style="437" customWidth="1"/>
    <col min="7" max="8" width="9.28515625" style="437" customWidth="1"/>
    <col min="9" max="16384" width="9.28515625" style="437"/>
  </cols>
  <sheetData>
    <row r="1" spans="1:9" ht="30" customHeight="1">
      <c r="A1" s="445" t="s">
        <v>286</v>
      </c>
      <c r="B1" s="446" t="s">
        <v>467</v>
      </c>
      <c r="C1" s="445" t="s">
        <v>456</v>
      </c>
      <c r="D1" s="447" t="s">
        <v>468</v>
      </c>
      <c r="E1" s="448" t="s">
        <v>469</v>
      </c>
      <c r="F1" s="448" t="s">
        <v>470</v>
      </c>
      <c r="G1" s="406"/>
      <c r="H1" s="438"/>
      <c r="I1" s="402"/>
    </row>
    <row r="2" spans="1:9" ht="81.599999999999994" customHeight="1">
      <c r="A2" s="449" t="s">
        <v>614</v>
      </c>
      <c r="B2" s="449" t="s">
        <v>644</v>
      </c>
      <c r="C2" s="450">
        <v>43302.052777777775</v>
      </c>
      <c r="D2" s="572" t="s">
        <v>646</v>
      </c>
      <c r="E2" s="451"/>
      <c r="F2" s="451">
        <v>134.13999999999999</v>
      </c>
      <c r="G2" s="405"/>
      <c r="H2" s="405"/>
      <c r="I2" s="441"/>
    </row>
    <row r="3" spans="1:9" ht="88.8" customHeight="1">
      <c r="A3" s="449" t="s">
        <v>474</v>
      </c>
      <c r="B3" s="449" t="s">
        <v>647</v>
      </c>
      <c r="C3" s="450">
        <v>43302.075694444444</v>
      </c>
      <c r="D3" s="572" t="s">
        <v>648</v>
      </c>
      <c r="E3" s="451"/>
      <c r="F3" s="451">
        <v>86.99</v>
      </c>
      <c r="G3" s="405"/>
      <c r="H3" s="405"/>
      <c r="I3" s="441"/>
    </row>
    <row r="4" spans="1:9" ht="98.25" customHeight="1">
      <c r="A4" s="449" t="s">
        <v>649</v>
      </c>
      <c r="B4" s="449" t="s">
        <v>650</v>
      </c>
      <c r="C4" s="450">
        <v>43302.111805555556</v>
      </c>
      <c r="D4" s="572" t="s">
        <v>651</v>
      </c>
      <c r="E4" s="451">
        <v>3.6</v>
      </c>
      <c r="F4" s="451"/>
      <c r="G4" s="405"/>
      <c r="H4" s="405"/>
      <c r="I4" s="441"/>
    </row>
    <row r="5" spans="1:9" ht="59.4" customHeight="1">
      <c r="A5" s="449" t="s">
        <v>92</v>
      </c>
      <c r="B5" s="449" t="s">
        <v>652</v>
      </c>
      <c r="C5" s="450">
        <v>43303.713194444441</v>
      </c>
      <c r="D5" s="572" t="s">
        <v>653</v>
      </c>
      <c r="E5" s="451"/>
      <c r="F5" s="451">
        <v>0.17</v>
      </c>
      <c r="G5" s="405"/>
      <c r="H5" s="405"/>
      <c r="I5" s="441"/>
    </row>
    <row r="6" spans="1:9" ht="83.4" customHeight="1">
      <c r="A6" s="449" t="s">
        <v>614</v>
      </c>
      <c r="B6" s="449" t="s">
        <v>644</v>
      </c>
      <c r="C6" s="450">
        <v>43304.166666666664</v>
      </c>
      <c r="D6" s="572" t="s">
        <v>654</v>
      </c>
      <c r="E6" s="451"/>
      <c r="F6" s="451">
        <v>112</v>
      </c>
      <c r="G6" s="405"/>
      <c r="H6" s="405"/>
      <c r="I6" s="443"/>
    </row>
    <row r="7" spans="1:9" ht="81" customHeight="1">
      <c r="A7" s="449" t="s">
        <v>614</v>
      </c>
      <c r="B7" s="449" t="s">
        <v>644</v>
      </c>
      <c r="C7" s="450">
        <v>43305.202777777777</v>
      </c>
      <c r="D7" s="572" t="s">
        <v>655</v>
      </c>
      <c r="E7" s="451"/>
      <c r="F7" s="451">
        <v>190</v>
      </c>
      <c r="G7" s="405"/>
      <c r="H7" s="405"/>
      <c r="I7" s="441"/>
    </row>
    <row r="8" spans="1:9" ht="84" customHeight="1">
      <c r="A8" s="449" t="s">
        <v>614</v>
      </c>
      <c r="B8" s="449" t="s">
        <v>644</v>
      </c>
      <c r="C8" s="450">
        <v>43305.224305555559</v>
      </c>
      <c r="D8" s="572" t="s">
        <v>656</v>
      </c>
      <c r="E8" s="451"/>
      <c r="F8" s="451">
        <v>97</v>
      </c>
    </row>
    <row r="9" spans="1:9" ht="64.5" customHeight="1">
      <c r="A9" s="449" t="s">
        <v>94</v>
      </c>
      <c r="B9" s="449" t="s">
        <v>657</v>
      </c>
      <c r="C9" s="450">
        <v>43307.15902777778</v>
      </c>
      <c r="D9" s="572" t="s">
        <v>658</v>
      </c>
      <c r="E9" s="451">
        <v>3</v>
      </c>
      <c r="F9" s="451"/>
    </row>
    <row r="10" spans="1:9">
      <c r="E10" s="444"/>
      <c r="F10" s="444"/>
    </row>
    <row r="11" spans="1:9">
      <c r="E11" s="444"/>
      <c r="F11" s="444"/>
    </row>
    <row r="12" spans="1:9">
      <c r="E12" s="444"/>
      <c r="F12" s="444"/>
    </row>
    <row r="13" spans="1:9">
      <c r="E13" s="444"/>
      <c r="F13" s="444"/>
    </row>
    <row r="14" spans="1:9">
      <c r="E14" s="444"/>
      <c r="F14" s="444"/>
    </row>
    <row r="15" spans="1:9">
      <c r="E15" s="444"/>
      <c r="F15" s="444"/>
    </row>
    <row r="16" spans="1:9">
      <c r="E16" s="444"/>
      <c r="F16" s="444"/>
    </row>
    <row r="17" spans="5:6">
      <c r="E17" s="444"/>
      <c r="F17" s="444"/>
    </row>
    <row r="18" spans="5:6">
      <c r="E18" s="444"/>
      <c r="F18" s="444"/>
    </row>
    <row r="19" spans="5:6">
      <c r="E19" s="444"/>
      <c r="F19" s="444"/>
    </row>
    <row r="20" spans="5:6">
      <c r="E20" s="444"/>
      <c r="F20" s="444"/>
    </row>
    <row r="21" spans="5:6">
      <c r="E21" s="444"/>
      <c r="F21" s="444"/>
    </row>
    <row r="22" spans="5:6">
      <c r="E22" s="444"/>
      <c r="F22" s="444"/>
    </row>
    <row r="23" spans="5:6">
      <c r="E23" s="444"/>
      <c r="F23" s="444"/>
    </row>
    <row r="24" spans="5:6">
      <c r="E24" s="444"/>
      <c r="F24" s="444"/>
    </row>
    <row r="25" spans="5:6">
      <c r="E25" s="444"/>
      <c r="F25" s="444"/>
    </row>
    <row r="26" spans="5:6">
      <c r="E26" s="444"/>
      <c r="F26" s="444"/>
    </row>
    <row r="27" spans="5:6">
      <c r="E27" s="444"/>
      <c r="F27" s="444"/>
    </row>
    <row r="28" spans="5:6">
      <c r="E28" s="444"/>
      <c r="F28" s="444"/>
    </row>
    <row r="29" spans="5:6">
      <c r="E29" s="444"/>
      <c r="F29" s="444"/>
    </row>
    <row r="30" spans="5:6">
      <c r="E30" s="444"/>
      <c r="F30" s="444"/>
    </row>
    <row r="31" spans="5:6">
      <c r="E31" s="444"/>
      <c r="F31" s="444"/>
    </row>
    <row r="32" spans="5:6">
      <c r="E32" s="444"/>
      <c r="F32" s="444"/>
    </row>
    <row r="33" spans="5:6">
      <c r="E33" s="444"/>
      <c r="F33" s="444"/>
    </row>
    <row r="34" spans="5:6">
      <c r="E34" s="444"/>
      <c r="F34" s="444"/>
    </row>
    <row r="35" spans="5:6">
      <c r="E35" s="444"/>
      <c r="F35" s="444"/>
    </row>
    <row r="36" spans="5:6">
      <c r="E36" s="444"/>
      <c r="F36" s="444"/>
    </row>
    <row r="37" spans="5:6">
      <c r="E37" s="444"/>
      <c r="F37" s="444"/>
    </row>
    <row r="38" spans="5:6">
      <c r="E38" s="444"/>
      <c r="F38" s="444"/>
    </row>
    <row r="39" spans="5:6">
      <c r="E39" s="444"/>
      <c r="F39" s="444"/>
    </row>
    <row r="40" spans="5:6">
      <c r="E40" s="444"/>
      <c r="F40" s="444"/>
    </row>
    <row r="41" spans="5:6">
      <c r="E41" s="444"/>
      <c r="F41" s="444"/>
    </row>
    <row r="42" spans="5:6">
      <c r="E42" s="444"/>
      <c r="F42" s="444"/>
    </row>
    <row r="43" spans="5:6">
      <c r="E43" s="444"/>
      <c r="F43" s="444"/>
    </row>
    <row r="44" spans="5:6">
      <c r="E44" s="444"/>
      <c r="F44" s="444"/>
    </row>
    <row r="45" spans="5:6">
      <c r="E45" s="444"/>
      <c r="F45" s="444"/>
    </row>
    <row r="46" spans="5:6">
      <c r="E46" s="444"/>
      <c r="F46" s="444"/>
    </row>
    <row r="47" spans="5:6">
      <c r="E47" s="444"/>
      <c r="F47" s="444"/>
    </row>
    <row r="48" spans="5:6">
      <c r="E48" s="444"/>
      <c r="F48" s="444"/>
    </row>
    <row r="49" spans="5:6">
      <c r="E49" s="444"/>
      <c r="F49" s="444"/>
    </row>
    <row r="50" spans="5:6">
      <c r="E50" s="444"/>
      <c r="F50" s="444"/>
    </row>
    <row r="51" spans="5:6">
      <c r="E51" s="444"/>
      <c r="F51" s="444"/>
    </row>
    <row r="52" spans="5:6">
      <c r="E52" s="444"/>
      <c r="F52" s="444"/>
    </row>
    <row r="53" spans="5:6">
      <c r="E53" s="444"/>
      <c r="F53" s="444"/>
    </row>
    <row r="54" spans="5:6">
      <c r="E54" s="444"/>
      <c r="F54" s="444"/>
    </row>
    <row r="55" spans="5:6">
      <c r="E55" s="444"/>
      <c r="F55" s="444"/>
    </row>
    <row r="56" spans="5:6">
      <c r="E56" s="444"/>
      <c r="F56" s="444"/>
    </row>
    <row r="57" spans="5:6">
      <c r="E57" s="444"/>
      <c r="F57" s="444"/>
    </row>
    <row r="58" spans="5:6">
      <c r="E58" s="444"/>
      <c r="F58" s="444"/>
    </row>
    <row r="59" spans="5:6">
      <c r="E59" s="444"/>
      <c r="F59" s="444"/>
    </row>
    <row r="60" spans="5:6">
      <c r="E60" s="444"/>
      <c r="F60" s="444"/>
    </row>
    <row r="61" spans="5:6">
      <c r="E61" s="444"/>
      <c r="F61" s="444"/>
    </row>
    <row r="62" spans="5:6">
      <c r="E62" s="444"/>
      <c r="F62" s="444"/>
    </row>
    <row r="63" spans="5:6">
      <c r="E63" s="444"/>
      <c r="F63" s="444"/>
    </row>
    <row r="64" spans="5:6">
      <c r="E64" s="444"/>
      <c r="F64" s="444"/>
    </row>
    <row r="65" spans="5:6">
      <c r="E65" s="444"/>
      <c r="F65" s="444"/>
    </row>
    <row r="66" spans="5:6">
      <c r="E66" s="444"/>
      <c r="F66" s="444"/>
    </row>
    <row r="67" spans="5:6">
      <c r="E67" s="444"/>
      <c r="F67" s="444"/>
    </row>
    <row r="68" spans="5:6">
      <c r="E68" s="444"/>
      <c r="F68" s="444"/>
    </row>
    <row r="69" spans="5:6">
      <c r="E69" s="444"/>
      <c r="F69" s="444"/>
    </row>
    <row r="70" spans="5:6">
      <c r="E70" s="444"/>
      <c r="F70" s="444"/>
    </row>
    <row r="71" spans="5:6">
      <c r="E71" s="444"/>
      <c r="F71" s="444"/>
    </row>
    <row r="72" spans="5:6">
      <c r="E72" s="444"/>
      <c r="F72" s="444"/>
    </row>
    <row r="73" spans="5:6">
      <c r="E73" s="444"/>
      <c r="F73" s="444"/>
    </row>
    <row r="74" spans="5:6">
      <c r="E74" s="444"/>
      <c r="F74" s="444"/>
    </row>
    <row r="75" spans="5:6">
      <c r="E75" s="444"/>
      <c r="F75" s="444"/>
    </row>
    <row r="76" spans="5:6">
      <c r="E76" s="444"/>
      <c r="F76" s="444"/>
    </row>
    <row r="77" spans="5:6">
      <c r="E77" s="444"/>
      <c r="F77" s="444"/>
    </row>
    <row r="78" spans="5:6">
      <c r="E78" s="444"/>
      <c r="F78" s="444"/>
    </row>
    <row r="79" spans="5:6">
      <c r="E79" s="444"/>
      <c r="F79" s="444"/>
    </row>
    <row r="80" spans="5:6">
      <c r="E80" s="444"/>
      <c r="F80" s="444"/>
    </row>
    <row r="81" spans="5:6">
      <c r="E81" s="444"/>
      <c r="F81" s="444"/>
    </row>
    <row r="82" spans="5:6">
      <c r="E82" s="444"/>
      <c r="F82" s="444"/>
    </row>
    <row r="83" spans="5:6">
      <c r="E83" s="444"/>
      <c r="F83" s="444"/>
    </row>
    <row r="84" spans="5:6">
      <c r="E84" s="444"/>
      <c r="F84" s="444"/>
    </row>
    <row r="85" spans="5:6">
      <c r="E85" s="444"/>
      <c r="F85" s="444"/>
    </row>
    <row r="86" spans="5:6">
      <c r="E86" s="444"/>
      <c r="F86" s="444"/>
    </row>
    <row r="87" spans="5:6">
      <c r="E87" s="444"/>
      <c r="F87" s="444"/>
    </row>
    <row r="88" spans="5:6">
      <c r="E88" s="444"/>
      <c r="F88" s="444"/>
    </row>
    <row r="89" spans="5:6">
      <c r="E89" s="444"/>
      <c r="F89" s="444"/>
    </row>
    <row r="90" spans="5:6">
      <c r="E90" s="444"/>
      <c r="F90" s="444"/>
    </row>
    <row r="91" spans="5:6">
      <c r="E91" s="444"/>
      <c r="F91" s="444"/>
    </row>
    <row r="92" spans="5:6">
      <c r="E92" s="444"/>
      <c r="F92" s="444"/>
    </row>
    <row r="93" spans="5:6">
      <c r="E93" s="444"/>
      <c r="F93" s="444"/>
    </row>
    <row r="94" spans="5:6">
      <c r="E94" s="444"/>
      <c r="F94" s="444"/>
    </row>
    <row r="95" spans="5:6">
      <c r="E95" s="444"/>
      <c r="F95" s="444"/>
    </row>
    <row r="96" spans="5:6">
      <c r="E96" s="444"/>
      <c r="F96" s="444"/>
    </row>
    <row r="97" spans="5:6">
      <c r="E97" s="444"/>
      <c r="F97" s="444"/>
    </row>
    <row r="98" spans="5:6">
      <c r="E98" s="444"/>
      <c r="F98" s="444"/>
    </row>
    <row r="99" spans="5:6">
      <c r="E99" s="444"/>
      <c r="F99" s="444"/>
    </row>
    <row r="100" spans="5:6">
      <c r="E100" s="444"/>
      <c r="F100" s="444"/>
    </row>
    <row r="101" spans="5:6">
      <c r="E101" s="444"/>
      <c r="F101" s="444"/>
    </row>
    <row r="102" spans="5:6">
      <c r="E102" s="444"/>
      <c r="F102" s="444"/>
    </row>
    <row r="103" spans="5:6">
      <c r="E103" s="444"/>
      <c r="F103" s="444"/>
    </row>
    <row r="104" spans="5:6">
      <c r="E104" s="444"/>
      <c r="F104" s="444"/>
    </row>
    <row r="105" spans="5:6">
      <c r="E105" s="444"/>
      <c r="F105" s="444"/>
    </row>
    <row r="106" spans="5:6">
      <c r="E106" s="444"/>
      <c r="F106" s="444"/>
    </row>
    <row r="107" spans="5:6">
      <c r="E107" s="444"/>
      <c r="F107" s="444"/>
    </row>
    <row r="108" spans="5:6">
      <c r="E108" s="444"/>
      <c r="F108" s="444"/>
    </row>
    <row r="109" spans="5:6">
      <c r="E109" s="444"/>
      <c r="F109" s="444"/>
    </row>
    <row r="110" spans="5:6">
      <c r="E110" s="444"/>
      <c r="F110" s="444"/>
    </row>
    <row r="111" spans="5:6">
      <c r="E111" s="444"/>
      <c r="F111" s="444"/>
    </row>
    <row r="112" spans="5:6">
      <c r="E112" s="444"/>
      <c r="F112" s="444"/>
    </row>
    <row r="113" spans="5:6">
      <c r="E113" s="444"/>
      <c r="F113" s="444"/>
    </row>
    <row r="114" spans="5:6">
      <c r="E114" s="444"/>
      <c r="F114" s="444"/>
    </row>
    <row r="115" spans="5:6">
      <c r="E115" s="444"/>
      <c r="F115" s="444"/>
    </row>
    <row r="116" spans="5:6">
      <c r="E116" s="444"/>
      <c r="F116" s="444"/>
    </row>
    <row r="117" spans="5:6">
      <c r="E117" s="444"/>
      <c r="F117" s="444"/>
    </row>
    <row r="118" spans="5:6">
      <c r="E118" s="444"/>
      <c r="F118" s="444"/>
    </row>
    <row r="119" spans="5:6">
      <c r="E119" s="444"/>
      <c r="F119" s="444"/>
    </row>
  </sheetData>
  <pageMargins left="0.7" right="0.51432291666666663" top="0.86956521739130432" bottom="0.61458333333333337" header="0.3" footer="0.3"/>
  <pageSetup orientation="portrait" r:id="rId1"/>
  <headerFooter>
    <oddHeader>&amp;R&amp;7Informe de la Operación Mensual - Julio 2018
INFSGI-MES-07-2018
14/08/2018
Versión: 01</oddHeader>
    <oddFooter>&amp;L&amp;7COES SINAC, 2018
&amp;C27&amp;R&amp;7Dirección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E7E1-8BF2-40B7-8695-3BE9B4A6D9E6}">
  <sheetPr>
    <tabColor theme="4"/>
  </sheetPr>
  <dimension ref="A1:W67"/>
  <sheetViews>
    <sheetView showGridLines="0" view="pageBreakPreview" zoomScale="115" zoomScaleNormal="100" zoomScaleSheetLayoutView="115" zoomScalePageLayoutView="145" workbookViewId="0">
      <selection activeCell="Q29" sqref="Q29"/>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9.28515625" style="46"/>
    <col min="14" max="14" width="9.28515625" style="455"/>
    <col min="15" max="16" width="10.140625" style="497" bestFit="1" customWidth="1"/>
    <col min="17" max="17" width="11.42578125" style="497" customWidth="1"/>
    <col min="18" max="23" width="9.28515625" style="497"/>
    <col min="24" max="16384" width="9.28515625" style="46"/>
  </cols>
  <sheetData>
    <row r="1" spans="1:17" ht="27.75" customHeight="1">
      <c r="A1" s="761" t="s">
        <v>22</v>
      </c>
      <c r="B1" s="761"/>
      <c r="C1" s="761"/>
      <c r="D1" s="761"/>
      <c r="E1" s="761"/>
      <c r="F1" s="761"/>
      <c r="G1" s="761"/>
      <c r="H1" s="761"/>
      <c r="I1" s="761"/>
      <c r="J1" s="761"/>
      <c r="K1" s="761"/>
      <c r="L1" s="761"/>
      <c r="M1" s="761"/>
      <c r="N1" s="454"/>
      <c r="O1" s="496"/>
      <c r="P1" s="496"/>
      <c r="Q1" s="496"/>
    </row>
    <row r="2" spans="1:17" ht="11.25" customHeight="1">
      <c r="A2" s="41"/>
      <c r="B2" s="40"/>
      <c r="C2" s="65"/>
      <c r="D2" s="65"/>
      <c r="E2" s="65"/>
      <c r="F2" s="65"/>
      <c r="G2" s="65"/>
      <c r="H2" s="65"/>
      <c r="I2" s="65"/>
      <c r="J2" s="65"/>
      <c r="K2" s="40"/>
      <c r="L2" s="40"/>
      <c r="M2" s="40"/>
      <c r="N2" s="454"/>
      <c r="O2" s="496"/>
      <c r="P2" s="496"/>
      <c r="Q2" s="496"/>
    </row>
    <row r="3" spans="1:17" ht="21.75" customHeight="1">
      <c r="A3" s="40"/>
      <c r="B3" s="42"/>
      <c r="C3" s="769" t="str">
        <f>+UPPER(Q4)&amp;" "&amp;Q5</f>
        <v>JULIO 2018</v>
      </c>
      <c r="D3" s="761"/>
      <c r="E3" s="761"/>
      <c r="F3" s="761"/>
      <c r="G3" s="761"/>
      <c r="H3" s="761"/>
      <c r="I3" s="761"/>
      <c r="J3" s="761"/>
      <c r="K3" s="40"/>
      <c r="L3" s="40"/>
      <c r="M3" s="40"/>
      <c r="N3" s="454"/>
      <c r="O3" s="496"/>
      <c r="P3" s="496"/>
      <c r="Q3" s="496"/>
    </row>
    <row r="4" spans="1:17" ht="11.25" customHeight="1">
      <c r="A4" s="40"/>
      <c r="B4" s="42"/>
      <c r="C4" s="40"/>
      <c r="D4" s="40"/>
      <c r="E4" s="40"/>
      <c r="F4" s="40"/>
      <c r="G4" s="40"/>
      <c r="H4" s="40"/>
      <c r="I4" s="40"/>
      <c r="J4" s="40"/>
      <c r="K4" s="40"/>
      <c r="L4" s="40"/>
      <c r="M4" s="40"/>
      <c r="N4" s="456"/>
      <c r="O4" s="498"/>
      <c r="P4" s="496" t="s">
        <v>227</v>
      </c>
      <c r="Q4" s="499" t="s">
        <v>620</v>
      </c>
    </row>
    <row r="5" spans="1:17" ht="11.25" customHeight="1">
      <c r="A5" s="47"/>
      <c r="B5" s="48"/>
      <c r="C5" s="49"/>
      <c r="D5" s="49"/>
      <c r="E5" s="49"/>
      <c r="F5" s="49"/>
      <c r="G5" s="49"/>
      <c r="H5" s="49"/>
      <c r="I5" s="49"/>
      <c r="J5" s="49"/>
      <c r="K5" s="49"/>
      <c r="L5" s="49"/>
      <c r="M5" s="40"/>
      <c r="N5" s="456"/>
      <c r="O5" s="498"/>
      <c r="P5" s="496" t="s">
        <v>228</v>
      </c>
      <c r="Q5" s="498">
        <v>2018</v>
      </c>
    </row>
    <row r="6" spans="1:17" ht="17.25" customHeight="1">
      <c r="A6" s="60" t="s">
        <v>514</v>
      </c>
      <c r="B6" s="40"/>
      <c r="C6" s="40"/>
      <c r="D6" s="40"/>
      <c r="E6" s="40"/>
      <c r="F6" s="40"/>
      <c r="G6" s="40"/>
      <c r="H6" s="40"/>
      <c r="I6" s="40"/>
      <c r="J6" s="40"/>
      <c r="K6" s="40"/>
      <c r="L6" s="40"/>
      <c r="M6" s="40"/>
      <c r="N6" s="454"/>
      <c r="O6" s="496"/>
      <c r="P6" s="496"/>
      <c r="Q6" s="507">
        <v>43282</v>
      </c>
    </row>
    <row r="7" spans="1:17" ht="11.25" customHeight="1">
      <c r="A7" s="40"/>
      <c r="B7" s="40"/>
      <c r="C7" s="40"/>
      <c r="D7" s="40"/>
      <c r="E7" s="40"/>
      <c r="F7" s="40"/>
      <c r="G7" s="40"/>
      <c r="H7" s="40"/>
      <c r="I7" s="40"/>
      <c r="J7" s="40"/>
      <c r="K7" s="40"/>
      <c r="L7" s="40"/>
      <c r="M7" s="40"/>
      <c r="N7" s="454"/>
      <c r="O7" s="496"/>
      <c r="P7" s="496"/>
      <c r="Q7" s="496">
        <v>31</v>
      </c>
    </row>
    <row r="8" spans="1:17" ht="11.25" customHeight="1">
      <c r="A8" s="43"/>
      <c r="B8" s="43"/>
      <c r="C8" s="43"/>
      <c r="D8" s="43"/>
      <c r="E8" s="43"/>
      <c r="F8" s="43"/>
      <c r="G8" s="43"/>
      <c r="H8" s="43"/>
      <c r="I8" s="43"/>
      <c r="J8" s="43"/>
      <c r="K8" s="43"/>
      <c r="L8" s="43"/>
      <c r="M8" s="43"/>
      <c r="N8" s="457"/>
      <c r="O8" s="500"/>
      <c r="P8" s="500"/>
      <c r="Q8" s="500"/>
    </row>
    <row r="9" spans="1:17" ht="11.25" customHeight="1">
      <c r="A9" s="40" t="str">
        <f>"1.1. Producción de energía eléctrica en "&amp;LOWER(Q4)&amp;" "&amp;Q5&amp;" en comparación al mismo mes del año anterior"</f>
        <v>1.1. Producción de energía eléctrica en julio 2018 en comparación al mismo mes del año anterior</v>
      </c>
      <c r="B9" s="40"/>
      <c r="C9" s="40"/>
      <c r="D9" s="40"/>
      <c r="E9" s="40"/>
      <c r="F9" s="40"/>
      <c r="G9" s="40"/>
      <c r="H9" s="40"/>
      <c r="I9" s="40"/>
      <c r="J9" s="40"/>
      <c r="K9" s="40"/>
      <c r="L9" s="40"/>
      <c r="M9" s="40"/>
      <c r="N9" s="454"/>
      <c r="O9" s="496"/>
      <c r="P9" s="496"/>
      <c r="Q9" s="496"/>
    </row>
    <row r="10" spans="1:17" ht="11.25" customHeight="1">
      <c r="A10" s="47"/>
      <c r="B10" s="44"/>
      <c r="C10" s="44"/>
      <c r="D10" s="44"/>
      <c r="E10" s="44"/>
      <c r="F10" s="44"/>
      <c r="G10" s="44"/>
      <c r="H10" s="44"/>
      <c r="I10" s="44"/>
      <c r="J10" s="44"/>
      <c r="K10" s="44"/>
      <c r="L10" s="44"/>
      <c r="M10" s="44"/>
      <c r="N10" s="456"/>
      <c r="O10" s="498"/>
      <c r="P10" s="498"/>
      <c r="Q10" s="498"/>
    </row>
    <row r="11" spans="1:17" ht="11.25" customHeight="1">
      <c r="A11" s="50"/>
      <c r="B11" s="50"/>
      <c r="C11" s="50"/>
      <c r="D11" s="50"/>
      <c r="E11" s="50"/>
      <c r="F11" s="50"/>
      <c r="G11" s="50"/>
      <c r="H11" s="50"/>
      <c r="I11" s="50"/>
      <c r="J11" s="50"/>
      <c r="K11" s="50"/>
      <c r="L11" s="50"/>
      <c r="M11" s="50"/>
      <c r="N11" s="458"/>
      <c r="O11" s="501"/>
      <c r="P11" s="501"/>
      <c r="Q11" s="501"/>
    </row>
    <row r="12" spans="1:17" ht="26.25" customHeight="1">
      <c r="A12" s="62" t="s">
        <v>23</v>
      </c>
      <c r="B12" s="768" t="s">
        <v>672</v>
      </c>
      <c r="C12" s="768"/>
      <c r="D12" s="768"/>
      <c r="E12" s="768"/>
      <c r="F12" s="768"/>
      <c r="G12" s="768"/>
      <c r="H12" s="768"/>
      <c r="I12" s="768"/>
      <c r="J12" s="768"/>
      <c r="K12" s="768"/>
      <c r="L12" s="768"/>
      <c r="M12" s="768"/>
      <c r="N12" s="456"/>
      <c r="O12" s="498"/>
      <c r="P12" s="498"/>
      <c r="Q12" s="498"/>
    </row>
    <row r="13" spans="1:17" ht="12.75" customHeight="1">
      <c r="A13" s="40"/>
      <c r="B13" s="64"/>
      <c r="C13" s="64"/>
      <c r="D13" s="64"/>
      <c r="E13" s="64"/>
      <c r="F13" s="64"/>
      <c r="G13" s="64"/>
      <c r="H13" s="64"/>
      <c r="I13" s="64"/>
      <c r="J13" s="64"/>
      <c r="K13" s="64"/>
      <c r="L13" s="64"/>
      <c r="M13" s="44"/>
      <c r="N13" s="456"/>
      <c r="O13" s="498"/>
      <c r="P13" s="498"/>
      <c r="Q13" s="498"/>
    </row>
    <row r="14" spans="1:17" ht="28.5" customHeight="1">
      <c r="A14" s="62" t="s">
        <v>23</v>
      </c>
      <c r="B14" s="768" t="s">
        <v>673</v>
      </c>
      <c r="C14" s="768"/>
      <c r="D14" s="768"/>
      <c r="E14" s="768"/>
      <c r="F14" s="768"/>
      <c r="G14" s="768"/>
      <c r="H14" s="768"/>
      <c r="I14" s="768"/>
      <c r="J14" s="768"/>
      <c r="K14" s="768"/>
      <c r="L14" s="768"/>
      <c r="M14" s="768"/>
      <c r="N14" s="456"/>
      <c r="O14" s="498"/>
      <c r="P14" s="498"/>
      <c r="Q14" s="498"/>
    </row>
    <row r="15" spans="1:17" ht="15" customHeight="1">
      <c r="A15" s="63"/>
      <c r="B15" s="64"/>
      <c r="C15" s="64"/>
      <c r="D15" s="64"/>
      <c r="E15" s="64"/>
      <c r="F15" s="64"/>
      <c r="G15" s="64"/>
      <c r="H15" s="64"/>
      <c r="I15" s="64"/>
      <c r="J15" s="64"/>
      <c r="K15" s="64"/>
      <c r="L15" s="64"/>
      <c r="M15" s="44"/>
      <c r="N15" s="456"/>
      <c r="O15" s="498"/>
      <c r="P15" s="498"/>
      <c r="Q15" s="498"/>
    </row>
    <row r="16" spans="1:17" ht="59.25" customHeight="1">
      <c r="A16" s="62" t="s">
        <v>23</v>
      </c>
      <c r="B16" s="768" t="s">
        <v>674</v>
      </c>
      <c r="C16" s="768"/>
      <c r="D16" s="768"/>
      <c r="E16" s="768"/>
      <c r="F16" s="768"/>
      <c r="G16" s="768"/>
      <c r="H16" s="768"/>
      <c r="I16" s="768"/>
      <c r="J16" s="768"/>
      <c r="K16" s="768"/>
      <c r="L16" s="768"/>
      <c r="M16" s="768"/>
      <c r="N16" s="456"/>
      <c r="O16" s="498"/>
      <c r="P16" s="498"/>
      <c r="Q16" s="498"/>
    </row>
    <row r="17" spans="1:18" ht="17.25" customHeight="1">
      <c r="A17" s="44"/>
      <c r="B17" s="44"/>
      <c r="C17" s="44"/>
      <c r="D17" s="44"/>
      <c r="E17" s="44"/>
      <c r="F17" s="44"/>
      <c r="G17" s="44"/>
      <c r="H17" s="44"/>
      <c r="I17" s="44"/>
      <c r="J17" s="44"/>
      <c r="K17" s="44"/>
      <c r="L17" s="44"/>
      <c r="M17" s="44"/>
      <c r="N17" s="456"/>
      <c r="O17" s="498"/>
      <c r="P17" s="498"/>
      <c r="Q17" s="498"/>
    </row>
    <row r="18" spans="1:18" ht="25.5" customHeight="1">
      <c r="A18" s="61" t="s">
        <v>23</v>
      </c>
      <c r="B18" s="767" t="s">
        <v>675</v>
      </c>
      <c r="C18" s="767"/>
      <c r="D18" s="767"/>
      <c r="E18" s="767"/>
      <c r="F18" s="767"/>
      <c r="G18" s="767"/>
      <c r="H18" s="767"/>
      <c r="I18" s="767"/>
      <c r="J18" s="767"/>
      <c r="K18" s="767"/>
      <c r="L18" s="767"/>
      <c r="M18" s="767"/>
      <c r="N18" s="456"/>
      <c r="O18" s="498"/>
      <c r="P18" s="498"/>
      <c r="Q18" s="498"/>
    </row>
    <row r="19" spans="1:18" ht="11.25" customHeight="1">
      <c r="A19" s="44"/>
      <c r="B19" s="44"/>
      <c r="C19" s="44"/>
      <c r="D19" s="44"/>
      <c r="E19" s="44"/>
      <c r="F19" s="44"/>
      <c r="G19" s="44"/>
      <c r="H19" s="44"/>
      <c r="I19" s="44"/>
      <c r="J19" s="44"/>
      <c r="K19" s="44"/>
      <c r="L19" s="44"/>
      <c r="M19" s="44"/>
      <c r="N19" s="456"/>
      <c r="O19" s="498"/>
      <c r="P19" s="498"/>
      <c r="Q19" s="498"/>
    </row>
    <row r="20" spans="1:18" ht="15.75" customHeight="1">
      <c r="A20" s="44"/>
      <c r="B20" s="44"/>
      <c r="C20" s="763" t="str">
        <f>+UPPER(Q4)&amp;" "&amp;Q5</f>
        <v>JULIO 2018</v>
      </c>
      <c r="D20" s="764"/>
      <c r="E20" s="40"/>
      <c r="F20" s="40"/>
      <c r="G20" s="40"/>
      <c r="H20" s="40"/>
      <c r="I20" s="763" t="str">
        <f>+UPPER(Q4)&amp;" "&amp;Q5-1</f>
        <v>JULIO 2017</v>
      </c>
      <c r="J20" s="763"/>
      <c r="K20" s="763"/>
      <c r="L20" s="44"/>
      <c r="M20" s="44"/>
      <c r="Q20" s="498"/>
    </row>
    <row r="21" spans="1:18" ht="11.25" customHeight="1">
      <c r="A21" s="44"/>
      <c r="B21" s="44"/>
      <c r="C21" s="44"/>
      <c r="D21" s="44"/>
      <c r="E21" s="44"/>
      <c r="F21" s="44"/>
      <c r="G21" s="44"/>
      <c r="H21" s="44"/>
      <c r="I21" s="44"/>
      <c r="J21" s="44"/>
      <c r="K21" s="44"/>
      <c r="L21" s="44"/>
      <c r="M21" s="44"/>
      <c r="Q21" s="498"/>
    </row>
    <row r="22" spans="1:18" ht="11.25" customHeight="1">
      <c r="A22" s="51"/>
      <c r="B22" s="52"/>
      <c r="C22" s="52"/>
      <c r="D22" s="52"/>
      <c r="E22" s="52"/>
      <c r="F22" s="52"/>
      <c r="G22" s="52"/>
      <c r="H22" s="52"/>
      <c r="I22" s="52"/>
      <c r="J22" s="52"/>
      <c r="K22" s="52"/>
      <c r="L22" s="52"/>
      <c r="M22" s="52"/>
      <c r="N22" s="538" t="s">
        <v>31</v>
      </c>
      <c r="O22" s="502">
        <v>43282</v>
      </c>
      <c r="P22" s="502">
        <v>42917</v>
      </c>
    </row>
    <row r="23" spans="1:18" ht="11.25" customHeight="1">
      <c r="A23" s="51"/>
      <c r="B23" s="52"/>
      <c r="C23" s="52"/>
      <c r="D23" s="52"/>
      <c r="E23" s="52"/>
      <c r="F23" s="52"/>
      <c r="G23" s="52"/>
      <c r="H23" s="52"/>
      <c r="I23" s="52"/>
      <c r="J23" s="52"/>
      <c r="K23" s="52"/>
      <c r="L23" s="52"/>
      <c r="M23" s="52"/>
      <c r="N23" s="538" t="s">
        <v>24</v>
      </c>
      <c r="O23" s="503">
        <v>1997.8919180625003</v>
      </c>
      <c r="P23" s="503">
        <v>1896.8936877253843</v>
      </c>
      <c r="Q23" s="504"/>
    </row>
    <row r="24" spans="1:18" ht="11.25" customHeight="1">
      <c r="A24" s="44"/>
      <c r="B24" s="44"/>
      <c r="C24" s="44"/>
      <c r="D24" s="44"/>
      <c r="E24" s="43"/>
      <c r="F24" s="44"/>
      <c r="G24" s="44"/>
      <c r="H24" s="44"/>
      <c r="I24" s="44"/>
      <c r="J24" s="44"/>
      <c r="K24" s="44"/>
      <c r="L24" s="44"/>
      <c r="M24" s="43"/>
      <c r="N24" s="539" t="s">
        <v>25</v>
      </c>
      <c r="O24" s="505">
        <v>1984.3622375425005</v>
      </c>
      <c r="P24" s="505">
        <v>1787.6815087924697</v>
      </c>
      <c r="Q24" s="503"/>
      <c r="R24" s="503"/>
    </row>
    <row r="25" spans="1:18" ht="11.25" customHeight="1">
      <c r="A25" s="44"/>
      <c r="B25" s="44"/>
      <c r="C25" s="44"/>
      <c r="D25" s="44"/>
      <c r="E25" s="44"/>
      <c r="F25" s="44"/>
      <c r="G25" s="44"/>
      <c r="H25" s="44"/>
      <c r="I25" s="44"/>
      <c r="J25" s="53"/>
      <c r="K25" s="53"/>
      <c r="L25" s="44"/>
      <c r="M25" s="44"/>
      <c r="N25" s="539" t="s">
        <v>26</v>
      </c>
      <c r="O25" s="505">
        <v>10.7779047775</v>
      </c>
      <c r="P25" s="505">
        <v>94.728446122924822</v>
      </c>
      <c r="Q25" s="506"/>
    </row>
    <row r="26" spans="1:18" ht="11.25" customHeight="1">
      <c r="A26" s="44"/>
      <c r="B26" s="44"/>
      <c r="C26" s="44"/>
      <c r="D26" s="44"/>
      <c r="E26" s="44"/>
      <c r="F26" s="44"/>
      <c r="G26" s="44"/>
      <c r="H26" s="44"/>
      <c r="I26" s="44"/>
      <c r="J26" s="53"/>
      <c r="K26" s="53"/>
      <c r="L26" s="44"/>
      <c r="M26" s="44"/>
      <c r="N26" s="538" t="s">
        <v>27</v>
      </c>
      <c r="O26" s="503">
        <v>16.255491232499999</v>
      </c>
      <c r="P26" s="503">
        <v>151.96102152050454</v>
      </c>
      <c r="Q26" s="506"/>
    </row>
    <row r="27" spans="1:18" ht="11.25" customHeight="1">
      <c r="A27" s="44"/>
      <c r="B27" s="44"/>
      <c r="C27" s="44"/>
      <c r="D27" s="44"/>
      <c r="E27" s="44"/>
      <c r="F27" s="44"/>
      <c r="G27" s="44"/>
      <c r="H27" s="44"/>
      <c r="I27" s="44"/>
      <c r="J27" s="53"/>
      <c r="K27" s="44"/>
      <c r="L27" s="44"/>
      <c r="M27" s="44"/>
      <c r="N27" s="538" t="s">
        <v>28</v>
      </c>
      <c r="O27" s="503">
        <v>11.030120595</v>
      </c>
      <c r="P27" s="503">
        <v>12.434307662824024</v>
      </c>
      <c r="Q27" s="506"/>
    </row>
    <row r="28" spans="1:18" ht="11.25" customHeight="1">
      <c r="A28" s="44"/>
      <c r="B28" s="44"/>
      <c r="C28" s="53"/>
      <c r="D28" s="53"/>
      <c r="E28" s="53"/>
      <c r="F28" s="53"/>
      <c r="G28" s="53"/>
      <c r="H28" s="53"/>
      <c r="I28" s="53"/>
      <c r="J28" s="53"/>
      <c r="K28" s="53"/>
      <c r="L28" s="44"/>
      <c r="M28" s="44"/>
      <c r="N28" s="538" t="s">
        <v>29</v>
      </c>
      <c r="O28" s="503">
        <v>130.32940518999999</v>
      </c>
      <c r="P28" s="503">
        <v>81.908387574829391</v>
      </c>
      <c r="Q28" s="506"/>
    </row>
    <row r="29" spans="1:18" ht="11.25" customHeight="1">
      <c r="A29" s="44"/>
      <c r="B29" s="44"/>
      <c r="C29" s="53"/>
      <c r="D29" s="53"/>
      <c r="E29" s="53"/>
      <c r="F29" s="53"/>
      <c r="G29" s="53"/>
      <c r="H29" s="53"/>
      <c r="I29" s="53"/>
      <c r="J29" s="53"/>
      <c r="K29" s="53"/>
      <c r="L29" s="44"/>
      <c r="M29" s="44"/>
      <c r="N29" s="538" t="s">
        <v>30</v>
      </c>
      <c r="O29" s="503">
        <v>49.3644935425</v>
      </c>
      <c r="P29" s="503">
        <v>16.945066748818</v>
      </c>
      <c r="Q29" s="506"/>
    </row>
    <row r="30" spans="1:18" ht="11.25" customHeight="1">
      <c r="A30" s="44"/>
      <c r="B30" s="44"/>
      <c r="C30" s="53"/>
      <c r="D30" s="53"/>
      <c r="E30" s="53"/>
      <c r="F30" s="53"/>
      <c r="G30" s="53"/>
      <c r="H30" s="53"/>
      <c r="I30" s="53"/>
      <c r="J30" s="53"/>
      <c r="K30" s="53"/>
      <c r="L30" s="44"/>
      <c r="M30" s="44"/>
      <c r="N30" s="538"/>
      <c r="O30" s="506"/>
      <c r="P30" s="506"/>
      <c r="Q30" s="506"/>
    </row>
    <row r="31" spans="1:18" ht="11.25" customHeight="1">
      <c r="A31" s="44"/>
      <c r="B31" s="44"/>
      <c r="C31" s="53"/>
      <c r="D31" s="53"/>
      <c r="E31" s="53"/>
      <c r="F31" s="53"/>
      <c r="G31" s="53"/>
      <c r="H31" s="53"/>
      <c r="I31" s="53"/>
      <c r="J31" s="53"/>
      <c r="K31" s="53"/>
      <c r="L31" s="44"/>
      <c r="M31" s="44"/>
      <c r="O31" s="565"/>
      <c r="P31" s="565"/>
      <c r="Q31" s="566"/>
    </row>
    <row r="32" spans="1:18" ht="11.25" customHeight="1">
      <c r="A32" s="44"/>
      <c r="B32" s="44"/>
      <c r="C32" s="53"/>
      <c r="D32" s="53"/>
      <c r="E32" s="53"/>
      <c r="F32" s="53"/>
      <c r="G32" s="53"/>
      <c r="H32" s="53"/>
      <c r="I32" s="53"/>
      <c r="J32" s="53"/>
      <c r="K32" s="53"/>
      <c r="L32" s="44"/>
      <c r="M32" s="44"/>
      <c r="Q32" s="498"/>
    </row>
    <row r="33" spans="1:17" ht="11.25" customHeight="1">
      <c r="A33" s="44"/>
      <c r="B33" s="44"/>
      <c r="C33" s="53"/>
      <c r="D33" s="53"/>
      <c r="E33" s="53"/>
      <c r="F33" s="53"/>
      <c r="G33" s="53"/>
      <c r="H33" s="53"/>
      <c r="I33" s="53"/>
      <c r="J33" s="53"/>
      <c r="K33" s="53"/>
      <c r="L33" s="44"/>
      <c r="M33" s="44"/>
      <c r="Q33" s="498"/>
    </row>
    <row r="34" spans="1:17" ht="11.25" customHeight="1">
      <c r="A34" s="44"/>
      <c r="B34" s="44"/>
      <c r="C34" s="53"/>
      <c r="D34" s="53"/>
      <c r="E34" s="53"/>
      <c r="F34" s="53"/>
      <c r="G34" s="53"/>
      <c r="H34" s="53"/>
      <c r="I34" s="53"/>
      <c r="J34" s="53"/>
      <c r="K34" s="53"/>
      <c r="L34" s="44"/>
      <c r="M34" s="44"/>
      <c r="Q34" s="498"/>
    </row>
    <row r="35" spans="1:17" ht="11.25" customHeight="1">
      <c r="A35" s="54"/>
      <c r="B35" s="54"/>
      <c r="C35" s="55"/>
      <c r="D35" s="55"/>
      <c r="E35" s="55"/>
      <c r="F35" s="55"/>
      <c r="G35" s="55"/>
      <c r="H35" s="55"/>
      <c r="I35" s="55"/>
      <c r="J35" s="54"/>
      <c r="K35" s="54"/>
      <c r="L35" s="54"/>
      <c r="M35" s="54"/>
      <c r="Q35" s="498"/>
    </row>
    <row r="36" spans="1:17" ht="11.25" customHeight="1">
      <c r="A36" s="54"/>
      <c r="B36" s="54"/>
      <c r="C36" s="55"/>
      <c r="D36" s="55"/>
      <c r="E36" s="55"/>
      <c r="F36" s="55"/>
      <c r="G36" s="55"/>
      <c r="H36" s="55"/>
      <c r="I36" s="55"/>
      <c r="J36" s="54"/>
      <c r="K36" s="54"/>
      <c r="L36" s="54"/>
      <c r="M36" s="54"/>
      <c r="Q36" s="498"/>
    </row>
    <row r="37" spans="1:17" ht="11.25" customHeight="1">
      <c r="A37" s="54"/>
      <c r="B37" s="54"/>
      <c r="C37" s="55"/>
      <c r="D37" s="55"/>
      <c r="E37" s="55"/>
      <c r="F37" s="55"/>
      <c r="G37" s="55"/>
      <c r="H37" s="55"/>
      <c r="I37" s="55"/>
      <c r="J37" s="54"/>
      <c r="K37" s="54"/>
      <c r="L37" s="54"/>
      <c r="M37" s="54"/>
      <c r="N37" s="456"/>
      <c r="O37" s="498"/>
      <c r="P37" s="498"/>
      <c r="Q37" s="498"/>
    </row>
    <row r="38" spans="1:17" ht="11.25" customHeight="1">
      <c r="A38" s="54"/>
      <c r="B38" s="54"/>
      <c r="C38" s="55"/>
      <c r="D38" s="55"/>
      <c r="E38" s="55"/>
      <c r="F38" s="55"/>
      <c r="G38" s="55"/>
      <c r="H38" s="55"/>
      <c r="I38" s="55"/>
      <c r="J38" s="54"/>
      <c r="K38" s="54"/>
      <c r="L38" s="54"/>
      <c r="M38" s="54"/>
      <c r="N38" s="456"/>
      <c r="O38" s="498"/>
      <c r="P38" s="498"/>
      <c r="Q38" s="498"/>
    </row>
    <row r="39" spans="1:17" ht="11.25" customHeight="1">
      <c r="A39" s="54"/>
      <c r="B39" s="54"/>
      <c r="C39" s="55"/>
      <c r="D39" s="55"/>
      <c r="E39" s="55"/>
      <c r="F39" s="55"/>
      <c r="G39" s="55"/>
      <c r="H39" s="55"/>
      <c r="I39" s="55"/>
      <c r="J39" s="54"/>
      <c r="K39" s="54"/>
      <c r="L39" s="54"/>
      <c r="M39" s="54"/>
      <c r="N39" s="456"/>
      <c r="O39" s="498"/>
      <c r="P39" s="498"/>
      <c r="Q39" s="498"/>
    </row>
    <row r="40" spans="1:17" ht="11.25" customHeight="1">
      <c r="A40" s="54"/>
      <c r="B40" s="54"/>
      <c r="C40" s="55"/>
      <c r="D40" s="55"/>
      <c r="E40" s="55"/>
      <c r="F40" s="55"/>
      <c r="G40" s="55"/>
      <c r="H40" s="55"/>
      <c r="I40" s="55"/>
      <c r="J40" s="54"/>
      <c r="K40" s="54"/>
      <c r="L40" s="54"/>
      <c r="M40" s="54"/>
      <c r="N40" s="456"/>
      <c r="O40" s="498"/>
      <c r="P40" s="498"/>
      <c r="Q40" s="498"/>
    </row>
    <row r="41" spans="1:17" ht="11.25" customHeight="1">
      <c r="A41" s="54"/>
      <c r="B41" s="54"/>
      <c r="C41" s="54"/>
      <c r="D41" s="55"/>
      <c r="E41" s="55"/>
      <c r="F41" s="55"/>
      <c r="G41" s="55"/>
      <c r="H41" s="54"/>
      <c r="I41" s="54"/>
      <c r="J41" s="54"/>
      <c r="K41" s="54"/>
      <c r="L41" s="54"/>
      <c r="M41" s="54"/>
      <c r="N41" s="456"/>
      <c r="O41" s="498"/>
      <c r="P41" s="498"/>
      <c r="Q41" s="498"/>
    </row>
    <row r="42" spans="1:17" ht="11.25" customHeight="1">
      <c r="A42" s="54"/>
      <c r="B42" s="54"/>
      <c r="C42" s="55"/>
      <c r="D42" s="55"/>
      <c r="E42" s="55"/>
      <c r="F42" s="55"/>
      <c r="G42" s="55"/>
      <c r="H42" s="55"/>
      <c r="I42" s="55"/>
      <c r="J42" s="54"/>
      <c r="K42" s="54"/>
      <c r="L42" s="54"/>
      <c r="M42" s="54"/>
      <c r="N42" s="456"/>
      <c r="O42" s="498"/>
      <c r="P42" s="498"/>
      <c r="Q42" s="498"/>
    </row>
    <row r="43" spans="1:17" ht="11.25" customHeight="1">
      <c r="A43" s="54"/>
      <c r="B43" s="54"/>
      <c r="C43" s="55"/>
      <c r="D43" s="55"/>
      <c r="E43" s="55"/>
      <c r="F43" s="55"/>
      <c r="G43" s="55"/>
      <c r="H43" s="55"/>
      <c r="I43" s="55"/>
      <c r="J43" s="54"/>
      <c r="K43" s="54"/>
      <c r="L43" s="54"/>
      <c r="M43" s="54"/>
      <c r="N43" s="456"/>
      <c r="O43" s="498"/>
      <c r="P43" s="498"/>
      <c r="Q43" s="498"/>
    </row>
    <row r="44" spans="1:17" ht="11.25" customHeight="1">
      <c r="A44" s="54"/>
      <c r="B44" s="54"/>
      <c r="C44" s="55"/>
      <c r="D44" s="55"/>
      <c r="E44" s="55"/>
      <c r="F44" s="55"/>
      <c r="G44" s="55"/>
      <c r="H44" s="55"/>
      <c r="I44" s="55"/>
      <c r="J44" s="54"/>
      <c r="K44" s="54"/>
      <c r="L44" s="54"/>
      <c r="M44" s="54"/>
      <c r="N44" s="456"/>
      <c r="O44" s="498"/>
      <c r="P44" s="498"/>
      <c r="Q44" s="498"/>
    </row>
    <row r="45" spans="1:17" ht="11.25" customHeight="1">
      <c r="A45" s="54"/>
      <c r="B45" s="54"/>
      <c r="C45" s="55"/>
      <c r="D45" s="55"/>
      <c r="E45" s="55"/>
      <c r="F45" s="55"/>
      <c r="G45" s="55"/>
      <c r="H45" s="55"/>
      <c r="I45" s="55"/>
      <c r="J45" s="54"/>
      <c r="K45" s="54"/>
      <c r="L45" s="54"/>
      <c r="M45" s="54"/>
      <c r="N45" s="456"/>
      <c r="O45" s="498"/>
      <c r="P45" s="498"/>
      <c r="Q45" s="498"/>
    </row>
    <row r="46" spans="1:17" ht="11.25" customHeight="1">
      <c r="A46" s="54"/>
      <c r="B46" s="54"/>
      <c r="C46" s="54"/>
      <c r="D46" s="54"/>
      <c r="E46" s="54"/>
      <c r="F46" s="54"/>
      <c r="G46" s="54"/>
      <c r="H46" s="54"/>
      <c r="I46" s="54"/>
      <c r="J46" s="54"/>
      <c r="K46" s="54"/>
      <c r="L46" s="54"/>
      <c r="M46" s="54"/>
      <c r="N46" s="456"/>
      <c r="O46" s="498"/>
      <c r="P46" s="498"/>
      <c r="Q46" s="498"/>
    </row>
    <row r="47" spans="1:17" ht="16.5" customHeight="1">
      <c r="A47" s="54"/>
      <c r="B47" s="766" t="str">
        <f>"Total = "&amp;TEXT(ROUND(SUM(O23:O29),2),"0 000,00")&amp;" GWh"</f>
        <v>Total = 4 200,01 GWh</v>
      </c>
      <c r="C47" s="766"/>
      <c r="D47" s="766"/>
      <c r="E47" s="766"/>
      <c r="F47" s="54"/>
      <c r="G47" s="54"/>
      <c r="H47" s="765" t="str">
        <f>"Total = "&amp;TEXT(ROUND(SUM(P23:P29),2),"0 000,00")&amp;" GWh"</f>
        <v>Total = 4 042,55 GWh</v>
      </c>
      <c r="I47" s="765"/>
      <c r="J47" s="765"/>
      <c r="K47" s="765"/>
      <c r="L47" s="54"/>
      <c r="M47" s="54"/>
      <c r="N47" s="456"/>
      <c r="O47" s="498"/>
      <c r="P47" s="498"/>
      <c r="Q47" s="498"/>
    </row>
    <row r="48" spans="1:17" ht="11.25" customHeight="1">
      <c r="H48" s="54"/>
      <c r="I48" s="54"/>
      <c r="J48" s="54"/>
      <c r="K48" s="54"/>
      <c r="L48" s="54"/>
      <c r="M48" s="54"/>
      <c r="N48" s="456"/>
      <c r="O48" s="498"/>
      <c r="P48" s="498"/>
      <c r="Q48" s="498"/>
    </row>
    <row r="49" spans="1:17" ht="11.25" customHeight="1">
      <c r="B49" s="762" t="str">
        <f>"Gráfico 1: Comparación de producción mensual de electricidad en "&amp;Q4&amp;" por tipo de recurso energético"</f>
        <v>Gráfico 1: Comparación de producción mensual de electricidad en julio por tipo de recurso energético</v>
      </c>
      <c r="C49" s="762"/>
      <c r="D49" s="762"/>
      <c r="E49" s="762"/>
      <c r="F49" s="762"/>
      <c r="G49" s="762"/>
      <c r="H49" s="762"/>
      <c r="I49" s="762"/>
      <c r="J49" s="762"/>
      <c r="K49" s="762"/>
      <c r="L49" s="762"/>
      <c r="M49" s="290"/>
      <c r="N49" s="459"/>
      <c r="O49" s="498"/>
      <c r="P49" s="498"/>
      <c r="Q49" s="498"/>
    </row>
    <row r="50" spans="1:17" ht="11.25" customHeight="1">
      <c r="A50" s="54"/>
      <c r="B50" s="54"/>
      <c r="C50" s="45"/>
      <c r="D50" s="45"/>
      <c r="E50" s="54"/>
      <c r="F50" s="54"/>
      <c r="G50" s="54"/>
      <c r="H50" s="54"/>
      <c r="I50" s="54"/>
      <c r="J50" s="54"/>
      <c r="K50" s="54"/>
      <c r="L50" s="54"/>
      <c r="M50" s="54"/>
      <c r="N50" s="456"/>
      <c r="O50" s="498"/>
      <c r="P50" s="498"/>
      <c r="Q50" s="498"/>
    </row>
    <row r="51" spans="1:17" ht="11.25" customHeight="1">
      <c r="A51" s="54"/>
      <c r="B51" s="54"/>
      <c r="C51" s="54"/>
      <c r="D51" s="54"/>
      <c r="E51" s="54"/>
      <c r="F51" s="54"/>
      <c r="G51" s="54"/>
      <c r="H51" s="54"/>
      <c r="I51" s="54"/>
      <c r="J51" s="54"/>
      <c r="K51" s="54"/>
      <c r="L51" s="54"/>
      <c r="M51" s="54"/>
      <c r="N51" s="456"/>
      <c r="O51" s="498"/>
      <c r="P51" s="498"/>
      <c r="Q51" s="498"/>
    </row>
    <row r="52" spans="1:17" ht="11.25" customHeight="1">
      <c r="A52" s="54"/>
      <c r="B52" s="54"/>
      <c r="C52" s="54"/>
      <c r="D52" s="54"/>
      <c r="E52" s="54"/>
      <c r="F52" s="54"/>
      <c r="G52" s="54"/>
      <c r="H52" s="54"/>
      <c r="I52" s="54"/>
      <c r="J52" s="54"/>
      <c r="K52" s="54"/>
      <c r="L52" s="54"/>
      <c r="M52" s="54"/>
      <c r="N52" s="456"/>
      <c r="O52" s="498"/>
      <c r="P52" s="498"/>
      <c r="Q52" s="498"/>
    </row>
    <row r="53" spans="1:17" ht="11.25" customHeight="1">
      <c r="A53" s="54"/>
      <c r="B53" s="54"/>
      <c r="C53" s="54"/>
      <c r="D53" s="54"/>
      <c r="E53" s="54"/>
      <c r="F53" s="54"/>
      <c r="G53" s="54"/>
      <c r="H53" s="54"/>
      <c r="I53" s="54"/>
      <c r="J53" s="54"/>
      <c r="K53" s="54"/>
      <c r="L53" s="54"/>
      <c r="M53" s="54"/>
      <c r="N53" s="456"/>
      <c r="O53" s="498"/>
      <c r="P53" s="498"/>
      <c r="Q53" s="498"/>
    </row>
    <row r="54" spans="1:17" ht="11.25" customHeight="1">
      <c r="A54" s="9"/>
      <c r="B54" s="56"/>
      <c r="C54" s="56"/>
      <c r="D54" s="56"/>
      <c r="E54" s="56"/>
      <c r="F54" s="56"/>
      <c r="G54" s="56"/>
      <c r="H54" s="56"/>
      <c r="I54" s="56"/>
      <c r="J54" s="56"/>
      <c r="K54" s="57"/>
      <c r="L54" s="58"/>
    </row>
    <row r="55" spans="1:17" ht="11.25" customHeight="1">
      <c r="A55" s="9"/>
      <c r="B55" s="56"/>
      <c r="C55" s="56"/>
      <c r="D55" s="56"/>
      <c r="E55" s="56"/>
      <c r="F55" s="56"/>
      <c r="G55" s="56"/>
      <c r="H55" s="56"/>
      <c r="I55" s="56"/>
      <c r="J55" s="56"/>
      <c r="K55" s="57"/>
      <c r="L55" s="58"/>
    </row>
    <row r="56" spans="1:17" ht="11.25" customHeight="1">
      <c r="A56" s="59"/>
      <c r="B56" s="59"/>
      <c r="C56" s="59"/>
      <c r="D56" s="59"/>
      <c r="E56" s="59"/>
      <c r="F56" s="59"/>
      <c r="G56" s="59"/>
      <c r="H56" s="59"/>
      <c r="I56" s="59"/>
      <c r="J56" s="59"/>
      <c r="K56" s="59"/>
      <c r="L56" s="59"/>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4">
      <c r="A61" s="59"/>
      <c r="B61" s="59"/>
      <c r="C61" s="59"/>
      <c r="D61" s="59"/>
      <c r="E61" s="59"/>
      <c r="F61" s="59"/>
      <c r="G61" s="59"/>
      <c r="H61" s="59"/>
      <c r="I61" s="59"/>
      <c r="J61" s="59"/>
      <c r="K61" s="59"/>
      <c r="L61" s="59"/>
    </row>
    <row r="62" spans="1:17" ht="11.4">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sheetData>
  <mergeCells count="11">
    <mergeCell ref="A1:M1"/>
    <mergeCell ref="B49:L49"/>
    <mergeCell ref="C20:D20"/>
    <mergeCell ref="H47:K47"/>
    <mergeCell ref="B47:E47"/>
    <mergeCell ref="I20:K20"/>
    <mergeCell ref="B18:M18"/>
    <mergeCell ref="B12:M12"/>
    <mergeCell ref="B14:M14"/>
    <mergeCell ref="B16:M16"/>
    <mergeCell ref="C3:J3"/>
  </mergeCells>
  <pageMargins left="0.5803571428571429" right="0.38690476190476192" top="0.83333333333333337" bottom="0.64950980392156865" header="0.3" footer="0.3"/>
  <pageSetup scale="96" orientation="portrait" r:id="rId1"/>
  <headerFooter>
    <oddHeader>&amp;R&amp;7Informe de la Operación Mensual - Julio 2018
INFSGI-MES-07-2018
14/08/2018
Versión: 01</oddHeader>
    <oddFooter>&amp;LCOES SINAC, 2018&amp;C1&amp;RDirección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0917-C62A-4DA6-967C-AD9CC3FC7C9B}">
  <sheetPr>
    <tabColor theme="4"/>
  </sheetPr>
  <dimension ref="A1:I148"/>
  <sheetViews>
    <sheetView showGridLines="0" view="pageBreakPreview" zoomScale="145" zoomScaleNormal="100" zoomScaleSheetLayoutView="145" zoomScalePageLayoutView="145" workbookViewId="0">
      <selection activeCell="Q29" sqref="Q29"/>
    </sheetView>
  </sheetViews>
  <sheetFormatPr baseColWidth="10" defaultColWidth="9.28515625" defaultRowHeight="9.6"/>
  <cols>
    <col min="1" max="1" width="16.140625" style="437" customWidth="1"/>
    <col min="2" max="2" width="19.7109375" style="437" customWidth="1"/>
    <col min="3" max="3" width="12.140625" style="437" bestFit="1" customWidth="1"/>
    <col min="4" max="4" width="47.140625" style="437" customWidth="1"/>
    <col min="5" max="5" width="11.42578125" style="437" customWidth="1"/>
    <col min="6" max="6" width="10.42578125" style="437" customWidth="1"/>
    <col min="7" max="8" width="9.28515625" style="437" customWidth="1"/>
    <col min="9" max="16384" width="9.28515625" style="437"/>
  </cols>
  <sheetData>
    <row r="1" spans="1:9" ht="30" customHeight="1">
      <c r="A1" s="445" t="s">
        <v>286</v>
      </c>
      <c r="B1" s="446" t="s">
        <v>467</v>
      </c>
      <c r="C1" s="445" t="s">
        <v>456</v>
      </c>
      <c r="D1" s="447" t="s">
        <v>468</v>
      </c>
      <c r="E1" s="448" t="s">
        <v>469</v>
      </c>
      <c r="F1" s="448" t="s">
        <v>470</v>
      </c>
      <c r="G1" s="406"/>
      <c r="H1" s="438"/>
      <c r="I1" s="402"/>
    </row>
    <row r="2" spans="1:9" ht="87.75" customHeight="1">
      <c r="A2" s="449" t="s">
        <v>475</v>
      </c>
      <c r="B2" s="449" t="s">
        <v>659</v>
      </c>
      <c r="C2" s="450">
        <v>43308.962500000001</v>
      </c>
      <c r="D2" s="572" t="s">
        <v>660</v>
      </c>
      <c r="E2" s="451">
        <v>4.82</v>
      </c>
      <c r="F2" s="451"/>
      <c r="G2" s="405"/>
      <c r="H2" s="405"/>
      <c r="I2" s="443"/>
    </row>
    <row r="3" spans="1:9" ht="68.25" customHeight="1">
      <c r="A3" s="449" t="s">
        <v>661</v>
      </c>
      <c r="B3" s="449" t="s">
        <v>662</v>
      </c>
      <c r="C3" s="450">
        <v>43309.089583333334</v>
      </c>
      <c r="D3" s="572" t="s">
        <v>663</v>
      </c>
      <c r="E3" s="451">
        <v>5</v>
      </c>
      <c r="F3" s="451"/>
      <c r="G3" s="405"/>
      <c r="H3" s="405"/>
      <c r="I3" s="441"/>
    </row>
    <row r="4" spans="1:9" ht="96" customHeight="1">
      <c r="A4" s="449" t="s">
        <v>95</v>
      </c>
      <c r="B4" s="449" t="s">
        <v>664</v>
      </c>
      <c r="C4" s="450">
        <v>43309.135416666664</v>
      </c>
      <c r="D4" s="572" t="s">
        <v>665</v>
      </c>
      <c r="E4" s="451">
        <v>37</v>
      </c>
      <c r="F4" s="451"/>
      <c r="G4" s="405"/>
      <c r="H4" s="405"/>
      <c r="I4" s="441"/>
    </row>
    <row r="5" spans="1:9" ht="84" customHeight="1">
      <c r="A5" s="449" t="s">
        <v>562</v>
      </c>
      <c r="B5" s="449" t="s">
        <v>563</v>
      </c>
      <c r="C5" s="450">
        <v>43310.556944444441</v>
      </c>
      <c r="D5" s="572" t="s">
        <v>666</v>
      </c>
      <c r="E5" s="451">
        <v>9.25</v>
      </c>
      <c r="F5" s="451"/>
      <c r="G5" s="405"/>
      <c r="H5" s="405"/>
      <c r="I5" s="441"/>
    </row>
    <row r="6" spans="1:9" ht="88.5" customHeight="1">
      <c r="A6" s="449" t="s">
        <v>562</v>
      </c>
      <c r="B6" s="449" t="s">
        <v>563</v>
      </c>
      <c r="C6" s="450">
        <v>43310.628472222219</v>
      </c>
      <c r="D6" s="572" t="s">
        <v>667</v>
      </c>
      <c r="E6" s="451">
        <v>8.01</v>
      </c>
      <c r="F6" s="451"/>
      <c r="G6" s="405"/>
      <c r="H6" s="405"/>
      <c r="I6" s="441"/>
    </row>
    <row r="7" spans="1:9" ht="68.25" customHeight="1">
      <c r="A7" s="449" t="s">
        <v>472</v>
      </c>
      <c r="B7" s="449" t="s">
        <v>473</v>
      </c>
      <c r="C7" s="450">
        <v>43311.577777777777</v>
      </c>
      <c r="D7" s="572" t="s">
        <v>668</v>
      </c>
      <c r="E7" s="451">
        <v>5.38</v>
      </c>
      <c r="F7" s="451"/>
      <c r="G7" s="405"/>
      <c r="H7" s="411"/>
      <c r="I7" s="441"/>
    </row>
    <row r="8" spans="1:9" ht="68.25" customHeight="1">
      <c r="A8" s="449" t="s">
        <v>472</v>
      </c>
      <c r="B8" s="449" t="s">
        <v>473</v>
      </c>
      <c r="C8" s="450">
        <v>43311.654166666667</v>
      </c>
      <c r="D8" s="572" t="s">
        <v>669</v>
      </c>
      <c r="E8" s="451">
        <v>2.4</v>
      </c>
      <c r="F8" s="451"/>
    </row>
    <row r="9" spans="1:9" ht="76.5" customHeight="1">
      <c r="A9" s="449" t="s">
        <v>616</v>
      </c>
      <c r="B9" s="449" t="s">
        <v>670</v>
      </c>
      <c r="C9" s="450">
        <v>43312.034722222219</v>
      </c>
      <c r="D9" s="572" t="s">
        <v>671</v>
      </c>
      <c r="E9" s="451">
        <v>4.9000000000000004</v>
      </c>
      <c r="F9" s="451"/>
    </row>
    <row r="10" spans="1:9">
      <c r="E10" s="444"/>
      <c r="F10" s="444"/>
    </row>
    <row r="11" spans="1:9">
      <c r="E11" s="444"/>
      <c r="F11" s="444"/>
    </row>
    <row r="12" spans="1:9">
      <c r="E12" s="444"/>
      <c r="F12" s="444"/>
    </row>
    <row r="13" spans="1:9">
      <c r="E13" s="444"/>
      <c r="F13" s="444"/>
    </row>
    <row r="14" spans="1:9">
      <c r="E14" s="444"/>
      <c r="F14" s="444"/>
    </row>
    <row r="15" spans="1:9">
      <c r="E15" s="444"/>
      <c r="F15" s="444"/>
    </row>
    <row r="16" spans="1:9">
      <c r="E16" s="444"/>
      <c r="F16" s="444"/>
    </row>
    <row r="17" spans="5:6">
      <c r="E17" s="444"/>
      <c r="F17" s="444"/>
    </row>
    <row r="18" spans="5:6">
      <c r="E18" s="444"/>
      <c r="F18" s="444"/>
    </row>
    <row r="19" spans="5:6">
      <c r="E19" s="444"/>
      <c r="F19" s="444"/>
    </row>
    <row r="20" spans="5:6">
      <c r="E20" s="444"/>
      <c r="F20" s="444"/>
    </row>
    <row r="21" spans="5:6">
      <c r="E21" s="444"/>
      <c r="F21" s="444"/>
    </row>
    <row r="22" spans="5:6">
      <c r="E22" s="444"/>
      <c r="F22" s="444"/>
    </row>
    <row r="23" spans="5:6">
      <c r="E23" s="444"/>
      <c r="F23" s="444"/>
    </row>
    <row r="24" spans="5:6">
      <c r="E24" s="444"/>
      <c r="F24" s="444"/>
    </row>
    <row r="25" spans="5:6">
      <c r="E25" s="444"/>
      <c r="F25" s="444"/>
    </row>
    <row r="26" spans="5:6">
      <c r="E26" s="444"/>
      <c r="F26" s="444"/>
    </row>
    <row r="27" spans="5:6">
      <c r="E27" s="444"/>
      <c r="F27" s="444"/>
    </row>
    <row r="28" spans="5:6">
      <c r="E28" s="444"/>
      <c r="F28" s="444"/>
    </row>
    <row r="29" spans="5:6">
      <c r="E29" s="444"/>
      <c r="F29" s="444"/>
    </row>
    <row r="30" spans="5:6">
      <c r="E30" s="444"/>
      <c r="F30" s="444"/>
    </row>
    <row r="31" spans="5:6">
      <c r="E31" s="444"/>
      <c r="F31" s="444"/>
    </row>
    <row r="32" spans="5:6">
      <c r="E32" s="444"/>
      <c r="F32" s="444"/>
    </row>
    <row r="33" spans="5:6">
      <c r="E33" s="444"/>
      <c r="F33" s="444"/>
    </row>
    <row r="34" spans="5:6">
      <c r="E34" s="444"/>
      <c r="F34" s="444"/>
    </row>
    <row r="35" spans="5:6">
      <c r="E35" s="444"/>
      <c r="F35" s="444"/>
    </row>
    <row r="36" spans="5:6">
      <c r="E36" s="444"/>
      <c r="F36" s="444"/>
    </row>
    <row r="37" spans="5:6">
      <c r="E37" s="444"/>
      <c r="F37" s="444"/>
    </row>
    <row r="38" spans="5:6">
      <c r="E38" s="444"/>
      <c r="F38" s="444"/>
    </row>
    <row r="39" spans="5:6">
      <c r="E39" s="444"/>
      <c r="F39" s="444"/>
    </row>
    <row r="40" spans="5:6">
      <c r="E40" s="444"/>
      <c r="F40" s="444"/>
    </row>
    <row r="41" spans="5:6">
      <c r="E41" s="444"/>
      <c r="F41" s="444"/>
    </row>
    <row r="42" spans="5:6">
      <c r="E42" s="444"/>
      <c r="F42" s="444"/>
    </row>
    <row r="43" spans="5:6">
      <c r="E43" s="444"/>
      <c r="F43" s="444"/>
    </row>
    <row r="44" spans="5:6">
      <c r="E44" s="444"/>
      <c r="F44" s="444"/>
    </row>
    <row r="45" spans="5:6">
      <c r="E45" s="444"/>
      <c r="F45" s="444"/>
    </row>
    <row r="46" spans="5:6">
      <c r="E46" s="444"/>
      <c r="F46" s="444"/>
    </row>
    <row r="47" spans="5:6">
      <c r="E47" s="444"/>
      <c r="F47" s="444"/>
    </row>
    <row r="48" spans="5:6">
      <c r="E48" s="444"/>
      <c r="F48" s="444"/>
    </row>
    <row r="49" spans="5:6">
      <c r="E49" s="444"/>
      <c r="F49" s="444"/>
    </row>
    <row r="50" spans="5:6">
      <c r="E50" s="444"/>
      <c r="F50" s="444"/>
    </row>
    <row r="51" spans="5:6">
      <c r="E51" s="444"/>
      <c r="F51" s="444"/>
    </row>
    <row r="52" spans="5:6">
      <c r="E52" s="444"/>
      <c r="F52" s="444"/>
    </row>
    <row r="53" spans="5:6">
      <c r="E53" s="444"/>
      <c r="F53" s="444"/>
    </row>
    <row r="54" spans="5:6">
      <c r="E54" s="444"/>
      <c r="F54" s="444"/>
    </row>
    <row r="55" spans="5:6">
      <c r="E55" s="444"/>
      <c r="F55" s="444"/>
    </row>
    <row r="56" spans="5:6">
      <c r="E56" s="444"/>
      <c r="F56" s="444"/>
    </row>
    <row r="57" spans="5:6">
      <c r="E57" s="444"/>
      <c r="F57" s="444"/>
    </row>
    <row r="58" spans="5:6">
      <c r="E58" s="444"/>
      <c r="F58" s="444"/>
    </row>
    <row r="59" spans="5:6">
      <c r="E59" s="444"/>
      <c r="F59" s="444"/>
    </row>
    <row r="60" spans="5:6">
      <c r="E60" s="444"/>
      <c r="F60" s="444"/>
    </row>
    <row r="61" spans="5:6">
      <c r="E61" s="444"/>
      <c r="F61" s="444"/>
    </row>
    <row r="62" spans="5:6">
      <c r="E62" s="444"/>
      <c r="F62" s="444"/>
    </row>
    <row r="63" spans="5:6">
      <c r="E63" s="444"/>
      <c r="F63" s="444"/>
    </row>
    <row r="64" spans="5:6">
      <c r="E64" s="444"/>
      <c r="F64" s="444"/>
    </row>
    <row r="65" spans="5:6">
      <c r="E65" s="444"/>
      <c r="F65" s="444"/>
    </row>
    <row r="66" spans="5:6">
      <c r="E66" s="444"/>
      <c r="F66" s="444"/>
    </row>
    <row r="67" spans="5:6">
      <c r="E67" s="444"/>
      <c r="F67" s="444"/>
    </row>
    <row r="68" spans="5:6">
      <c r="E68" s="444"/>
      <c r="F68" s="444"/>
    </row>
    <row r="69" spans="5:6">
      <c r="E69" s="444"/>
      <c r="F69" s="444"/>
    </row>
    <row r="70" spans="5:6">
      <c r="E70" s="444"/>
      <c r="F70" s="444"/>
    </row>
    <row r="71" spans="5:6">
      <c r="E71" s="444"/>
      <c r="F71" s="444"/>
    </row>
    <row r="72" spans="5:6">
      <c r="E72" s="444"/>
      <c r="F72" s="444"/>
    </row>
    <row r="73" spans="5:6">
      <c r="E73" s="444"/>
      <c r="F73" s="444"/>
    </row>
    <row r="74" spans="5:6">
      <c r="E74" s="444"/>
      <c r="F74" s="444"/>
    </row>
    <row r="75" spans="5:6">
      <c r="E75" s="444"/>
      <c r="F75" s="444"/>
    </row>
    <row r="76" spans="5:6">
      <c r="E76" s="444"/>
      <c r="F76" s="444"/>
    </row>
    <row r="77" spans="5:6">
      <c r="E77" s="444"/>
      <c r="F77" s="444"/>
    </row>
    <row r="78" spans="5:6">
      <c r="E78" s="444"/>
      <c r="F78" s="444"/>
    </row>
    <row r="79" spans="5:6">
      <c r="E79" s="444"/>
      <c r="F79" s="444"/>
    </row>
    <row r="80" spans="5:6">
      <c r="E80" s="444"/>
      <c r="F80" s="444"/>
    </row>
    <row r="81" spans="5:6">
      <c r="E81" s="444"/>
      <c r="F81" s="444"/>
    </row>
    <row r="82" spans="5:6">
      <c r="E82" s="444"/>
      <c r="F82" s="444"/>
    </row>
    <row r="83" spans="5:6">
      <c r="E83" s="444"/>
      <c r="F83" s="444"/>
    </row>
    <row r="84" spans="5:6">
      <c r="E84" s="444"/>
      <c r="F84" s="444"/>
    </row>
    <row r="85" spans="5:6">
      <c r="E85" s="444"/>
      <c r="F85" s="444"/>
    </row>
    <row r="86" spans="5:6">
      <c r="E86" s="444"/>
      <c r="F86" s="444"/>
    </row>
    <row r="87" spans="5:6">
      <c r="E87" s="444"/>
      <c r="F87" s="444"/>
    </row>
    <row r="88" spans="5:6">
      <c r="E88" s="444"/>
      <c r="F88" s="444"/>
    </row>
    <row r="89" spans="5:6">
      <c r="E89" s="444"/>
      <c r="F89" s="444"/>
    </row>
    <row r="90" spans="5:6">
      <c r="E90" s="444"/>
      <c r="F90" s="444"/>
    </row>
    <row r="91" spans="5:6">
      <c r="E91" s="444"/>
      <c r="F91" s="444"/>
    </row>
    <row r="92" spans="5:6">
      <c r="E92" s="444"/>
      <c r="F92" s="444"/>
    </row>
    <row r="93" spans="5:6">
      <c r="E93" s="444"/>
      <c r="F93" s="444"/>
    </row>
    <row r="94" spans="5:6">
      <c r="E94" s="444"/>
      <c r="F94" s="444"/>
    </row>
    <row r="95" spans="5:6">
      <c r="E95" s="444"/>
      <c r="F95" s="444"/>
    </row>
    <row r="96" spans="5:6">
      <c r="E96" s="444"/>
      <c r="F96" s="444"/>
    </row>
    <row r="97" spans="5:6">
      <c r="E97" s="444"/>
      <c r="F97" s="444"/>
    </row>
    <row r="98" spans="5:6">
      <c r="E98" s="444"/>
      <c r="F98" s="444"/>
    </row>
    <row r="99" spans="5:6">
      <c r="E99" s="444"/>
      <c r="F99" s="444"/>
    </row>
    <row r="100" spans="5:6">
      <c r="E100" s="444"/>
      <c r="F100" s="444"/>
    </row>
    <row r="101" spans="5:6">
      <c r="E101" s="444"/>
      <c r="F101" s="444"/>
    </row>
    <row r="102" spans="5:6">
      <c r="E102" s="444"/>
      <c r="F102" s="444"/>
    </row>
    <row r="103" spans="5:6">
      <c r="E103" s="444"/>
      <c r="F103" s="444"/>
    </row>
    <row r="104" spans="5:6">
      <c r="E104" s="444"/>
      <c r="F104" s="444"/>
    </row>
    <row r="105" spans="5:6">
      <c r="E105" s="444"/>
      <c r="F105" s="444"/>
    </row>
    <row r="106" spans="5:6">
      <c r="E106" s="444"/>
      <c r="F106" s="444"/>
    </row>
    <row r="107" spans="5:6">
      <c r="E107" s="444"/>
      <c r="F107" s="444"/>
    </row>
    <row r="108" spans="5:6">
      <c r="E108" s="444"/>
      <c r="F108" s="444"/>
    </row>
    <row r="109" spans="5:6">
      <c r="E109" s="444"/>
      <c r="F109" s="444"/>
    </row>
    <row r="110" spans="5:6">
      <c r="E110" s="444"/>
      <c r="F110" s="444"/>
    </row>
    <row r="111" spans="5:6">
      <c r="E111" s="444"/>
      <c r="F111" s="444"/>
    </row>
    <row r="112" spans="5:6">
      <c r="E112" s="444"/>
      <c r="F112" s="444"/>
    </row>
    <row r="113" spans="5:6">
      <c r="E113" s="444"/>
      <c r="F113" s="444"/>
    </row>
    <row r="114" spans="5:6">
      <c r="E114" s="444"/>
      <c r="F114" s="444"/>
    </row>
    <row r="115" spans="5:6">
      <c r="E115" s="444"/>
      <c r="F115" s="444"/>
    </row>
    <row r="116" spans="5:6">
      <c r="E116" s="444"/>
      <c r="F116" s="444"/>
    </row>
    <row r="117" spans="5:6">
      <c r="E117" s="444"/>
      <c r="F117" s="444"/>
    </row>
    <row r="118" spans="5:6">
      <c r="E118" s="444"/>
      <c r="F118" s="444"/>
    </row>
    <row r="119" spans="5:6">
      <c r="E119" s="444"/>
      <c r="F119" s="444"/>
    </row>
    <row r="120" spans="5:6">
      <c r="E120" s="444"/>
      <c r="F120" s="444"/>
    </row>
    <row r="121" spans="5:6">
      <c r="E121" s="444"/>
      <c r="F121" s="444"/>
    </row>
    <row r="122" spans="5:6">
      <c r="E122" s="444"/>
      <c r="F122" s="444"/>
    </row>
    <row r="123" spans="5:6">
      <c r="E123" s="444"/>
      <c r="F123" s="444"/>
    </row>
    <row r="124" spans="5:6">
      <c r="E124" s="444"/>
      <c r="F124" s="444"/>
    </row>
    <row r="125" spans="5:6">
      <c r="E125" s="444"/>
      <c r="F125" s="444"/>
    </row>
    <row r="126" spans="5:6">
      <c r="E126" s="444"/>
      <c r="F126" s="444"/>
    </row>
    <row r="127" spans="5:6">
      <c r="E127" s="444"/>
      <c r="F127" s="444"/>
    </row>
    <row r="128" spans="5:6">
      <c r="E128" s="444"/>
      <c r="F128" s="444"/>
    </row>
    <row r="129" spans="5:6">
      <c r="E129" s="444"/>
      <c r="F129" s="444"/>
    </row>
    <row r="130" spans="5:6">
      <c r="E130" s="444"/>
      <c r="F130" s="444"/>
    </row>
    <row r="131" spans="5:6">
      <c r="E131" s="444"/>
      <c r="F131" s="444"/>
    </row>
    <row r="132" spans="5:6">
      <c r="E132" s="444"/>
      <c r="F132" s="444"/>
    </row>
    <row r="133" spans="5:6">
      <c r="E133" s="444"/>
      <c r="F133" s="444"/>
    </row>
    <row r="134" spans="5:6">
      <c r="E134" s="444"/>
      <c r="F134" s="444"/>
    </row>
    <row r="135" spans="5:6">
      <c r="E135" s="444"/>
      <c r="F135" s="444"/>
    </row>
    <row r="136" spans="5:6">
      <c r="E136" s="444"/>
      <c r="F136" s="444"/>
    </row>
    <row r="137" spans="5:6">
      <c r="E137" s="444"/>
      <c r="F137" s="444"/>
    </row>
    <row r="138" spans="5:6">
      <c r="E138" s="444"/>
      <c r="F138" s="444"/>
    </row>
    <row r="139" spans="5:6">
      <c r="E139" s="444"/>
      <c r="F139" s="444"/>
    </row>
    <row r="140" spans="5:6">
      <c r="E140" s="444"/>
      <c r="F140" s="444"/>
    </row>
    <row r="141" spans="5:6">
      <c r="E141" s="444"/>
      <c r="F141" s="444"/>
    </row>
    <row r="142" spans="5:6">
      <c r="E142" s="444"/>
      <c r="F142" s="444"/>
    </row>
    <row r="143" spans="5:6">
      <c r="E143" s="444"/>
      <c r="F143" s="444"/>
    </row>
    <row r="144" spans="5:6">
      <c r="E144" s="444"/>
      <c r="F144" s="444"/>
    </row>
    <row r="145" spans="5:6">
      <c r="E145" s="444"/>
      <c r="F145" s="444"/>
    </row>
    <row r="146" spans="5:6">
      <c r="E146" s="444"/>
      <c r="F146" s="444"/>
    </row>
    <row r="147" spans="5:6">
      <c r="E147" s="444"/>
      <c r="F147" s="444"/>
    </row>
    <row r="148" spans="5:6">
      <c r="E148" s="444"/>
      <c r="F148" s="444"/>
    </row>
  </sheetData>
  <pageMargins left="0.7" right="0.51432291666666663" top="0.86956521739130432" bottom="0.61458333333333337" header="0.3" footer="0.3"/>
  <pageSetup orientation="portrait" r:id="rId1"/>
  <headerFooter>
    <oddHeader>&amp;R&amp;7Informe de la Operación Mensual - Julio 2018
INFSGI-MES-07-2018
14/08/2018
Versión: 01</oddHeader>
    <oddFooter>&amp;L&amp;7COES SINAC, 2018
&amp;C28&amp;R&amp;7Dirección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0DEA-92F4-4DE2-8E70-52B58FC201E2}">
  <dimension ref="A1:I149"/>
  <sheetViews>
    <sheetView showGridLines="0" view="pageBreakPreview" zoomScale="145" zoomScaleNormal="100" zoomScaleSheetLayoutView="145" zoomScalePageLayoutView="130" workbookViewId="0">
      <selection activeCell="C2" sqref="C2"/>
    </sheetView>
  </sheetViews>
  <sheetFormatPr baseColWidth="10" defaultColWidth="9.28515625" defaultRowHeight="9.6"/>
  <cols>
    <col min="1" max="1" width="16.140625" style="437" customWidth="1"/>
    <col min="2" max="2" width="19.7109375" style="437" customWidth="1"/>
    <col min="3" max="3" width="12.140625" style="437" bestFit="1" customWidth="1"/>
    <col min="4" max="4" width="47.140625" style="437" customWidth="1"/>
    <col min="5" max="5" width="11.42578125" style="437" customWidth="1"/>
    <col min="6" max="6" width="10.42578125" style="437" customWidth="1"/>
    <col min="7" max="8" width="9.28515625" style="437" customWidth="1"/>
    <col min="9" max="16384" width="9.28515625" style="437"/>
  </cols>
  <sheetData>
    <row r="1" spans="1:9" ht="30" customHeight="1">
      <c r="A1" s="445" t="s">
        <v>286</v>
      </c>
      <c r="B1" s="446" t="s">
        <v>467</v>
      </c>
      <c r="C1" s="445" t="s">
        <v>456</v>
      </c>
      <c r="D1" s="447" t="s">
        <v>468</v>
      </c>
      <c r="E1" s="448" t="s">
        <v>469</v>
      </c>
      <c r="F1" s="448" t="s">
        <v>470</v>
      </c>
      <c r="G1" s="406"/>
      <c r="H1" s="438"/>
      <c r="I1" s="402"/>
    </row>
    <row r="2" spans="1:9" ht="254.25" customHeight="1">
      <c r="A2" s="449"/>
      <c r="B2" s="449"/>
      <c r="C2" s="450"/>
      <c r="D2" s="572"/>
      <c r="E2" s="451"/>
      <c r="F2" s="451"/>
      <c r="G2" s="405"/>
      <c r="H2" s="411"/>
      <c r="I2" s="441"/>
    </row>
    <row r="3" spans="1:9" ht="112.5" customHeight="1">
      <c r="A3" s="449"/>
      <c r="B3" s="449"/>
      <c r="C3" s="450"/>
      <c r="D3" s="572"/>
      <c r="E3" s="451"/>
      <c r="F3" s="451"/>
      <c r="G3" s="405"/>
      <c r="H3" s="411"/>
      <c r="I3" s="441"/>
    </row>
    <row r="4" spans="1:9" ht="78.75" customHeight="1">
      <c r="A4" s="449"/>
      <c r="B4" s="449"/>
      <c r="C4" s="450"/>
      <c r="D4" s="572"/>
      <c r="E4" s="451"/>
      <c r="F4" s="451"/>
      <c r="G4" s="405"/>
      <c r="H4" s="411"/>
      <c r="I4" s="441"/>
    </row>
    <row r="5" spans="1:9" ht="85.5" customHeight="1">
      <c r="A5" s="449"/>
      <c r="B5" s="449"/>
      <c r="C5" s="450"/>
      <c r="D5" s="572"/>
      <c r="E5" s="451"/>
      <c r="F5" s="451"/>
      <c r="G5" s="405"/>
      <c r="H5" s="411"/>
      <c r="I5" s="441"/>
    </row>
    <row r="6" spans="1:9" ht="70.5" customHeight="1">
      <c r="A6" s="723"/>
      <c r="B6" s="723"/>
      <c r="C6" s="724"/>
      <c r="D6" s="725"/>
      <c r="E6" s="726"/>
      <c r="F6" s="726"/>
      <c r="G6" s="405"/>
      <c r="H6" s="411"/>
      <c r="I6" s="444"/>
    </row>
    <row r="7" spans="1:9" ht="106.5" customHeight="1">
      <c r="A7" s="631"/>
      <c r="B7" s="631"/>
      <c r="C7" s="632"/>
      <c r="D7" s="633"/>
      <c r="E7" s="634"/>
      <c r="F7" s="634"/>
      <c r="G7" s="405"/>
      <c r="H7" s="411"/>
      <c r="I7" s="441"/>
    </row>
    <row r="8" spans="1:9" ht="107.25" customHeight="1">
      <c r="A8" s="631"/>
      <c r="B8" s="631"/>
      <c r="C8" s="632"/>
      <c r="D8" s="633"/>
      <c r="E8" s="634"/>
      <c r="F8" s="634"/>
    </row>
    <row r="9" spans="1:9" ht="83.25" customHeight="1">
      <c r="A9" s="631"/>
      <c r="B9" s="631"/>
      <c r="C9" s="632"/>
      <c r="D9" s="633"/>
      <c r="E9" s="634"/>
      <c r="F9" s="634"/>
    </row>
    <row r="10" spans="1:9">
      <c r="E10" s="444"/>
      <c r="F10" s="444"/>
    </row>
    <row r="11" spans="1:9">
      <c r="E11" s="444"/>
      <c r="F11" s="444"/>
    </row>
    <row r="12" spans="1:9">
      <c r="E12" s="444"/>
      <c r="F12" s="444"/>
    </row>
    <row r="13" spans="1:9">
      <c r="E13" s="444"/>
      <c r="F13" s="444"/>
    </row>
    <row r="14" spans="1:9">
      <c r="E14" s="444"/>
      <c r="F14" s="444"/>
    </row>
    <row r="15" spans="1:9">
      <c r="E15" s="444"/>
      <c r="F15" s="444"/>
    </row>
    <row r="16" spans="1:9">
      <c r="E16" s="444"/>
      <c r="F16" s="444"/>
    </row>
    <row r="17" spans="5:6">
      <c r="E17" s="444"/>
      <c r="F17" s="444"/>
    </row>
    <row r="18" spans="5:6">
      <c r="E18" s="444"/>
      <c r="F18" s="444"/>
    </row>
    <row r="19" spans="5:6">
      <c r="E19" s="444"/>
      <c r="F19" s="444"/>
    </row>
    <row r="20" spans="5:6">
      <c r="E20" s="444"/>
      <c r="F20" s="444"/>
    </row>
    <row r="21" spans="5:6">
      <c r="E21" s="444"/>
      <c r="F21" s="444"/>
    </row>
    <row r="22" spans="5:6">
      <c r="E22" s="444"/>
      <c r="F22" s="444"/>
    </row>
    <row r="23" spans="5:6">
      <c r="E23" s="444"/>
      <c r="F23" s="444"/>
    </row>
    <row r="24" spans="5:6">
      <c r="E24" s="444"/>
      <c r="F24" s="444"/>
    </row>
    <row r="25" spans="5:6">
      <c r="E25" s="444"/>
      <c r="F25" s="444"/>
    </row>
    <row r="26" spans="5:6">
      <c r="E26" s="444"/>
      <c r="F26" s="444"/>
    </row>
    <row r="27" spans="5:6">
      <c r="E27" s="444"/>
      <c r="F27" s="444"/>
    </row>
    <row r="28" spans="5:6">
      <c r="E28" s="444"/>
      <c r="F28" s="444"/>
    </row>
    <row r="29" spans="5:6">
      <c r="E29" s="444"/>
      <c r="F29" s="444"/>
    </row>
    <row r="30" spans="5:6">
      <c r="E30" s="444"/>
      <c r="F30" s="444"/>
    </row>
    <row r="31" spans="5:6">
      <c r="E31" s="444"/>
      <c r="F31" s="444"/>
    </row>
    <row r="32" spans="5:6">
      <c r="E32" s="444"/>
      <c r="F32" s="444"/>
    </row>
    <row r="33" spans="5:6">
      <c r="E33" s="444"/>
      <c r="F33" s="444"/>
    </row>
    <row r="34" spans="5:6">
      <c r="E34" s="444"/>
      <c r="F34" s="444"/>
    </row>
    <row r="35" spans="5:6">
      <c r="E35" s="444"/>
      <c r="F35" s="444"/>
    </row>
    <row r="36" spans="5:6">
      <c r="E36" s="444"/>
      <c r="F36" s="444"/>
    </row>
    <row r="37" spans="5:6">
      <c r="E37" s="444"/>
      <c r="F37" s="444"/>
    </row>
    <row r="38" spans="5:6">
      <c r="E38" s="444"/>
      <c r="F38" s="444"/>
    </row>
    <row r="39" spans="5:6">
      <c r="E39" s="444"/>
      <c r="F39" s="444"/>
    </row>
    <row r="40" spans="5:6">
      <c r="E40" s="444"/>
      <c r="F40" s="444"/>
    </row>
    <row r="41" spans="5:6">
      <c r="E41" s="444"/>
      <c r="F41" s="444"/>
    </row>
    <row r="42" spans="5:6">
      <c r="E42" s="444"/>
      <c r="F42" s="444"/>
    </row>
    <row r="43" spans="5:6">
      <c r="E43" s="444"/>
      <c r="F43" s="444"/>
    </row>
    <row r="44" spans="5:6">
      <c r="E44" s="444"/>
      <c r="F44" s="444"/>
    </row>
    <row r="45" spans="5:6">
      <c r="E45" s="444"/>
      <c r="F45" s="444"/>
    </row>
    <row r="46" spans="5:6">
      <c r="E46" s="444"/>
      <c r="F46" s="444"/>
    </row>
    <row r="47" spans="5:6">
      <c r="E47" s="444"/>
      <c r="F47" s="444"/>
    </row>
    <row r="48" spans="5:6">
      <c r="E48" s="444"/>
      <c r="F48" s="444"/>
    </row>
    <row r="49" spans="5:6">
      <c r="E49" s="444"/>
      <c r="F49" s="444"/>
    </row>
    <row r="50" spans="5:6">
      <c r="E50" s="444"/>
      <c r="F50" s="444"/>
    </row>
    <row r="51" spans="5:6">
      <c r="E51" s="444"/>
      <c r="F51" s="444"/>
    </row>
    <row r="52" spans="5:6">
      <c r="E52" s="444"/>
      <c r="F52" s="444"/>
    </row>
    <row r="53" spans="5:6">
      <c r="E53" s="444"/>
      <c r="F53" s="444"/>
    </row>
    <row r="54" spans="5:6">
      <c r="E54" s="444"/>
      <c r="F54" s="444"/>
    </row>
    <row r="55" spans="5:6">
      <c r="E55" s="444"/>
      <c r="F55" s="444"/>
    </row>
    <row r="56" spans="5:6">
      <c r="E56" s="444"/>
      <c r="F56" s="444"/>
    </row>
    <row r="57" spans="5:6">
      <c r="E57" s="444"/>
      <c r="F57" s="444"/>
    </row>
    <row r="58" spans="5:6">
      <c r="E58" s="444"/>
      <c r="F58" s="444"/>
    </row>
    <row r="59" spans="5:6">
      <c r="E59" s="444"/>
      <c r="F59" s="444"/>
    </row>
    <row r="60" spans="5:6">
      <c r="E60" s="444"/>
      <c r="F60" s="444"/>
    </row>
    <row r="61" spans="5:6">
      <c r="E61" s="444"/>
      <c r="F61" s="444"/>
    </row>
    <row r="62" spans="5:6">
      <c r="E62" s="444"/>
      <c r="F62" s="444"/>
    </row>
    <row r="63" spans="5:6">
      <c r="E63" s="444"/>
      <c r="F63" s="444"/>
    </row>
    <row r="64" spans="5:6">
      <c r="E64" s="444"/>
      <c r="F64" s="444"/>
    </row>
    <row r="65" spans="5:6">
      <c r="E65" s="444"/>
      <c r="F65" s="444"/>
    </row>
    <row r="66" spans="5:6">
      <c r="E66" s="444"/>
      <c r="F66" s="444"/>
    </row>
    <row r="67" spans="5:6">
      <c r="E67" s="444"/>
      <c r="F67" s="444"/>
    </row>
    <row r="68" spans="5:6">
      <c r="E68" s="444"/>
      <c r="F68" s="444"/>
    </row>
    <row r="69" spans="5:6">
      <c r="E69" s="444"/>
      <c r="F69" s="444"/>
    </row>
    <row r="70" spans="5:6">
      <c r="E70" s="444"/>
      <c r="F70" s="444"/>
    </row>
    <row r="71" spans="5:6">
      <c r="E71" s="444"/>
      <c r="F71" s="444"/>
    </row>
    <row r="72" spans="5:6">
      <c r="E72" s="444"/>
      <c r="F72" s="444"/>
    </row>
    <row r="73" spans="5:6">
      <c r="E73" s="444"/>
      <c r="F73" s="444"/>
    </row>
    <row r="74" spans="5:6">
      <c r="E74" s="444"/>
      <c r="F74" s="444"/>
    </row>
    <row r="75" spans="5:6">
      <c r="E75" s="444"/>
      <c r="F75" s="444"/>
    </row>
    <row r="76" spans="5:6">
      <c r="E76" s="444"/>
      <c r="F76" s="444"/>
    </row>
    <row r="77" spans="5:6">
      <c r="E77" s="444"/>
      <c r="F77" s="444"/>
    </row>
    <row r="78" spans="5:6">
      <c r="E78" s="444"/>
      <c r="F78" s="444"/>
    </row>
    <row r="79" spans="5:6">
      <c r="E79" s="444"/>
      <c r="F79" s="444"/>
    </row>
    <row r="80" spans="5:6">
      <c r="E80" s="444"/>
      <c r="F80" s="444"/>
    </row>
    <row r="81" spans="5:6">
      <c r="E81" s="444"/>
      <c r="F81" s="444"/>
    </row>
    <row r="82" spans="5:6">
      <c r="E82" s="444"/>
      <c r="F82" s="444"/>
    </row>
    <row r="83" spans="5:6">
      <c r="E83" s="444"/>
      <c r="F83" s="444"/>
    </row>
    <row r="84" spans="5:6">
      <c r="E84" s="444"/>
      <c r="F84" s="444"/>
    </row>
    <row r="85" spans="5:6">
      <c r="E85" s="444"/>
      <c r="F85" s="444"/>
    </row>
    <row r="86" spans="5:6">
      <c r="E86" s="444"/>
      <c r="F86" s="444"/>
    </row>
    <row r="87" spans="5:6">
      <c r="E87" s="444"/>
      <c r="F87" s="444"/>
    </row>
    <row r="88" spans="5:6">
      <c r="E88" s="444"/>
      <c r="F88" s="444"/>
    </row>
    <row r="89" spans="5:6">
      <c r="E89" s="444"/>
      <c r="F89" s="444"/>
    </row>
    <row r="90" spans="5:6">
      <c r="E90" s="444"/>
      <c r="F90" s="444"/>
    </row>
    <row r="91" spans="5:6">
      <c r="E91" s="444"/>
      <c r="F91" s="444"/>
    </row>
    <row r="92" spans="5:6">
      <c r="E92" s="444"/>
      <c r="F92" s="444"/>
    </row>
    <row r="93" spans="5:6">
      <c r="E93" s="444"/>
      <c r="F93" s="444"/>
    </row>
    <row r="94" spans="5:6">
      <c r="E94" s="444"/>
      <c r="F94" s="444"/>
    </row>
    <row r="95" spans="5:6">
      <c r="E95" s="444"/>
      <c r="F95" s="444"/>
    </row>
    <row r="96" spans="5:6">
      <c r="E96" s="444"/>
      <c r="F96" s="444"/>
    </row>
    <row r="97" spans="5:6">
      <c r="E97" s="444"/>
      <c r="F97" s="444"/>
    </row>
    <row r="98" spans="5:6">
      <c r="E98" s="444"/>
      <c r="F98" s="444"/>
    </row>
    <row r="99" spans="5:6">
      <c r="E99" s="444"/>
      <c r="F99" s="444"/>
    </row>
    <row r="100" spans="5:6">
      <c r="E100" s="444"/>
      <c r="F100" s="444"/>
    </row>
    <row r="101" spans="5:6">
      <c r="E101" s="444"/>
      <c r="F101" s="444"/>
    </row>
    <row r="102" spans="5:6">
      <c r="E102" s="444"/>
      <c r="F102" s="444"/>
    </row>
    <row r="103" spans="5:6">
      <c r="E103" s="444"/>
      <c r="F103" s="444"/>
    </row>
    <row r="104" spans="5:6">
      <c r="E104" s="444"/>
      <c r="F104" s="444"/>
    </row>
    <row r="105" spans="5:6">
      <c r="E105" s="444"/>
      <c r="F105" s="444"/>
    </row>
    <row r="106" spans="5:6">
      <c r="E106" s="444"/>
      <c r="F106" s="444"/>
    </row>
    <row r="107" spans="5:6">
      <c r="E107" s="444"/>
      <c r="F107" s="444"/>
    </row>
    <row r="108" spans="5:6">
      <c r="E108" s="444"/>
      <c r="F108" s="444"/>
    </row>
    <row r="109" spans="5:6">
      <c r="E109" s="444"/>
      <c r="F109" s="444"/>
    </row>
    <row r="110" spans="5:6">
      <c r="E110" s="444"/>
      <c r="F110" s="444"/>
    </row>
    <row r="111" spans="5:6">
      <c r="E111" s="444"/>
      <c r="F111" s="444"/>
    </row>
    <row r="112" spans="5:6">
      <c r="E112" s="444"/>
      <c r="F112" s="444"/>
    </row>
    <row r="113" spans="5:6">
      <c r="E113" s="444"/>
      <c r="F113" s="444"/>
    </row>
    <row r="114" spans="5:6">
      <c r="E114" s="444"/>
      <c r="F114" s="444"/>
    </row>
    <row r="115" spans="5:6">
      <c r="E115" s="444"/>
      <c r="F115" s="444"/>
    </row>
    <row r="116" spans="5:6">
      <c r="E116" s="444"/>
      <c r="F116" s="444"/>
    </row>
    <row r="117" spans="5:6">
      <c r="E117" s="444"/>
      <c r="F117" s="444"/>
    </row>
    <row r="118" spans="5:6">
      <c r="E118" s="444"/>
      <c r="F118" s="444"/>
    </row>
    <row r="119" spans="5:6">
      <c r="E119" s="444"/>
      <c r="F119" s="444"/>
    </row>
    <row r="120" spans="5:6">
      <c r="E120" s="444"/>
      <c r="F120" s="444"/>
    </row>
    <row r="121" spans="5:6">
      <c r="E121" s="444"/>
      <c r="F121" s="444"/>
    </row>
    <row r="122" spans="5:6">
      <c r="E122" s="444"/>
      <c r="F122" s="444"/>
    </row>
    <row r="123" spans="5:6">
      <c r="E123" s="444"/>
      <c r="F123" s="444"/>
    </row>
    <row r="124" spans="5:6">
      <c r="E124" s="444"/>
      <c r="F124" s="444"/>
    </row>
    <row r="125" spans="5:6">
      <c r="E125" s="444"/>
      <c r="F125" s="444"/>
    </row>
    <row r="126" spans="5:6">
      <c r="E126" s="444"/>
      <c r="F126" s="444"/>
    </row>
    <row r="127" spans="5:6">
      <c r="E127" s="444"/>
      <c r="F127" s="444"/>
    </row>
    <row r="128" spans="5:6">
      <c r="E128" s="444"/>
      <c r="F128" s="444"/>
    </row>
    <row r="129" spans="5:6">
      <c r="E129" s="444"/>
      <c r="F129" s="444"/>
    </row>
    <row r="130" spans="5:6">
      <c r="E130" s="444"/>
      <c r="F130" s="444"/>
    </row>
    <row r="131" spans="5:6">
      <c r="E131" s="444"/>
      <c r="F131" s="444"/>
    </row>
    <row r="132" spans="5:6">
      <c r="E132" s="444"/>
      <c r="F132" s="444"/>
    </row>
    <row r="133" spans="5:6">
      <c r="E133" s="444"/>
      <c r="F133" s="444"/>
    </row>
    <row r="134" spans="5:6">
      <c r="E134" s="444"/>
      <c r="F134" s="444"/>
    </row>
    <row r="135" spans="5:6">
      <c r="E135" s="444"/>
      <c r="F135" s="444"/>
    </row>
    <row r="136" spans="5:6">
      <c r="E136" s="444"/>
      <c r="F136" s="444"/>
    </row>
    <row r="137" spans="5:6">
      <c r="E137" s="444"/>
      <c r="F137" s="444"/>
    </row>
    <row r="138" spans="5:6">
      <c r="E138" s="444"/>
      <c r="F138" s="444"/>
    </row>
    <row r="139" spans="5:6">
      <c r="E139" s="444"/>
      <c r="F139" s="444"/>
    </row>
    <row r="140" spans="5:6">
      <c r="E140" s="444"/>
      <c r="F140" s="444"/>
    </row>
    <row r="141" spans="5:6">
      <c r="E141" s="444"/>
      <c r="F141" s="444"/>
    </row>
    <row r="142" spans="5:6">
      <c r="E142" s="444"/>
      <c r="F142" s="444"/>
    </row>
    <row r="143" spans="5:6">
      <c r="E143" s="444"/>
      <c r="F143" s="444"/>
    </row>
    <row r="144" spans="5:6">
      <c r="E144" s="444"/>
      <c r="F144" s="444"/>
    </row>
    <row r="145" spans="5:6">
      <c r="E145" s="444"/>
      <c r="F145" s="444"/>
    </row>
    <row r="146" spans="5:6">
      <c r="E146" s="444"/>
      <c r="F146" s="444"/>
    </row>
    <row r="147" spans="5:6">
      <c r="E147" s="444"/>
      <c r="F147" s="444"/>
    </row>
    <row r="148" spans="5:6">
      <c r="E148" s="444"/>
      <c r="F148" s="444"/>
    </row>
    <row r="149" spans="5:6">
      <c r="E149" s="444"/>
      <c r="F149" s="444"/>
    </row>
  </sheetData>
  <pageMargins left="0.7" right="0.51432291666666663" top="0.86956521739130432" bottom="0.61458333333333337" header="0.3" footer="0.3"/>
  <pageSetup orientation="portrait" r:id="rId1"/>
  <headerFooter>
    <oddHeader>&amp;R&amp;7Informe de la Operación Mensual - Junio 2018
INFSGI-MES-06-2018
10/07/2018
Versión: 01</oddHeader>
    <oddFooter>&amp;L&amp;7COES SINAC, 2018
&amp;C29&amp;R&amp;7Dirección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7843-A189-4542-93CA-C7D6C8C67ECB}">
  <dimension ref="A1:I147"/>
  <sheetViews>
    <sheetView showGridLines="0" view="pageBreakPreview" topLeftCell="B1" zoomScale="145" zoomScaleNormal="100" zoomScaleSheetLayoutView="145" zoomScalePageLayoutView="145" workbookViewId="0">
      <selection activeCell="I6" sqref="I6"/>
    </sheetView>
  </sheetViews>
  <sheetFormatPr baseColWidth="10" defaultColWidth="9.28515625" defaultRowHeight="9.6"/>
  <cols>
    <col min="1" max="1" width="16.140625" style="437" customWidth="1"/>
    <col min="2" max="2" width="19.7109375" style="437" customWidth="1"/>
    <col min="3" max="3" width="12.42578125" style="437" bestFit="1" customWidth="1"/>
    <col min="4" max="4" width="47.140625" style="437" customWidth="1"/>
    <col min="5" max="5" width="11.42578125" style="437" customWidth="1"/>
    <col min="6" max="6" width="10.42578125" style="437" customWidth="1"/>
    <col min="7" max="8" width="9.28515625" style="437" customWidth="1"/>
    <col min="9" max="16384" width="9.28515625" style="437"/>
  </cols>
  <sheetData>
    <row r="1" spans="1:9" ht="30" customHeight="1">
      <c r="A1" s="445" t="s">
        <v>286</v>
      </c>
      <c r="B1" s="446" t="s">
        <v>467</v>
      </c>
      <c r="C1" s="445" t="s">
        <v>456</v>
      </c>
      <c r="D1" s="447" t="s">
        <v>468</v>
      </c>
      <c r="E1" s="448" t="s">
        <v>469</v>
      </c>
      <c r="F1" s="448" t="s">
        <v>470</v>
      </c>
      <c r="G1" s="406"/>
      <c r="H1" s="438"/>
      <c r="I1" s="402"/>
    </row>
    <row r="2" spans="1:9" ht="72.75" customHeight="1">
      <c r="A2" s="449" t="s">
        <v>472</v>
      </c>
      <c r="B2" s="449"/>
      <c r="C2" s="450"/>
      <c r="D2" s="572"/>
      <c r="E2" s="451"/>
      <c r="F2" s="451"/>
      <c r="G2" s="405"/>
      <c r="H2" s="411"/>
      <c r="I2" s="441"/>
    </row>
    <row r="3" spans="1:9" ht="66" customHeight="1">
      <c r="A3" s="449" t="s">
        <v>475</v>
      </c>
      <c r="B3" s="449"/>
      <c r="C3" s="450"/>
      <c r="D3" s="572"/>
      <c r="E3" s="451"/>
      <c r="F3" s="451"/>
      <c r="G3" s="405"/>
      <c r="H3" s="411"/>
      <c r="I3" s="441"/>
    </row>
    <row r="4" spans="1:9" ht="76.5" customHeight="1">
      <c r="A4" s="449" t="s">
        <v>475</v>
      </c>
      <c r="B4" s="449"/>
      <c r="C4" s="450"/>
      <c r="D4" s="572"/>
      <c r="E4" s="451"/>
      <c r="F4" s="451"/>
      <c r="G4" s="405"/>
      <c r="H4" s="411"/>
      <c r="I4" s="441"/>
    </row>
    <row r="5" spans="1:9" ht="83.25" customHeight="1">
      <c r="A5" s="449" t="s">
        <v>471</v>
      </c>
      <c r="B5" s="449"/>
      <c r="C5" s="450"/>
      <c r="D5" s="572"/>
      <c r="E5" s="451"/>
      <c r="F5" s="451"/>
      <c r="G5" s="405"/>
      <c r="H5" s="411"/>
    </row>
    <row r="6" spans="1:9" ht="100.5" customHeight="1">
      <c r="A6" s="449" t="s">
        <v>475</v>
      </c>
      <c r="B6" s="449"/>
      <c r="C6" s="450"/>
      <c r="D6" s="572"/>
      <c r="E6" s="451"/>
      <c r="F6" s="451"/>
      <c r="G6" s="405"/>
      <c r="H6" s="411"/>
    </row>
    <row r="7" spans="1:9" ht="70.5" customHeight="1">
      <c r="A7" s="449" t="s">
        <v>95</v>
      </c>
      <c r="B7" s="449"/>
      <c r="C7" s="450"/>
      <c r="D7" s="572"/>
      <c r="E7" s="451"/>
      <c r="F7" s="451"/>
      <c r="G7" s="405"/>
      <c r="H7" s="411"/>
    </row>
    <row r="8" spans="1:9" ht="100.5" customHeight="1">
      <c r="A8" s="449" t="s">
        <v>554</v>
      </c>
      <c r="B8" s="449"/>
      <c r="C8" s="450"/>
      <c r="D8" s="572"/>
      <c r="E8" s="451"/>
      <c r="F8" s="451"/>
      <c r="G8" s="405"/>
      <c r="H8" s="411"/>
    </row>
    <row r="9" spans="1:9" ht="83.25" customHeight="1">
      <c r="A9" s="449" t="s">
        <v>475</v>
      </c>
      <c r="B9" s="449"/>
      <c r="C9" s="450"/>
      <c r="D9" s="572"/>
      <c r="E9" s="451"/>
      <c r="F9" s="451"/>
    </row>
    <row r="10" spans="1:9">
      <c r="A10" s="631"/>
      <c r="B10" s="631"/>
      <c r="C10" s="632"/>
      <c r="D10" s="633"/>
      <c r="E10" s="634"/>
      <c r="F10" s="634"/>
    </row>
    <row r="11" spans="1:9">
      <c r="A11" s="631"/>
      <c r="B11" s="631"/>
      <c r="C11" s="632"/>
      <c r="D11" s="633"/>
      <c r="E11" s="634"/>
      <c r="F11" s="634"/>
    </row>
    <row r="12" spans="1:9">
      <c r="A12" s="631"/>
      <c r="B12" s="631"/>
      <c r="C12" s="632"/>
      <c r="D12" s="633"/>
      <c r="E12" s="634"/>
      <c r="F12" s="634"/>
    </row>
    <row r="13" spans="1:9">
      <c r="A13" s="631"/>
      <c r="B13" s="631"/>
      <c r="C13" s="632"/>
      <c r="D13" s="633"/>
      <c r="E13" s="634"/>
      <c r="F13" s="634"/>
    </row>
    <row r="14" spans="1:9">
      <c r="A14" s="631"/>
      <c r="B14" s="631"/>
      <c r="C14" s="632"/>
      <c r="D14" s="633"/>
      <c r="E14" s="634"/>
      <c r="F14" s="634"/>
    </row>
    <row r="15" spans="1:9">
      <c r="E15" s="444"/>
      <c r="F15" s="444"/>
    </row>
    <row r="16" spans="1:9">
      <c r="E16" s="444"/>
      <c r="F16" s="444"/>
    </row>
    <row r="17" spans="5:6">
      <c r="E17" s="444"/>
      <c r="F17" s="444"/>
    </row>
    <row r="18" spans="5:6">
      <c r="E18" s="444"/>
      <c r="F18" s="444"/>
    </row>
    <row r="19" spans="5:6">
      <c r="E19" s="444"/>
      <c r="F19" s="444"/>
    </row>
    <row r="20" spans="5:6">
      <c r="E20" s="444"/>
      <c r="F20" s="444"/>
    </row>
    <row r="21" spans="5:6">
      <c r="E21" s="444"/>
      <c r="F21" s="444"/>
    </row>
    <row r="22" spans="5:6">
      <c r="E22" s="444"/>
      <c r="F22" s="444"/>
    </row>
    <row r="23" spans="5:6">
      <c r="E23" s="444"/>
      <c r="F23" s="444"/>
    </row>
    <row r="24" spans="5:6">
      <c r="E24" s="444"/>
      <c r="F24" s="444"/>
    </row>
    <row r="25" spans="5:6">
      <c r="E25" s="444"/>
      <c r="F25" s="444"/>
    </row>
    <row r="26" spans="5:6">
      <c r="E26" s="444"/>
      <c r="F26" s="444"/>
    </row>
    <row r="27" spans="5:6">
      <c r="E27" s="444"/>
      <c r="F27" s="444"/>
    </row>
    <row r="28" spans="5:6">
      <c r="E28" s="444"/>
      <c r="F28" s="444"/>
    </row>
    <row r="29" spans="5:6">
      <c r="E29" s="444"/>
      <c r="F29" s="444"/>
    </row>
    <row r="30" spans="5:6">
      <c r="E30" s="444"/>
      <c r="F30" s="444"/>
    </row>
    <row r="31" spans="5:6">
      <c r="E31" s="444"/>
      <c r="F31" s="444"/>
    </row>
    <row r="32" spans="5:6">
      <c r="E32" s="444"/>
      <c r="F32" s="444"/>
    </row>
    <row r="33" spans="5:6">
      <c r="E33" s="444"/>
      <c r="F33" s="444"/>
    </row>
    <row r="34" spans="5:6">
      <c r="E34" s="444"/>
      <c r="F34" s="444"/>
    </row>
    <row r="35" spans="5:6">
      <c r="E35" s="444"/>
      <c r="F35" s="444"/>
    </row>
    <row r="36" spans="5:6">
      <c r="E36" s="444"/>
      <c r="F36" s="444"/>
    </row>
    <row r="37" spans="5:6">
      <c r="E37" s="444"/>
      <c r="F37" s="444"/>
    </row>
    <row r="38" spans="5:6">
      <c r="E38" s="444"/>
      <c r="F38" s="444"/>
    </row>
    <row r="39" spans="5:6">
      <c r="E39" s="444"/>
      <c r="F39" s="444"/>
    </row>
    <row r="40" spans="5:6">
      <c r="E40" s="444"/>
      <c r="F40" s="444"/>
    </row>
    <row r="41" spans="5:6">
      <c r="E41" s="444"/>
      <c r="F41" s="444"/>
    </row>
    <row r="42" spans="5:6">
      <c r="E42" s="444"/>
      <c r="F42" s="444"/>
    </row>
    <row r="43" spans="5:6">
      <c r="E43" s="444"/>
      <c r="F43" s="444"/>
    </row>
    <row r="44" spans="5:6">
      <c r="E44" s="444"/>
      <c r="F44" s="444"/>
    </row>
    <row r="45" spans="5:6">
      <c r="E45" s="444"/>
      <c r="F45" s="444"/>
    </row>
    <row r="46" spans="5:6">
      <c r="E46" s="444"/>
      <c r="F46" s="444"/>
    </row>
    <row r="47" spans="5:6">
      <c r="E47" s="444"/>
      <c r="F47" s="444"/>
    </row>
    <row r="48" spans="5:6">
      <c r="E48" s="444"/>
      <c r="F48" s="444"/>
    </row>
    <row r="49" spans="5:6">
      <c r="E49" s="444"/>
      <c r="F49" s="444"/>
    </row>
    <row r="50" spans="5:6">
      <c r="E50" s="444"/>
      <c r="F50" s="444"/>
    </row>
    <row r="51" spans="5:6">
      <c r="E51" s="444"/>
      <c r="F51" s="444"/>
    </row>
    <row r="52" spans="5:6">
      <c r="E52" s="444"/>
      <c r="F52" s="444"/>
    </row>
    <row r="53" spans="5:6">
      <c r="E53" s="444"/>
      <c r="F53" s="444"/>
    </row>
    <row r="54" spans="5:6">
      <c r="E54" s="444"/>
      <c r="F54" s="444"/>
    </row>
    <row r="55" spans="5:6">
      <c r="E55" s="444"/>
      <c r="F55" s="444"/>
    </row>
    <row r="56" spans="5:6">
      <c r="E56" s="444"/>
      <c r="F56" s="444"/>
    </row>
    <row r="57" spans="5:6">
      <c r="E57" s="444"/>
      <c r="F57" s="444"/>
    </row>
    <row r="58" spans="5:6">
      <c r="E58" s="444"/>
      <c r="F58" s="444"/>
    </row>
    <row r="59" spans="5:6">
      <c r="E59" s="444"/>
      <c r="F59" s="444"/>
    </row>
    <row r="60" spans="5:6">
      <c r="E60" s="444"/>
      <c r="F60" s="444"/>
    </row>
    <row r="61" spans="5:6">
      <c r="E61" s="444"/>
      <c r="F61" s="444"/>
    </row>
    <row r="62" spans="5:6">
      <c r="E62" s="444"/>
      <c r="F62" s="444"/>
    </row>
    <row r="63" spans="5:6">
      <c r="E63" s="444"/>
      <c r="F63" s="444"/>
    </row>
    <row r="64" spans="5:6">
      <c r="E64" s="444"/>
      <c r="F64" s="444"/>
    </row>
    <row r="65" spans="5:6">
      <c r="E65" s="444"/>
      <c r="F65" s="444"/>
    </row>
    <row r="66" spans="5:6">
      <c r="E66" s="444"/>
      <c r="F66" s="444"/>
    </row>
    <row r="67" spans="5:6">
      <c r="E67" s="444"/>
      <c r="F67" s="444"/>
    </row>
    <row r="68" spans="5:6">
      <c r="E68" s="444"/>
      <c r="F68" s="444"/>
    </row>
    <row r="69" spans="5:6">
      <c r="E69" s="444"/>
      <c r="F69" s="444"/>
    </row>
    <row r="70" spans="5:6">
      <c r="E70" s="444"/>
      <c r="F70" s="444"/>
    </row>
    <row r="71" spans="5:6">
      <c r="E71" s="444"/>
      <c r="F71" s="444"/>
    </row>
    <row r="72" spans="5:6">
      <c r="E72" s="444"/>
      <c r="F72" s="444"/>
    </row>
    <row r="73" spans="5:6">
      <c r="E73" s="444"/>
      <c r="F73" s="444"/>
    </row>
    <row r="74" spans="5:6">
      <c r="E74" s="444"/>
      <c r="F74" s="444"/>
    </row>
    <row r="75" spans="5:6">
      <c r="E75" s="444"/>
      <c r="F75" s="444"/>
    </row>
    <row r="76" spans="5:6">
      <c r="E76" s="444"/>
      <c r="F76" s="444"/>
    </row>
    <row r="77" spans="5:6">
      <c r="E77" s="444"/>
      <c r="F77" s="444"/>
    </row>
    <row r="78" spans="5:6">
      <c r="E78" s="444"/>
      <c r="F78" s="444"/>
    </row>
    <row r="79" spans="5:6">
      <c r="E79" s="444"/>
      <c r="F79" s="444"/>
    </row>
    <row r="80" spans="5:6">
      <c r="E80" s="444"/>
      <c r="F80" s="444"/>
    </row>
    <row r="81" spans="5:6">
      <c r="E81" s="444"/>
      <c r="F81" s="444"/>
    </row>
    <row r="82" spans="5:6">
      <c r="E82" s="444"/>
      <c r="F82" s="444"/>
    </row>
    <row r="83" spans="5:6">
      <c r="E83" s="444"/>
      <c r="F83" s="444"/>
    </row>
    <row r="84" spans="5:6">
      <c r="E84" s="444"/>
      <c r="F84" s="444"/>
    </row>
    <row r="85" spans="5:6">
      <c r="E85" s="444"/>
      <c r="F85" s="444"/>
    </row>
    <row r="86" spans="5:6">
      <c r="E86" s="444"/>
      <c r="F86" s="444"/>
    </row>
    <row r="87" spans="5:6">
      <c r="E87" s="444"/>
      <c r="F87" s="444"/>
    </row>
    <row r="88" spans="5:6">
      <c r="E88" s="444"/>
      <c r="F88" s="444"/>
    </row>
    <row r="89" spans="5:6">
      <c r="E89" s="444"/>
      <c r="F89" s="444"/>
    </row>
    <row r="90" spans="5:6">
      <c r="E90" s="444"/>
      <c r="F90" s="444"/>
    </row>
    <row r="91" spans="5:6">
      <c r="E91" s="444"/>
      <c r="F91" s="444"/>
    </row>
    <row r="92" spans="5:6">
      <c r="E92" s="444"/>
      <c r="F92" s="444"/>
    </row>
    <row r="93" spans="5:6">
      <c r="E93" s="444"/>
      <c r="F93" s="444"/>
    </row>
    <row r="94" spans="5:6">
      <c r="E94" s="444"/>
      <c r="F94" s="444"/>
    </row>
    <row r="95" spans="5:6">
      <c r="E95" s="444"/>
      <c r="F95" s="444"/>
    </row>
    <row r="96" spans="5:6">
      <c r="E96" s="444"/>
      <c r="F96" s="444"/>
    </row>
    <row r="97" spans="5:6">
      <c r="E97" s="444"/>
      <c r="F97" s="444"/>
    </row>
    <row r="98" spans="5:6">
      <c r="E98" s="444"/>
      <c r="F98" s="444"/>
    </row>
    <row r="99" spans="5:6">
      <c r="E99" s="444"/>
      <c r="F99" s="444"/>
    </row>
    <row r="100" spans="5:6">
      <c r="E100" s="444"/>
      <c r="F100" s="444"/>
    </row>
    <row r="101" spans="5:6">
      <c r="E101" s="444"/>
      <c r="F101" s="444"/>
    </row>
    <row r="102" spans="5:6">
      <c r="E102" s="444"/>
      <c r="F102" s="444"/>
    </row>
    <row r="103" spans="5:6">
      <c r="E103" s="444"/>
      <c r="F103" s="444"/>
    </row>
    <row r="104" spans="5:6">
      <c r="E104" s="444"/>
      <c r="F104" s="444"/>
    </row>
    <row r="105" spans="5:6">
      <c r="E105" s="444"/>
      <c r="F105" s="444"/>
    </row>
    <row r="106" spans="5:6">
      <c r="E106" s="444"/>
      <c r="F106" s="444"/>
    </row>
    <row r="107" spans="5:6">
      <c r="E107" s="444"/>
      <c r="F107" s="444"/>
    </row>
    <row r="108" spans="5:6">
      <c r="E108" s="444"/>
      <c r="F108" s="444"/>
    </row>
    <row r="109" spans="5:6">
      <c r="E109" s="444"/>
      <c r="F109" s="444"/>
    </row>
    <row r="110" spans="5:6">
      <c r="E110" s="444"/>
      <c r="F110" s="444"/>
    </row>
    <row r="111" spans="5:6">
      <c r="E111" s="444"/>
      <c r="F111" s="444"/>
    </row>
    <row r="112" spans="5:6">
      <c r="E112" s="444"/>
      <c r="F112" s="444"/>
    </row>
    <row r="113" spans="5:6">
      <c r="E113" s="444"/>
      <c r="F113" s="444"/>
    </row>
    <row r="114" spans="5:6">
      <c r="E114" s="444"/>
      <c r="F114" s="444"/>
    </row>
    <row r="115" spans="5:6">
      <c r="E115" s="444"/>
      <c r="F115" s="444"/>
    </row>
    <row r="116" spans="5:6">
      <c r="E116" s="444"/>
      <c r="F116" s="444"/>
    </row>
    <row r="117" spans="5:6">
      <c r="E117" s="444"/>
      <c r="F117" s="444"/>
    </row>
    <row r="118" spans="5:6">
      <c r="E118" s="444"/>
      <c r="F118" s="444"/>
    </row>
    <row r="119" spans="5:6">
      <c r="E119" s="444"/>
      <c r="F119" s="444"/>
    </row>
    <row r="120" spans="5:6">
      <c r="E120" s="444"/>
      <c r="F120" s="444"/>
    </row>
    <row r="121" spans="5:6">
      <c r="E121" s="444"/>
      <c r="F121" s="444"/>
    </row>
    <row r="122" spans="5:6">
      <c r="E122" s="444"/>
      <c r="F122" s="444"/>
    </row>
    <row r="123" spans="5:6">
      <c r="E123" s="444"/>
      <c r="F123" s="444"/>
    </row>
    <row r="124" spans="5:6">
      <c r="E124" s="444"/>
      <c r="F124" s="444"/>
    </row>
    <row r="125" spans="5:6">
      <c r="E125" s="444"/>
      <c r="F125" s="444"/>
    </row>
    <row r="126" spans="5:6">
      <c r="E126" s="444"/>
      <c r="F126" s="444"/>
    </row>
    <row r="127" spans="5:6">
      <c r="E127" s="444"/>
      <c r="F127" s="444"/>
    </row>
    <row r="128" spans="5:6">
      <c r="E128" s="444"/>
      <c r="F128" s="444"/>
    </row>
    <row r="129" spans="5:6">
      <c r="E129" s="444"/>
      <c r="F129" s="444"/>
    </row>
    <row r="130" spans="5:6">
      <c r="E130" s="444"/>
      <c r="F130" s="444"/>
    </row>
    <row r="131" spans="5:6">
      <c r="E131" s="444"/>
      <c r="F131" s="444"/>
    </row>
    <row r="132" spans="5:6">
      <c r="E132" s="444"/>
      <c r="F132" s="444"/>
    </row>
    <row r="133" spans="5:6">
      <c r="E133" s="444"/>
      <c r="F133" s="444"/>
    </row>
    <row r="134" spans="5:6">
      <c r="E134" s="444"/>
      <c r="F134" s="444"/>
    </row>
    <row r="135" spans="5:6">
      <c r="E135" s="444"/>
      <c r="F135" s="444"/>
    </row>
    <row r="136" spans="5:6">
      <c r="E136" s="444"/>
      <c r="F136" s="444"/>
    </row>
    <row r="137" spans="5:6">
      <c r="E137" s="444"/>
      <c r="F137" s="444"/>
    </row>
    <row r="138" spans="5:6">
      <c r="E138" s="444"/>
      <c r="F138" s="444"/>
    </row>
    <row r="139" spans="5:6">
      <c r="E139" s="444"/>
      <c r="F139" s="444"/>
    </row>
    <row r="140" spans="5:6">
      <c r="E140" s="444"/>
      <c r="F140" s="444"/>
    </row>
    <row r="141" spans="5:6">
      <c r="E141" s="444"/>
      <c r="F141" s="444"/>
    </row>
    <row r="142" spans="5:6">
      <c r="E142" s="444"/>
      <c r="F142" s="444"/>
    </row>
    <row r="143" spans="5:6">
      <c r="E143" s="444"/>
      <c r="F143" s="444"/>
    </row>
    <row r="144" spans="5:6">
      <c r="E144" s="444"/>
      <c r="F144" s="444"/>
    </row>
    <row r="145" spans="5:6">
      <c r="E145" s="444"/>
      <c r="F145" s="444"/>
    </row>
    <row r="146" spans="5:6">
      <c r="E146" s="444"/>
      <c r="F146" s="444"/>
    </row>
    <row r="147" spans="5:6">
      <c r="E147" s="444"/>
      <c r="F147" s="444"/>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&amp;C30&amp;R&amp;7Dirección Ejecutiva
Sub Dirección de Gestión de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D7C7-3912-4BF5-8840-22D7E1433002}">
  <dimension ref="A1:I162"/>
  <sheetViews>
    <sheetView showGridLines="0" view="pageBreakPreview" zoomScale="145" zoomScaleNormal="100" zoomScaleSheetLayoutView="145" zoomScalePageLayoutView="145" workbookViewId="0">
      <selection activeCell="I6" sqref="I6"/>
    </sheetView>
  </sheetViews>
  <sheetFormatPr baseColWidth="10" defaultColWidth="9.28515625" defaultRowHeight="9.6"/>
  <cols>
    <col min="1" max="1" width="16.140625" style="437" customWidth="1"/>
    <col min="2" max="2" width="19.7109375" style="437" customWidth="1"/>
    <col min="3" max="3" width="12.42578125" style="437" bestFit="1" customWidth="1"/>
    <col min="4" max="4" width="47.140625" style="437" customWidth="1"/>
    <col min="5" max="5" width="11.42578125" style="437" customWidth="1"/>
    <col min="6" max="6" width="10.42578125" style="437" customWidth="1"/>
    <col min="7" max="8" width="9.28515625" style="437" customWidth="1"/>
    <col min="9" max="16384" width="9.28515625" style="437"/>
  </cols>
  <sheetData>
    <row r="1" spans="1:9" ht="30" customHeight="1">
      <c r="A1" s="445" t="s">
        <v>286</v>
      </c>
      <c r="B1" s="446" t="s">
        <v>467</v>
      </c>
      <c r="C1" s="445" t="s">
        <v>456</v>
      </c>
      <c r="D1" s="447" t="s">
        <v>468</v>
      </c>
      <c r="E1" s="448" t="s">
        <v>469</v>
      </c>
      <c r="F1" s="448" t="s">
        <v>470</v>
      </c>
      <c r="G1" s="406"/>
      <c r="H1" s="438"/>
      <c r="I1" s="402"/>
    </row>
    <row r="2" spans="1:9" ht="90" customHeight="1">
      <c r="A2" s="449"/>
      <c r="B2" s="449"/>
      <c r="C2" s="450"/>
      <c r="D2" s="572"/>
      <c r="E2" s="451"/>
      <c r="F2" s="451"/>
      <c r="G2" s="405"/>
      <c r="H2" s="411"/>
    </row>
    <row r="3" spans="1:9" ht="73.5" customHeight="1">
      <c r="A3" s="449"/>
      <c r="B3" s="449"/>
      <c r="C3" s="450"/>
      <c r="D3" s="572"/>
      <c r="E3" s="451"/>
      <c r="F3" s="451"/>
      <c r="G3" s="405"/>
      <c r="H3" s="411"/>
    </row>
    <row r="4" spans="1:9" ht="93" customHeight="1">
      <c r="A4" s="449"/>
      <c r="B4" s="449"/>
      <c r="C4" s="450"/>
      <c r="D4" s="572"/>
      <c r="E4" s="451"/>
      <c r="F4" s="451"/>
      <c r="G4" s="405"/>
      <c r="H4" s="411"/>
    </row>
    <row r="5" spans="1:9" ht="75" customHeight="1">
      <c r="A5" s="449"/>
      <c r="B5" s="449"/>
      <c r="C5" s="450"/>
      <c r="D5" s="572"/>
      <c r="E5" s="451"/>
      <c r="F5" s="451"/>
      <c r="G5" s="405"/>
      <c r="H5" s="411"/>
    </row>
    <row r="6" spans="1:9" ht="78" customHeight="1">
      <c r="A6" s="449"/>
      <c r="B6" s="449"/>
      <c r="C6" s="450"/>
      <c r="D6" s="572"/>
      <c r="E6" s="451"/>
      <c r="F6" s="451"/>
      <c r="G6" s="405"/>
      <c r="H6" s="411"/>
    </row>
    <row r="7" spans="1:9" ht="105" customHeight="1">
      <c r="A7" s="449"/>
      <c r="B7" s="449"/>
      <c r="C7" s="450"/>
      <c r="D7" s="572"/>
      <c r="E7" s="451"/>
      <c r="F7" s="451"/>
      <c r="G7" s="405"/>
      <c r="H7" s="411"/>
    </row>
    <row r="8" spans="1:9" ht="77.25" customHeight="1">
      <c r="A8" s="449"/>
      <c r="B8" s="449"/>
      <c r="C8" s="450"/>
      <c r="D8" s="572"/>
      <c r="E8" s="451"/>
      <c r="F8" s="451"/>
      <c r="G8" s="405"/>
      <c r="H8" s="411"/>
    </row>
    <row r="9" spans="1:9" ht="87.75" customHeight="1">
      <c r="A9" s="449"/>
      <c r="B9" s="449"/>
      <c r="C9" s="450"/>
      <c r="D9" s="572"/>
      <c r="E9" s="451"/>
      <c r="F9" s="451"/>
      <c r="G9" s="413"/>
      <c r="H9" s="411"/>
    </row>
    <row r="10" spans="1:9">
      <c r="E10" s="444"/>
      <c r="F10" s="444"/>
    </row>
    <row r="11" spans="1:9">
      <c r="E11" s="444"/>
      <c r="F11" s="444"/>
    </row>
    <row r="12" spans="1:9">
      <c r="E12" s="444"/>
      <c r="F12" s="444"/>
    </row>
    <row r="13" spans="1:9">
      <c r="E13" s="444"/>
      <c r="F13" s="444"/>
    </row>
    <row r="14" spans="1:9">
      <c r="E14" s="444"/>
      <c r="F14" s="444"/>
    </row>
    <row r="15" spans="1:9">
      <c r="E15" s="444"/>
      <c r="F15" s="444"/>
    </row>
    <row r="16" spans="1:9">
      <c r="E16" s="444"/>
      <c r="F16" s="444"/>
    </row>
    <row r="17" spans="5:6">
      <c r="E17" s="444"/>
      <c r="F17" s="444"/>
    </row>
    <row r="18" spans="5:6">
      <c r="E18" s="444"/>
      <c r="F18" s="444"/>
    </row>
    <row r="19" spans="5:6">
      <c r="E19" s="444"/>
      <c r="F19" s="444"/>
    </row>
    <row r="20" spans="5:6">
      <c r="E20" s="444"/>
      <c r="F20" s="444"/>
    </row>
    <row r="21" spans="5:6">
      <c r="E21" s="444"/>
      <c r="F21" s="444"/>
    </row>
    <row r="22" spans="5:6">
      <c r="E22" s="444"/>
      <c r="F22" s="444"/>
    </row>
    <row r="23" spans="5:6">
      <c r="E23" s="444"/>
      <c r="F23" s="444"/>
    </row>
    <row r="24" spans="5:6">
      <c r="E24" s="444"/>
      <c r="F24" s="444"/>
    </row>
    <row r="25" spans="5:6">
      <c r="E25" s="444"/>
      <c r="F25" s="444"/>
    </row>
    <row r="26" spans="5:6">
      <c r="E26" s="444"/>
      <c r="F26" s="444"/>
    </row>
    <row r="27" spans="5:6">
      <c r="E27" s="444"/>
      <c r="F27" s="444"/>
    </row>
    <row r="28" spans="5:6">
      <c r="E28" s="444"/>
      <c r="F28" s="444"/>
    </row>
    <row r="29" spans="5:6">
      <c r="E29" s="444"/>
      <c r="F29" s="444"/>
    </row>
    <row r="30" spans="5:6">
      <c r="E30" s="444"/>
      <c r="F30" s="444"/>
    </row>
    <row r="31" spans="5:6">
      <c r="E31" s="444"/>
      <c r="F31" s="444"/>
    </row>
    <row r="32" spans="5:6">
      <c r="E32" s="444"/>
      <c r="F32" s="444"/>
    </row>
    <row r="33" spans="5:6">
      <c r="E33" s="444"/>
      <c r="F33" s="444"/>
    </row>
    <row r="34" spans="5:6">
      <c r="E34" s="444"/>
      <c r="F34" s="444"/>
    </row>
    <row r="35" spans="5:6">
      <c r="E35" s="444"/>
      <c r="F35" s="444"/>
    </row>
    <row r="36" spans="5:6">
      <c r="E36" s="444"/>
      <c r="F36" s="444"/>
    </row>
    <row r="37" spans="5:6">
      <c r="E37" s="444"/>
      <c r="F37" s="444"/>
    </row>
    <row r="38" spans="5:6">
      <c r="E38" s="444"/>
      <c r="F38" s="444"/>
    </row>
    <row r="39" spans="5:6">
      <c r="E39" s="444"/>
      <c r="F39" s="444"/>
    </row>
    <row r="40" spans="5:6">
      <c r="E40" s="444"/>
      <c r="F40" s="444"/>
    </row>
    <row r="41" spans="5:6">
      <c r="E41" s="444"/>
      <c r="F41" s="444"/>
    </row>
    <row r="42" spans="5:6">
      <c r="E42" s="444"/>
      <c r="F42" s="444"/>
    </row>
    <row r="43" spans="5:6">
      <c r="E43" s="444"/>
      <c r="F43" s="444"/>
    </row>
    <row r="44" spans="5:6">
      <c r="E44" s="444"/>
      <c r="F44" s="444"/>
    </row>
    <row r="45" spans="5:6">
      <c r="E45" s="444"/>
      <c r="F45" s="444"/>
    </row>
    <row r="46" spans="5:6">
      <c r="E46" s="444"/>
      <c r="F46" s="444"/>
    </row>
    <row r="47" spans="5:6">
      <c r="E47" s="444"/>
      <c r="F47" s="444"/>
    </row>
    <row r="48" spans="5:6">
      <c r="E48" s="444"/>
      <c r="F48" s="444"/>
    </row>
    <row r="49" spans="5:6">
      <c r="E49" s="444"/>
      <c r="F49" s="444"/>
    </row>
    <row r="50" spans="5:6">
      <c r="E50" s="444"/>
      <c r="F50" s="444"/>
    </row>
    <row r="51" spans="5:6">
      <c r="E51" s="444"/>
      <c r="F51" s="444"/>
    </row>
    <row r="52" spans="5:6">
      <c r="E52" s="444"/>
      <c r="F52" s="444"/>
    </row>
    <row r="53" spans="5:6">
      <c r="E53" s="444"/>
      <c r="F53" s="444"/>
    </row>
    <row r="54" spans="5:6">
      <c r="E54" s="444"/>
      <c r="F54" s="444"/>
    </row>
    <row r="55" spans="5:6">
      <c r="E55" s="444"/>
      <c r="F55" s="444"/>
    </row>
    <row r="56" spans="5:6">
      <c r="E56" s="444"/>
      <c r="F56" s="444"/>
    </row>
    <row r="57" spans="5:6">
      <c r="E57" s="444"/>
      <c r="F57" s="444"/>
    </row>
    <row r="58" spans="5:6">
      <c r="E58" s="444"/>
      <c r="F58" s="444"/>
    </row>
    <row r="59" spans="5:6">
      <c r="E59" s="444"/>
      <c r="F59" s="444"/>
    </row>
    <row r="60" spans="5:6">
      <c r="E60" s="444"/>
      <c r="F60" s="444"/>
    </row>
    <row r="61" spans="5:6">
      <c r="E61" s="444"/>
      <c r="F61" s="444"/>
    </row>
    <row r="62" spans="5:6">
      <c r="E62" s="444"/>
      <c r="F62" s="444"/>
    </row>
    <row r="63" spans="5:6">
      <c r="E63" s="444"/>
      <c r="F63" s="444"/>
    </row>
    <row r="64" spans="5:6">
      <c r="E64" s="444"/>
      <c r="F64" s="444"/>
    </row>
    <row r="65" spans="5:6">
      <c r="E65" s="444"/>
      <c r="F65" s="444"/>
    </row>
    <row r="66" spans="5:6">
      <c r="E66" s="444"/>
      <c r="F66" s="444"/>
    </row>
    <row r="67" spans="5:6">
      <c r="E67" s="444"/>
      <c r="F67" s="444"/>
    </row>
    <row r="68" spans="5:6">
      <c r="E68" s="444"/>
      <c r="F68" s="444"/>
    </row>
    <row r="69" spans="5:6">
      <c r="E69" s="444"/>
      <c r="F69" s="444"/>
    </row>
    <row r="70" spans="5:6">
      <c r="E70" s="444"/>
      <c r="F70" s="444"/>
    </row>
    <row r="71" spans="5:6">
      <c r="E71" s="444"/>
      <c r="F71" s="444"/>
    </row>
    <row r="72" spans="5:6">
      <c r="E72" s="444"/>
      <c r="F72" s="444"/>
    </row>
    <row r="73" spans="5:6">
      <c r="E73" s="444"/>
      <c r="F73" s="444"/>
    </row>
    <row r="74" spans="5:6">
      <c r="E74" s="444"/>
      <c r="F74" s="444"/>
    </row>
    <row r="75" spans="5:6">
      <c r="E75" s="444"/>
      <c r="F75" s="444"/>
    </row>
    <row r="76" spans="5:6">
      <c r="E76" s="444"/>
      <c r="F76" s="444"/>
    </row>
    <row r="77" spans="5:6">
      <c r="E77" s="444"/>
      <c r="F77" s="444"/>
    </row>
    <row r="78" spans="5:6">
      <c r="E78" s="444"/>
      <c r="F78" s="444"/>
    </row>
    <row r="79" spans="5:6">
      <c r="E79" s="444"/>
      <c r="F79" s="444"/>
    </row>
    <row r="80" spans="5:6">
      <c r="E80" s="444"/>
      <c r="F80" s="444"/>
    </row>
    <row r="81" spans="5:6">
      <c r="E81" s="444"/>
      <c r="F81" s="444"/>
    </row>
    <row r="82" spans="5:6">
      <c r="E82" s="444"/>
      <c r="F82" s="444"/>
    </row>
    <row r="83" spans="5:6">
      <c r="E83" s="444"/>
      <c r="F83" s="444"/>
    </row>
    <row r="84" spans="5:6">
      <c r="E84" s="444"/>
      <c r="F84" s="444"/>
    </row>
    <row r="85" spans="5:6">
      <c r="E85" s="444"/>
      <c r="F85" s="444"/>
    </row>
    <row r="86" spans="5:6">
      <c r="E86" s="444"/>
      <c r="F86" s="444"/>
    </row>
    <row r="87" spans="5:6">
      <c r="E87" s="444"/>
      <c r="F87" s="444"/>
    </row>
    <row r="88" spans="5:6">
      <c r="E88" s="444"/>
      <c r="F88" s="444"/>
    </row>
    <row r="89" spans="5:6">
      <c r="E89" s="444"/>
      <c r="F89" s="444"/>
    </row>
    <row r="90" spans="5:6">
      <c r="E90" s="444"/>
      <c r="F90" s="444"/>
    </row>
    <row r="91" spans="5:6">
      <c r="E91" s="444"/>
      <c r="F91" s="444"/>
    </row>
    <row r="92" spans="5:6">
      <c r="E92" s="444"/>
      <c r="F92" s="444"/>
    </row>
    <row r="93" spans="5:6">
      <c r="E93" s="444"/>
      <c r="F93" s="444"/>
    </row>
    <row r="94" spans="5:6">
      <c r="E94" s="444"/>
      <c r="F94" s="444"/>
    </row>
    <row r="95" spans="5:6">
      <c r="E95" s="444"/>
      <c r="F95" s="444"/>
    </row>
    <row r="96" spans="5:6">
      <c r="E96" s="444"/>
      <c r="F96" s="444"/>
    </row>
    <row r="97" spans="5:6">
      <c r="E97" s="444"/>
      <c r="F97" s="444"/>
    </row>
    <row r="98" spans="5:6">
      <c r="E98" s="444"/>
      <c r="F98" s="444"/>
    </row>
    <row r="99" spans="5:6">
      <c r="E99" s="444"/>
      <c r="F99" s="444"/>
    </row>
    <row r="100" spans="5:6">
      <c r="E100" s="444"/>
      <c r="F100" s="444"/>
    </row>
    <row r="101" spans="5:6">
      <c r="E101" s="444"/>
      <c r="F101" s="444"/>
    </row>
    <row r="102" spans="5:6">
      <c r="E102" s="444"/>
      <c r="F102" s="444"/>
    </row>
    <row r="103" spans="5:6">
      <c r="E103" s="444"/>
      <c r="F103" s="444"/>
    </row>
    <row r="104" spans="5:6">
      <c r="E104" s="444"/>
      <c r="F104" s="444"/>
    </row>
    <row r="105" spans="5:6">
      <c r="E105" s="444"/>
      <c r="F105" s="444"/>
    </row>
    <row r="106" spans="5:6">
      <c r="E106" s="444"/>
      <c r="F106" s="444"/>
    </row>
    <row r="107" spans="5:6">
      <c r="E107" s="444"/>
      <c r="F107" s="444"/>
    </row>
    <row r="108" spans="5:6">
      <c r="E108" s="444"/>
      <c r="F108" s="444"/>
    </row>
    <row r="109" spans="5:6">
      <c r="E109" s="444"/>
      <c r="F109" s="444"/>
    </row>
    <row r="110" spans="5:6">
      <c r="E110" s="444"/>
      <c r="F110" s="444"/>
    </row>
    <row r="111" spans="5:6">
      <c r="E111" s="444"/>
      <c r="F111" s="444"/>
    </row>
    <row r="112" spans="5:6">
      <c r="E112" s="444"/>
      <c r="F112" s="444"/>
    </row>
    <row r="113" spans="5:6">
      <c r="E113" s="444"/>
      <c r="F113" s="444"/>
    </row>
    <row r="114" spans="5:6">
      <c r="E114" s="444"/>
      <c r="F114" s="444"/>
    </row>
    <row r="115" spans="5:6">
      <c r="E115" s="444"/>
      <c r="F115" s="444"/>
    </row>
    <row r="116" spans="5:6">
      <c r="E116" s="444"/>
      <c r="F116" s="444"/>
    </row>
    <row r="117" spans="5:6">
      <c r="E117" s="444"/>
      <c r="F117" s="444"/>
    </row>
    <row r="118" spans="5:6">
      <c r="E118" s="444"/>
      <c r="F118" s="444"/>
    </row>
    <row r="119" spans="5:6">
      <c r="E119" s="444"/>
      <c r="F119" s="444"/>
    </row>
    <row r="120" spans="5:6">
      <c r="E120" s="444"/>
      <c r="F120" s="444"/>
    </row>
    <row r="121" spans="5:6">
      <c r="E121" s="444"/>
      <c r="F121" s="444"/>
    </row>
    <row r="122" spans="5:6">
      <c r="E122" s="444"/>
      <c r="F122" s="444"/>
    </row>
    <row r="123" spans="5:6">
      <c r="E123" s="444"/>
      <c r="F123" s="444"/>
    </row>
    <row r="124" spans="5:6">
      <c r="E124" s="444"/>
      <c r="F124" s="444"/>
    </row>
    <row r="125" spans="5:6">
      <c r="E125" s="444"/>
      <c r="F125" s="444"/>
    </row>
    <row r="126" spans="5:6">
      <c r="E126" s="444"/>
      <c r="F126" s="444"/>
    </row>
    <row r="127" spans="5:6">
      <c r="E127" s="444"/>
      <c r="F127" s="444"/>
    </row>
    <row r="128" spans="5:6">
      <c r="E128" s="444"/>
      <c r="F128" s="444"/>
    </row>
    <row r="129" spans="5:6">
      <c r="E129" s="444"/>
      <c r="F129" s="444"/>
    </row>
    <row r="130" spans="5:6">
      <c r="E130" s="444"/>
      <c r="F130" s="444"/>
    </row>
    <row r="131" spans="5:6">
      <c r="E131" s="444"/>
      <c r="F131" s="444"/>
    </row>
    <row r="132" spans="5:6">
      <c r="E132" s="444"/>
      <c r="F132" s="444"/>
    </row>
    <row r="133" spans="5:6">
      <c r="E133" s="444"/>
      <c r="F133" s="444"/>
    </row>
    <row r="134" spans="5:6">
      <c r="E134" s="444"/>
      <c r="F134" s="444"/>
    </row>
    <row r="135" spans="5:6">
      <c r="E135" s="444"/>
      <c r="F135" s="444"/>
    </row>
    <row r="136" spans="5:6">
      <c r="E136" s="444"/>
      <c r="F136" s="444"/>
    </row>
    <row r="137" spans="5:6">
      <c r="E137" s="444"/>
      <c r="F137" s="444"/>
    </row>
    <row r="138" spans="5:6">
      <c r="E138" s="444"/>
      <c r="F138" s="444"/>
    </row>
    <row r="139" spans="5:6">
      <c r="E139" s="444"/>
      <c r="F139" s="444"/>
    </row>
    <row r="140" spans="5:6">
      <c r="E140" s="444"/>
      <c r="F140" s="444"/>
    </row>
    <row r="141" spans="5:6">
      <c r="E141" s="444"/>
      <c r="F141" s="444"/>
    </row>
    <row r="142" spans="5:6">
      <c r="E142" s="444"/>
      <c r="F142" s="444"/>
    </row>
    <row r="143" spans="5:6">
      <c r="E143" s="444"/>
      <c r="F143" s="444"/>
    </row>
    <row r="144" spans="5:6">
      <c r="E144" s="444"/>
      <c r="F144" s="444"/>
    </row>
    <row r="145" spans="5:6">
      <c r="E145" s="444"/>
      <c r="F145" s="444"/>
    </row>
    <row r="146" spans="5:6">
      <c r="E146" s="444"/>
      <c r="F146" s="444"/>
    </row>
    <row r="147" spans="5:6">
      <c r="E147" s="444"/>
      <c r="F147" s="444"/>
    </row>
    <row r="148" spans="5:6">
      <c r="E148" s="444"/>
      <c r="F148" s="444"/>
    </row>
    <row r="149" spans="5:6">
      <c r="E149" s="444"/>
      <c r="F149" s="444"/>
    </row>
    <row r="150" spans="5:6">
      <c r="E150" s="444"/>
      <c r="F150" s="444"/>
    </row>
    <row r="151" spans="5:6">
      <c r="E151" s="444"/>
      <c r="F151" s="444"/>
    </row>
    <row r="152" spans="5:6">
      <c r="E152" s="444"/>
      <c r="F152" s="444"/>
    </row>
    <row r="153" spans="5:6">
      <c r="E153" s="444"/>
      <c r="F153" s="444"/>
    </row>
    <row r="154" spans="5:6">
      <c r="E154" s="444"/>
      <c r="F154" s="444"/>
    </row>
    <row r="155" spans="5:6">
      <c r="E155" s="444"/>
      <c r="F155" s="444"/>
    </row>
    <row r="156" spans="5:6">
      <c r="E156" s="444"/>
      <c r="F156" s="444"/>
    </row>
    <row r="157" spans="5:6">
      <c r="E157" s="444"/>
      <c r="F157" s="444"/>
    </row>
    <row r="158" spans="5:6">
      <c r="E158" s="444"/>
      <c r="F158" s="444"/>
    </row>
    <row r="159" spans="5:6">
      <c r="E159" s="444"/>
      <c r="F159" s="444"/>
    </row>
    <row r="160" spans="5:6">
      <c r="E160" s="444"/>
      <c r="F160" s="444"/>
    </row>
    <row r="161" spans="5:6">
      <c r="E161" s="444"/>
      <c r="F161" s="444"/>
    </row>
    <row r="162" spans="5:6">
      <c r="E162" s="444"/>
      <c r="F162" s="444"/>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&amp;C31&amp;R&amp;7Dirección Ejecutiva
Sub Dirección de Gestión de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A7041-E818-4A26-B430-F35DCB72AC06}">
  <dimension ref="A1:I161"/>
  <sheetViews>
    <sheetView showGridLines="0" view="pageBreakPreview" zoomScale="145" zoomScaleNormal="100" zoomScaleSheetLayoutView="145" zoomScalePageLayoutView="145" workbookViewId="0">
      <selection activeCell="I6" sqref="I6"/>
    </sheetView>
  </sheetViews>
  <sheetFormatPr baseColWidth="10" defaultColWidth="9.28515625" defaultRowHeight="9.6"/>
  <cols>
    <col min="1" max="1" width="16.140625" style="437" customWidth="1"/>
    <col min="2" max="2" width="19.7109375" style="437" customWidth="1"/>
    <col min="3" max="3" width="12.42578125" style="437" bestFit="1" customWidth="1"/>
    <col min="4" max="4" width="47.140625" style="437" customWidth="1"/>
    <col min="5" max="5" width="11.42578125" style="437" customWidth="1"/>
    <col min="6" max="6" width="10.42578125" style="437" customWidth="1"/>
    <col min="7" max="8" width="9.28515625" style="437" customWidth="1"/>
    <col min="9" max="16384" width="9.28515625" style="437"/>
  </cols>
  <sheetData>
    <row r="1" spans="1:9" ht="30" customHeight="1">
      <c r="A1" s="445" t="s">
        <v>286</v>
      </c>
      <c r="B1" s="446" t="s">
        <v>467</v>
      </c>
      <c r="C1" s="445" t="s">
        <v>456</v>
      </c>
      <c r="D1" s="447" t="s">
        <v>468</v>
      </c>
      <c r="E1" s="448" t="s">
        <v>469</v>
      </c>
      <c r="F1" s="448" t="s">
        <v>470</v>
      </c>
      <c r="G1" s="406"/>
      <c r="H1" s="438"/>
      <c r="I1" s="402"/>
    </row>
    <row r="2" spans="1:9" ht="84.75" customHeight="1">
      <c r="A2" s="449"/>
      <c r="B2" s="449"/>
      <c r="C2" s="450"/>
      <c r="D2" s="572"/>
      <c r="E2" s="451"/>
      <c r="F2" s="451"/>
      <c r="G2" s="405"/>
      <c r="H2" s="411"/>
    </row>
    <row r="3" spans="1:9" ht="180" customHeight="1">
      <c r="A3" s="449"/>
      <c r="B3" s="449"/>
      <c r="C3" s="450"/>
      <c r="D3" s="572"/>
      <c r="E3" s="451"/>
      <c r="F3" s="451"/>
      <c r="G3" s="405"/>
      <c r="H3" s="411"/>
    </row>
    <row r="4" spans="1:9" ht="91.5" customHeight="1">
      <c r="A4" s="449"/>
      <c r="B4" s="449"/>
      <c r="C4" s="450"/>
      <c r="D4" s="572"/>
      <c r="E4" s="451"/>
      <c r="F4" s="451"/>
      <c r="G4" s="405"/>
      <c r="H4" s="411"/>
    </row>
    <row r="5" spans="1:9" ht="67.5" customHeight="1">
      <c r="A5" s="449"/>
      <c r="B5" s="449"/>
      <c r="C5" s="450"/>
      <c r="D5" s="572"/>
      <c r="E5" s="451"/>
      <c r="F5" s="451"/>
      <c r="G5" s="405"/>
      <c r="H5" s="411"/>
    </row>
    <row r="6" spans="1:9" ht="73.5" customHeight="1">
      <c r="A6" s="449"/>
      <c r="B6" s="449"/>
      <c r="C6" s="450"/>
      <c r="D6" s="572"/>
      <c r="E6" s="451"/>
      <c r="F6" s="451"/>
      <c r="G6" s="405"/>
      <c r="H6" s="411"/>
    </row>
    <row r="7" spans="1:9" ht="84" customHeight="1">
      <c r="A7" s="449"/>
      <c r="B7" s="449"/>
      <c r="C7" s="450"/>
      <c r="D7" s="572"/>
      <c r="E7" s="451"/>
      <c r="F7" s="451"/>
      <c r="G7" s="405"/>
      <c r="H7" s="411"/>
    </row>
    <row r="8" spans="1:9" ht="77.25" customHeight="1">
      <c r="A8" s="449"/>
      <c r="B8" s="449"/>
      <c r="C8" s="450"/>
      <c r="D8" s="572"/>
      <c r="E8" s="451"/>
      <c r="F8" s="451"/>
      <c r="G8" s="405"/>
      <c r="H8" s="411"/>
    </row>
    <row r="9" spans="1:9">
      <c r="E9" s="444"/>
      <c r="F9" s="444"/>
    </row>
    <row r="10" spans="1:9">
      <c r="E10" s="444"/>
      <c r="F10" s="444"/>
    </row>
    <row r="11" spans="1:9">
      <c r="E11" s="444"/>
      <c r="F11" s="444"/>
    </row>
    <row r="12" spans="1:9">
      <c r="E12" s="444"/>
      <c r="F12" s="444"/>
    </row>
    <row r="13" spans="1:9">
      <c r="E13" s="444"/>
      <c r="F13" s="444"/>
    </row>
    <row r="14" spans="1:9">
      <c r="E14" s="444"/>
      <c r="F14" s="444"/>
    </row>
    <row r="15" spans="1:9">
      <c r="E15" s="444"/>
      <c r="F15" s="444"/>
    </row>
    <row r="16" spans="1:9">
      <c r="E16" s="444"/>
      <c r="F16" s="444"/>
    </row>
    <row r="17" spans="5:6">
      <c r="E17" s="444"/>
      <c r="F17" s="444"/>
    </row>
    <row r="18" spans="5:6">
      <c r="E18" s="444"/>
      <c r="F18" s="444"/>
    </row>
    <row r="19" spans="5:6">
      <c r="E19" s="444"/>
      <c r="F19" s="444"/>
    </row>
    <row r="20" spans="5:6">
      <c r="E20" s="444"/>
      <c r="F20" s="444"/>
    </row>
    <row r="21" spans="5:6">
      <c r="E21" s="444"/>
      <c r="F21" s="444"/>
    </row>
    <row r="22" spans="5:6">
      <c r="E22" s="444"/>
      <c r="F22" s="444"/>
    </row>
    <row r="23" spans="5:6">
      <c r="E23" s="444"/>
      <c r="F23" s="444"/>
    </row>
    <row r="24" spans="5:6">
      <c r="E24" s="444"/>
      <c r="F24" s="444"/>
    </row>
    <row r="25" spans="5:6">
      <c r="E25" s="444"/>
      <c r="F25" s="444"/>
    </row>
    <row r="26" spans="5:6">
      <c r="E26" s="444"/>
      <c r="F26" s="444"/>
    </row>
    <row r="27" spans="5:6">
      <c r="E27" s="444"/>
      <c r="F27" s="444"/>
    </row>
    <row r="28" spans="5:6">
      <c r="E28" s="444"/>
      <c r="F28" s="444"/>
    </row>
    <row r="29" spans="5:6">
      <c r="E29" s="444"/>
      <c r="F29" s="444"/>
    </row>
    <row r="30" spans="5:6">
      <c r="E30" s="444"/>
      <c r="F30" s="444"/>
    </row>
    <row r="31" spans="5:6">
      <c r="E31" s="444"/>
      <c r="F31" s="444"/>
    </row>
    <row r="32" spans="5:6">
      <c r="E32" s="444"/>
      <c r="F32" s="444"/>
    </row>
    <row r="33" spans="5:6">
      <c r="E33" s="444"/>
      <c r="F33" s="444"/>
    </row>
    <row r="34" spans="5:6">
      <c r="E34" s="444"/>
      <c r="F34" s="444"/>
    </row>
    <row r="35" spans="5:6">
      <c r="E35" s="444"/>
      <c r="F35" s="444"/>
    </row>
    <row r="36" spans="5:6">
      <c r="E36" s="444"/>
      <c r="F36" s="444"/>
    </row>
    <row r="37" spans="5:6">
      <c r="E37" s="444"/>
      <c r="F37" s="444"/>
    </row>
    <row r="38" spans="5:6">
      <c r="E38" s="444"/>
      <c r="F38" s="444"/>
    </row>
    <row r="39" spans="5:6">
      <c r="E39" s="444"/>
      <c r="F39" s="444"/>
    </row>
    <row r="40" spans="5:6">
      <c r="E40" s="444"/>
      <c r="F40" s="444"/>
    </row>
    <row r="41" spans="5:6">
      <c r="E41" s="444"/>
      <c r="F41" s="444"/>
    </row>
    <row r="42" spans="5:6">
      <c r="E42" s="444"/>
      <c r="F42" s="444"/>
    </row>
    <row r="43" spans="5:6">
      <c r="E43" s="444"/>
      <c r="F43" s="444"/>
    </row>
    <row r="44" spans="5:6">
      <c r="E44" s="444"/>
      <c r="F44" s="444"/>
    </row>
    <row r="45" spans="5:6">
      <c r="E45" s="444"/>
      <c r="F45" s="444"/>
    </row>
    <row r="46" spans="5:6">
      <c r="E46" s="444"/>
      <c r="F46" s="444"/>
    </row>
    <row r="47" spans="5:6">
      <c r="E47" s="444"/>
      <c r="F47" s="444"/>
    </row>
    <row r="48" spans="5:6">
      <c r="E48" s="444"/>
      <c r="F48" s="444"/>
    </row>
    <row r="49" spans="5:6">
      <c r="E49" s="444"/>
      <c r="F49" s="444"/>
    </row>
    <row r="50" spans="5:6">
      <c r="E50" s="444"/>
      <c r="F50" s="444"/>
    </row>
    <row r="51" spans="5:6">
      <c r="E51" s="444"/>
      <c r="F51" s="444"/>
    </row>
    <row r="52" spans="5:6">
      <c r="E52" s="444"/>
      <c r="F52" s="444"/>
    </row>
    <row r="53" spans="5:6">
      <c r="E53" s="444"/>
      <c r="F53" s="444"/>
    </row>
    <row r="54" spans="5:6">
      <c r="E54" s="444"/>
      <c r="F54" s="444"/>
    </row>
    <row r="55" spans="5:6">
      <c r="E55" s="444"/>
      <c r="F55" s="444"/>
    </row>
    <row r="56" spans="5:6">
      <c r="E56" s="444"/>
      <c r="F56" s="444"/>
    </row>
    <row r="57" spans="5:6">
      <c r="E57" s="444"/>
      <c r="F57" s="444"/>
    </row>
    <row r="58" spans="5:6">
      <c r="E58" s="444"/>
      <c r="F58" s="444"/>
    </row>
    <row r="59" spans="5:6">
      <c r="E59" s="444"/>
      <c r="F59" s="444"/>
    </row>
    <row r="60" spans="5:6">
      <c r="E60" s="444"/>
      <c r="F60" s="444"/>
    </row>
    <row r="61" spans="5:6">
      <c r="E61" s="444"/>
      <c r="F61" s="444"/>
    </row>
    <row r="62" spans="5:6">
      <c r="E62" s="444"/>
      <c r="F62" s="444"/>
    </row>
    <row r="63" spans="5:6">
      <c r="E63" s="444"/>
      <c r="F63" s="444"/>
    </row>
    <row r="64" spans="5:6">
      <c r="E64" s="444"/>
      <c r="F64" s="444"/>
    </row>
    <row r="65" spans="5:6">
      <c r="E65" s="444"/>
      <c r="F65" s="444"/>
    </row>
    <row r="66" spans="5:6">
      <c r="E66" s="444"/>
      <c r="F66" s="444"/>
    </row>
    <row r="67" spans="5:6">
      <c r="E67" s="444"/>
      <c r="F67" s="444"/>
    </row>
    <row r="68" spans="5:6">
      <c r="E68" s="444"/>
      <c r="F68" s="444"/>
    </row>
    <row r="69" spans="5:6">
      <c r="E69" s="444"/>
      <c r="F69" s="444"/>
    </row>
    <row r="70" spans="5:6">
      <c r="E70" s="444"/>
      <c r="F70" s="444"/>
    </row>
    <row r="71" spans="5:6">
      <c r="E71" s="444"/>
      <c r="F71" s="444"/>
    </row>
    <row r="72" spans="5:6">
      <c r="E72" s="444"/>
      <c r="F72" s="444"/>
    </row>
    <row r="73" spans="5:6">
      <c r="E73" s="444"/>
      <c r="F73" s="444"/>
    </row>
    <row r="74" spans="5:6">
      <c r="E74" s="444"/>
      <c r="F74" s="444"/>
    </row>
    <row r="75" spans="5:6">
      <c r="E75" s="444"/>
      <c r="F75" s="444"/>
    </row>
    <row r="76" spans="5:6">
      <c r="E76" s="444"/>
      <c r="F76" s="444"/>
    </row>
    <row r="77" spans="5:6">
      <c r="E77" s="444"/>
      <c r="F77" s="444"/>
    </row>
    <row r="78" spans="5:6">
      <c r="E78" s="444"/>
      <c r="F78" s="444"/>
    </row>
    <row r="79" spans="5:6">
      <c r="E79" s="444"/>
      <c r="F79" s="444"/>
    </row>
    <row r="80" spans="5:6">
      <c r="E80" s="444"/>
      <c r="F80" s="444"/>
    </row>
    <row r="81" spans="5:6">
      <c r="E81" s="444"/>
      <c r="F81" s="444"/>
    </row>
    <row r="82" spans="5:6">
      <c r="E82" s="444"/>
      <c r="F82" s="444"/>
    </row>
    <row r="83" spans="5:6">
      <c r="E83" s="444"/>
      <c r="F83" s="444"/>
    </row>
    <row r="84" spans="5:6">
      <c r="E84" s="444"/>
      <c r="F84" s="444"/>
    </row>
    <row r="85" spans="5:6">
      <c r="E85" s="444"/>
      <c r="F85" s="444"/>
    </row>
    <row r="86" spans="5:6">
      <c r="E86" s="444"/>
      <c r="F86" s="444"/>
    </row>
    <row r="87" spans="5:6">
      <c r="E87" s="444"/>
      <c r="F87" s="444"/>
    </row>
    <row r="88" spans="5:6">
      <c r="E88" s="444"/>
      <c r="F88" s="444"/>
    </row>
    <row r="89" spans="5:6">
      <c r="E89" s="444"/>
      <c r="F89" s="444"/>
    </row>
    <row r="90" spans="5:6">
      <c r="E90" s="444"/>
      <c r="F90" s="444"/>
    </row>
    <row r="91" spans="5:6">
      <c r="E91" s="444"/>
      <c r="F91" s="444"/>
    </row>
    <row r="92" spans="5:6">
      <c r="E92" s="444"/>
      <c r="F92" s="444"/>
    </row>
    <row r="93" spans="5:6">
      <c r="E93" s="444"/>
      <c r="F93" s="444"/>
    </row>
    <row r="94" spans="5:6">
      <c r="E94" s="444"/>
      <c r="F94" s="444"/>
    </row>
    <row r="95" spans="5:6">
      <c r="E95" s="444"/>
      <c r="F95" s="444"/>
    </row>
    <row r="96" spans="5:6">
      <c r="E96" s="444"/>
      <c r="F96" s="444"/>
    </row>
    <row r="97" spans="5:6">
      <c r="E97" s="444"/>
      <c r="F97" s="444"/>
    </row>
    <row r="98" spans="5:6">
      <c r="E98" s="444"/>
      <c r="F98" s="444"/>
    </row>
    <row r="99" spans="5:6">
      <c r="E99" s="444"/>
      <c r="F99" s="444"/>
    </row>
    <row r="100" spans="5:6">
      <c r="E100" s="444"/>
      <c r="F100" s="444"/>
    </row>
    <row r="101" spans="5:6">
      <c r="E101" s="444"/>
      <c r="F101" s="444"/>
    </row>
    <row r="102" spans="5:6">
      <c r="E102" s="444"/>
      <c r="F102" s="444"/>
    </row>
    <row r="103" spans="5:6">
      <c r="E103" s="444"/>
      <c r="F103" s="444"/>
    </row>
    <row r="104" spans="5:6">
      <c r="E104" s="444"/>
      <c r="F104" s="444"/>
    </row>
    <row r="105" spans="5:6">
      <c r="E105" s="444"/>
      <c r="F105" s="444"/>
    </row>
    <row r="106" spans="5:6">
      <c r="E106" s="444"/>
      <c r="F106" s="444"/>
    </row>
    <row r="107" spans="5:6">
      <c r="E107" s="444"/>
      <c r="F107" s="444"/>
    </row>
    <row r="108" spans="5:6">
      <c r="E108" s="444"/>
      <c r="F108" s="444"/>
    </row>
    <row r="109" spans="5:6">
      <c r="E109" s="444"/>
      <c r="F109" s="444"/>
    </row>
    <row r="110" spans="5:6">
      <c r="E110" s="444"/>
      <c r="F110" s="444"/>
    </row>
    <row r="111" spans="5:6">
      <c r="E111" s="444"/>
      <c r="F111" s="444"/>
    </row>
    <row r="112" spans="5:6">
      <c r="E112" s="444"/>
      <c r="F112" s="444"/>
    </row>
    <row r="113" spans="5:6">
      <c r="E113" s="444"/>
      <c r="F113" s="444"/>
    </row>
    <row r="114" spans="5:6">
      <c r="E114" s="444"/>
      <c r="F114" s="444"/>
    </row>
    <row r="115" spans="5:6">
      <c r="E115" s="444"/>
      <c r="F115" s="444"/>
    </row>
    <row r="116" spans="5:6">
      <c r="E116" s="444"/>
      <c r="F116" s="444"/>
    </row>
    <row r="117" spans="5:6">
      <c r="E117" s="444"/>
      <c r="F117" s="444"/>
    </row>
    <row r="118" spans="5:6">
      <c r="E118" s="444"/>
      <c r="F118" s="444"/>
    </row>
    <row r="119" spans="5:6">
      <c r="E119" s="444"/>
      <c r="F119" s="444"/>
    </row>
    <row r="120" spans="5:6">
      <c r="E120" s="444"/>
      <c r="F120" s="444"/>
    </row>
    <row r="121" spans="5:6">
      <c r="E121" s="444"/>
      <c r="F121" s="444"/>
    </row>
    <row r="122" spans="5:6">
      <c r="E122" s="444"/>
      <c r="F122" s="444"/>
    </row>
    <row r="123" spans="5:6">
      <c r="E123" s="444"/>
      <c r="F123" s="444"/>
    </row>
    <row r="124" spans="5:6">
      <c r="E124" s="444"/>
      <c r="F124" s="444"/>
    </row>
    <row r="125" spans="5:6">
      <c r="E125" s="444"/>
      <c r="F125" s="444"/>
    </row>
    <row r="126" spans="5:6">
      <c r="E126" s="444"/>
      <c r="F126" s="444"/>
    </row>
    <row r="127" spans="5:6">
      <c r="E127" s="444"/>
      <c r="F127" s="444"/>
    </row>
    <row r="128" spans="5:6">
      <c r="E128" s="444"/>
      <c r="F128" s="444"/>
    </row>
    <row r="129" spans="5:6">
      <c r="E129" s="444"/>
      <c r="F129" s="444"/>
    </row>
    <row r="130" spans="5:6">
      <c r="E130" s="444"/>
      <c r="F130" s="444"/>
    </row>
    <row r="131" spans="5:6">
      <c r="E131" s="444"/>
      <c r="F131" s="444"/>
    </row>
    <row r="132" spans="5:6">
      <c r="E132" s="444"/>
      <c r="F132" s="444"/>
    </row>
    <row r="133" spans="5:6">
      <c r="E133" s="444"/>
      <c r="F133" s="444"/>
    </row>
    <row r="134" spans="5:6">
      <c r="E134" s="444"/>
      <c r="F134" s="444"/>
    </row>
    <row r="135" spans="5:6">
      <c r="E135" s="444"/>
      <c r="F135" s="444"/>
    </row>
    <row r="136" spans="5:6">
      <c r="E136" s="444"/>
      <c r="F136" s="444"/>
    </row>
    <row r="137" spans="5:6">
      <c r="E137" s="444"/>
      <c r="F137" s="444"/>
    </row>
    <row r="138" spans="5:6">
      <c r="E138" s="444"/>
      <c r="F138" s="444"/>
    </row>
    <row r="139" spans="5:6">
      <c r="E139" s="444"/>
      <c r="F139" s="444"/>
    </row>
    <row r="140" spans="5:6">
      <c r="E140" s="444"/>
      <c r="F140" s="444"/>
    </row>
    <row r="141" spans="5:6">
      <c r="E141" s="444"/>
      <c r="F141" s="444"/>
    </row>
    <row r="142" spans="5:6">
      <c r="E142" s="444"/>
      <c r="F142" s="444"/>
    </row>
    <row r="143" spans="5:6">
      <c r="E143" s="444"/>
      <c r="F143" s="444"/>
    </row>
    <row r="144" spans="5:6">
      <c r="E144" s="444"/>
      <c r="F144" s="444"/>
    </row>
    <row r="145" spans="5:6">
      <c r="E145" s="444"/>
      <c r="F145" s="444"/>
    </row>
    <row r="146" spans="5:6">
      <c r="E146" s="444"/>
      <c r="F146" s="444"/>
    </row>
    <row r="147" spans="5:6">
      <c r="E147" s="444"/>
      <c r="F147" s="444"/>
    </row>
    <row r="148" spans="5:6">
      <c r="E148" s="444"/>
      <c r="F148" s="444"/>
    </row>
    <row r="149" spans="5:6">
      <c r="E149" s="444"/>
      <c r="F149" s="444"/>
    </row>
    <row r="150" spans="5:6">
      <c r="E150" s="444"/>
      <c r="F150" s="444"/>
    </row>
    <row r="151" spans="5:6">
      <c r="E151" s="444"/>
      <c r="F151" s="444"/>
    </row>
    <row r="152" spans="5:6">
      <c r="E152" s="444"/>
      <c r="F152" s="444"/>
    </row>
    <row r="153" spans="5:6">
      <c r="E153" s="444"/>
      <c r="F153" s="444"/>
    </row>
    <row r="154" spans="5:6">
      <c r="E154" s="444"/>
      <c r="F154" s="444"/>
    </row>
    <row r="155" spans="5:6">
      <c r="E155" s="444"/>
      <c r="F155" s="444"/>
    </row>
    <row r="156" spans="5:6">
      <c r="E156" s="444"/>
      <c r="F156" s="444"/>
    </row>
    <row r="157" spans="5:6">
      <c r="E157" s="444"/>
      <c r="F157" s="444"/>
    </row>
    <row r="158" spans="5:6">
      <c r="E158" s="444"/>
      <c r="F158" s="444"/>
    </row>
    <row r="159" spans="5:6">
      <c r="E159" s="444"/>
      <c r="F159" s="444"/>
    </row>
    <row r="160" spans="5:6">
      <c r="E160" s="444"/>
      <c r="F160" s="444"/>
    </row>
    <row r="161" spans="5:6">
      <c r="E161" s="444"/>
      <c r="F161" s="444"/>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&amp;C32&amp;R&amp;7Dirección Ejecutiva
Sub Dirección de Gestión de Información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3946-7A19-4C52-A4E6-47937C2A6AA0}">
  <sheetPr>
    <tabColor theme="4"/>
  </sheetPr>
  <dimension ref="B4:O65"/>
  <sheetViews>
    <sheetView showGridLines="0" view="pageBreakPreview" zoomScale="115" zoomScaleNormal="100" zoomScaleSheetLayoutView="115" workbookViewId="0">
      <selection activeCell="Q29" sqref="Q29"/>
    </sheetView>
  </sheetViews>
  <sheetFormatPr baseColWidth="10" defaultColWidth="9.140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452"/>
      <c r="C7" s="25"/>
      <c r="D7" s="25"/>
      <c r="E7" s="25"/>
      <c r="F7" s="25"/>
      <c r="G7" s="25"/>
      <c r="H7" s="25"/>
      <c r="I7" s="25"/>
      <c r="J7" s="25"/>
      <c r="K7" s="25"/>
      <c r="L7" s="25"/>
      <c r="M7" s="25"/>
      <c r="N7" s="25"/>
      <c r="O7" s="25"/>
    </row>
    <row r="8" spans="2:15">
      <c r="B8" s="452"/>
      <c r="C8" s="25"/>
      <c r="D8" s="25"/>
      <c r="E8" s="25"/>
      <c r="F8" s="25"/>
      <c r="G8" s="25"/>
      <c r="H8" s="25"/>
      <c r="I8" s="25"/>
      <c r="J8" s="25"/>
      <c r="K8" s="25"/>
      <c r="L8" s="25"/>
      <c r="M8" s="25"/>
      <c r="N8" s="25"/>
      <c r="O8" s="25"/>
    </row>
    <row r="9" spans="2:15">
      <c r="B9" s="452"/>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453"/>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89D1-05B2-4F97-B1FF-AE49CF1D8CBB}">
  <sheetPr>
    <tabColor theme="4"/>
  </sheetPr>
  <dimension ref="A2:O55"/>
  <sheetViews>
    <sheetView showGridLines="0" view="pageBreakPreview" zoomScale="175" zoomScaleNormal="100" zoomScaleSheetLayoutView="175" zoomScalePageLayoutView="160" workbookViewId="0">
      <selection activeCell="Q29" sqref="Q29"/>
    </sheetView>
  </sheetViews>
  <sheetFormatPr baseColWidth="10" defaultColWidth="9.28515625" defaultRowHeight="10.199999999999999"/>
  <cols>
    <col min="1" max="1" width="12" style="46" customWidth="1"/>
    <col min="2" max="3" width="11" style="46" customWidth="1"/>
    <col min="4" max="5" width="11.28515625" style="46" customWidth="1"/>
    <col min="6" max="6" width="12.28515625" style="46" customWidth="1"/>
    <col min="7" max="7" width="9.28515625" style="46"/>
    <col min="8" max="8" width="13.28515625" style="46" customWidth="1"/>
    <col min="9" max="9" width="13.140625" style="46" customWidth="1"/>
    <col min="10" max="10" width="11.7109375" style="46" customWidth="1"/>
    <col min="11" max="16384" width="9.28515625" style="46"/>
  </cols>
  <sheetData>
    <row r="2" spans="1:13" ht="16.5" customHeight="1">
      <c r="A2" s="775" t="s">
        <v>477</v>
      </c>
      <c r="B2" s="775"/>
      <c r="C2" s="775"/>
      <c r="D2" s="775"/>
      <c r="E2" s="775"/>
      <c r="F2" s="775"/>
      <c r="G2" s="775"/>
      <c r="H2" s="775"/>
      <c r="I2" s="775"/>
      <c r="J2" s="775"/>
      <c r="K2" s="281"/>
    </row>
    <row r="3" spans="1:13" ht="7.5" customHeight="1">
      <c r="A3" s="137"/>
      <c r="B3" s="258"/>
      <c r="C3" s="270"/>
      <c r="D3" s="271"/>
      <c r="E3" s="271"/>
      <c r="F3" s="272"/>
      <c r="G3" s="273"/>
      <c r="H3" s="273"/>
      <c r="I3" s="200"/>
      <c r="J3" s="272"/>
    </row>
    <row r="4" spans="1:13" ht="11.25" customHeight="1">
      <c r="A4" s="227" t="s">
        <v>235</v>
      </c>
      <c r="B4" s="258"/>
      <c r="C4" s="270"/>
      <c r="D4" s="271"/>
      <c r="E4" s="271"/>
      <c r="F4" s="272"/>
      <c r="G4" s="273"/>
      <c r="H4" s="273"/>
      <c r="I4" s="200"/>
      <c r="J4" s="272"/>
      <c r="K4" s="36"/>
    </row>
    <row r="5" spans="1:13" ht="9" customHeight="1">
      <c r="A5" s="137"/>
      <c r="B5" s="258"/>
      <c r="C5" s="270"/>
      <c r="D5" s="271"/>
      <c r="E5" s="271"/>
      <c r="F5" s="272"/>
      <c r="G5" s="273"/>
      <c r="H5" s="273"/>
      <c r="I5" s="200"/>
      <c r="J5" s="272"/>
      <c r="K5" s="36"/>
    </row>
    <row r="6" spans="1:13" ht="19.2">
      <c r="A6" s="635" t="s">
        <v>229</v>
      </c>
      <c r="B6" s="636" t="s">
        <v>230</v>
      </c>
      <c r="C6" s="636" t="s">
        <v>231</v>
      </c>
      <c r="D6" s="636" t="s">
        <v>232</v>
      </c>
      <c r="E6" s="636" t="s">
        <v>233</v>
      </c>
      <c r="F6" s="637" t="s">
        <v>234</v>
      </c>
      <c r="G6" s="638" t="s">
        <v>244</v>
      </c>
      <c r="H6" s="637" t="s">
        <v>248</v>
      </c>
      <c r="I6" s="638" t="s">
        <v>560</v>
      </c>
      <c r="J6" s="639" t="s">
        <v>245</v>
      </c>
      <c r="K6" s="275"/>
    </row>
    <row r="7" spans="1:13" s="274" customFormat="1" ht="27.75" customHeight="1">
      <c r="A7" s="689" t="s">
        <v>236</v>
      </c>
      <c r="B7" s="688" t="s">
        <v>30</v>
      </c>
      <c r="C7" s="688" t="s">
        <v>237</v>
      </c>
      <c r="D7" s="688" t="s">
        <v>243</v>
      </c>
      <c r="E7" s="688" t="s">
        <v>238</v>
      </c>
      <c r="F7" s="690" t="s">
        <v>249</v>
      </c>
      <c r="G7" s="698">
        <v>33</v>
      </c>
      <c r="H7" s="691">
        <v>144.48400000000001</v>
      </c>
      <c r="I7" s="700" t="s">
        <v>578</v>
      </c>
      <c r="J7" s="692" t="s">
        <v>239</v>
      </c>
      <c r="K7" s="280"/>
      <c r="L7" s="274">
        <v>144.47999999999999</v>
      </c>
    </row>
    <row r="8" spans="1:13" s="274" customFormat="1" ht="24.75" customHeight="1">
      <c r="A8" s="693" t="s">
        <v>531</v>
      </c>
      <c r="B8" s="694" t="s">
        <v>37</v>
      </c>
      <c r="C8" s="694" t="s">
        <v>532</v>
      </c>
      <c r="D8" s="694" t="s">
        <v>541</v>
      </c>
      <c r="E8" s="694" t="s">
        <v>535</v>
      </c>
      <c r="F8" s="695" t="s">
        <v>540</v>
      </c>
      <c r="G8" s="699">
        <v>13.8</v>
      </c>
      <c r="H8" s="696">
        <v>20</v>
      </c>
      <c r="I8" s="696">
        <v>20</v>
      </c>
      <c r="J8" s="697" t="s">
        <v>539</v>
      </c>
      <c r="K8" s="280"/>
      <c r="L8" s="274">
        <v>20</v>
      </c>
    </row>
    <row r="9" spans="1:13" s="274" customFormat="1" ht="30" customHeight="1">
      <c r="A9" s="689" t="s">
        <v>105</v>
      </c>
      <c r="B9" s="688" t="s">
        <v>38</v>
      </c>
      <c r="C9" s="688" t="s">
        <v>25</v>
      </c>
      <c r="D9" s="688" t="s">
        <v>551</v>
      </c>
      <c r="E9" s="688" t="s">
        <v>523</v>
      </c>
      <c r="F9" s="690" t="s">
        <v>551</v>
      </c>
      <c r="G9" s="698">
        <v>13.8</v>
      </c>
      <c r="H9" s="691" t="s">
        <v>579</v>
      </c>
      <c r="I9" s="691" t="s">
        <v>580</v>
      </c>
      <c r="J9" s="692" t="s">
        <v>522</v>
      </c>
      <c r="K9" s="280"/>
      <c r="L9" s="661">
        <v>103.95113000000001</v>
      </c>
    </row>
    <row r="10" spans="1:13" s="274" customFormat="1" ht="24.75" customHeight="1">
      <c r="A10" s="693" t="s">
        <v>92</v>
      </c>
      <c r="B10" s="694" t="s">
        <v>30</v>
      </c>
      <c r="C10" s="694" t="s">
        <v>237</v>
      </c>
      <c r="D10" s="694" t="s">
        <v>243</v>
      </c>
      <c r="E10" s="694" t="s">
        <v>536</v>
      </c>
      <c r="F10" s="695" t="s">
        <v>537</v>
      </c>
      <c r="G10" s="699">
        <v>22.9</v>
      </c>
      <c r="H10" s="696">
        <v>44.54</v>
      </c>
      <c r="I10" s="696" t="s">
        <v>581</v>
      </c>
      <c r="J10" s="697" t="s">
        <v>538</v>
      </c>
      <c r="K10" s="280"/>
      <c r="L10" s="274">
        <v>44.54</v>
      </c>
    </row>
    <row r="11" spans="1:13" s="274" customFormat="1" ht="23.25" customHeight="1">
      <c r="A11" s="689" t="s">
        <v>236</v>
      </c>
      <c r="B11" s="688" t="s">
        <v>575</v>
      </c>
      <c r="C11" s="688" t="s">
        <v>576</v>
      </c>
      <c r="D11" s="688" t="s">
        <v>577</v>
      </c>
      <c r="E11" s="688" t="s">
        <v>582</v>
      </c>
      <c r="F11" s="690" t="s">
        <v>583</v>
      </c>
      <c r="G11" s="698">
        <v>12</v>
      </c>
      <c r="H11" s="691">
        <v>132.30000000000001</v>
      </c>
      <c r="I11" s="691" t="s">
        <v>586</v>
      </c>
      <c r="J11" s="692" t="s">
        <v>584</v>
      </c>
      <c r="K11" s="280"/>
      <c r="L11" s="274">
        <v>132.30000000000001</v>
      </c>
    </row>
    <row r="12" spans="1:13" ht="11.25" customHeight="1">
      <c r="A12" s="640" t="s">
        <v>44</v>
      </c>
      <c r="B12" s="641"/>
      <c r="C12" s="641"/>
      <c r="D12" s="641"/>
      <c r="E12" s="642"/>
      <c r="F12" s="643"/>
      <c r="G12" s="644"/>
      <c r="H12" s="645">
        <f>+SUM(H7:H11)+123.61</f>
        <v>464.93400000000003</v>
      </c>
      <c r="I12" s="645">
        <f>+SUM(L7:L11)</f>
        <v>445.27113000000003</v>
      </c>
      <c r="J12" s="646"/>
      <c r="K12" s="247"/>
      <c r="L12" s="658"/>
    </row>
    <row r="13" spans="1:13" ht="15" customHeight="1">
      <c r="A13" s="368" t="str">
        <f>"Cuadro N° 1: Relación de ingresos a operación comercial en "&amp;'1. Resumen'!Q4&amp;" "&amp;'1. Resumen'!Q5</f>
        <v>Cuadro N° 1: Relación de ingresos a operación comercial en julio 2018</v>
      </c>
      <c r="B13" s="132"/>
      <c r="C13" s="132"/>
      <c r="D13" s="132"/>
      <c r="E13" s="132"/>
      <c r="F13" s="132"/>
      <c r="G13" s="132"/>
      <c r="H13" s="132"/>
      <c r="I13" s="132"/>
      <c r="J13" s="132"/>
      <c r="K13" s="247"/>
    </row>
    <row r="14" spans="1:13" ht="11.25" customHeight="1">
      <c r="A14" s="784" t="s">
        <v>585</v>
      </c>
      <c r="B14" s="784"/>
      <c r="C14" s="784"/>
      <c r="D14" s="784"/>
      <c r="E14" s="784"/>
      <c r="F14" s="784"/>
      <c r="G14" s="784"/>
      <c r="H14" s="784"/>
      <c r="I14" s="784"/>
      <c r="J14" s="784"/>
      <c r="K14" s="247"/>
    </row>
    <row r="15" spans="1:13" ht="11.25" customHeight="1">
      <c r="A15" s="664" t="s">
        <v>544</v>
      </c>
      <c r="B15" s="664"/>
      <c r="C15" s="664"/>
      <c r="D15" s="664"/>
      <c r="E15" s="664"/>
      <c r="F15" s="664"/>
      <c r="G15" s="664"/>
      <c r="H15" s="664"/>
      <c r="I15" s="664"/>
      <c r="J15" s="664"/>
      <c r="K15" s="247"/>
      <c r="L15" s="46" t="s">
        <v>246</v>
      </c>
      <c r="M15" s="658">
        <f>+L7+L10</f>
        <v>189.01999999999998</v>
      </c>
    </row>
    <row r="16" spans="1:13" ht="20.25" customHeight="1">
      <c r="A16" s="785" t="s">
        <v>545</v>
      </c>
      <c r="B16" s="785"/>
      <c r="C16" s="785"/>
      <c r="D16" s="785"/>
      <c r="E16" s="785"/>
      <c r="F16" s="785"/>
      <c r="G16" s="785"/>
      <c r="H16" s="785"/>
      <c r="I16" s="785"/>
      <c r="J16" s="785"/>
      <c r="K16" s="247"/>
      <c r="L16" s="46" t="s">
        <v>542</v>
      </c>
      <c r="M16" s="658">
        <f>+L8</f>
        <v>20</v>
      </c>
    </row>
    <row r="17" spans="1:13" ht="11.25" customHeight="1">
      <c r="A17" s="191"/>
      <c r="B17" s="277"/>
      <c r="C17" s="276"/>
      <c r="D17" s="276"/>
      <c r="E17" s="276"/>
      <c r="F17" s="276"/>
      <c r="G17" s="276"/>
      <c r="H17" s="282"/>
      <c r="I17" s="282"/>
      <c r="J17" s="282"/>
      <c r="K17" s="247"/>
      <c r="L17" s="46" t="s">
        <v>553</v>
      </c>
      <c r="M17" s="658">
        <f>+L9</f>
        <v>103.95113000000001</v>
      </c>
    </row>
    <row r="18" spans="1:13" ht="11.25" customHeight="1">
      <c r="A18" s="283"/>
      <c r="B18" s="276"/>
      <c r="C18" s="276"/>
      <c r="D18" s="276"/>
      <c r="E18" s="276"/>
      <c r="F18" s="276"/>
      <c r="G18" s="276"/>
      <c r="H18" s="284"/>
      <c r="I18" s="284"/>
      <c r="J18" s="284"/>
      <c r="K18" s="247"/>
      <c r="L18" s="46" t="s">
        <v>587</v>
      </c>
      <c r="M18" s="46">
        <v>132.30000000000001</v>
      </c>
    </row>
    <row r="19" spans="1:13" ht="11.25" customHeight="1">
      <c r="A19" s="283"/>
      <c r="B19" s="276"/>
      <c r="C19" s="276"/>
      <c r="D19" s="276"/>
      <c r="E19" s="276"/>
      <c r="F19" s="276"/>
      <c r="G19" s="276"/>
      <c r="H19" s="282"/>
      <c r="I19" s="282" t="s">
        <v>8</v>
      </c>
      <c r="J19" s="282"/>
      <c r="K19" s="247"/>
    </row>
    <row r="20" spans="1:13" ht="11.25" customHeight="1">
      <c r="A20" s="283"/>
      <c r="B20" s="276"/>
      <c r="C20" s="276"/>
      <c r="D20" s="276"/>
      <c r="E20" s="276"/>
      <c r="F20" s="276"/>
      <c r="G20" s="276"/>
      <c r="H20" s="282"/>
      <c r="I20" s="282"/>
      <c r="J20" s="282"/>
      <c r="K20" s="247"/>
    </row>
    <row r="21" spans="1:13" ht="11.25" customHeight="1">
      <c r="A21" s="283"/>
      <c r="B21" s="276"/>
      <c r="C21" s="276"/>
      <c r="D21" s="276"/>
      <c r="E21" s="276"/>
      <c r="F21" s="276"/>
      <c r="G21" s="276"/>
      <c r="H21" s="282"/>
      <c r="I21" s="282"/>
      <c r="J21" s="282"/>
      <c r="K21" s="247"/>
    </row>
    <row r="22" spans="1:13" ht="11.25" customHeight="1">
      <c r="A22" s="285"/>
      <c r="B22" s="164"/>
      <c r="C22" s="164"/>
      <c r="D22" s="164"/>
      <c r="E22" s="164"/>
      <c r="F22" s="164"/>
      <c r="G22" s="164"/>
      <c r="H22" s="286"/>
      <c r="I22" s="286"/>
      <c r="J22" s="286"/>
      <c r="K22" s="247"/>
    </row>
    <row r="23" spans="1:13" ht="11.25" customHeight="1">
      <c r="A23" s="287"/>
      <c r="B23" s="212"/>
      <c r="C23" s="212"/>
      <c r="D23" s="138"/>
      <c r="E23" s="138"/>
      <c r="F23" s="138"/>
      <c r="G23" s="138"/>
      <c r="H23" s="276"/>
      <c r="I23" s="276"/>
      <c r="J23" s="276"/>
      <c r="K23" s="247"/>
    </row>
    <row r="24" spans="1:13" ht="11.25" customHeight="1">
      <c r="A24" s="263"/>
      <c r="B24" s="138"/>
      <c r="C24" s="138"/>
      <c r="D24" s="138"/>
      <c r="E24" s="138"/>
      <c r="F24" s="138"/>
      <c r="G24" s="138"/>
      <c r="H24" s="276"/>
      <c r="I24" s="276"/>
      <c r="J24" s="276"/>
      <c r="K24" s="247"/>
    </row>
    <row r="25" spans="1:13" ht="11.25" customHeight="1">
      <c r="A25" s="263"/>
      <c r="B25" s="138"/>
      <c r="C25" s="138"/>
      <c r="D25" s="138"/>
      <c r="E25" s="138"/>
      <c r="F25" s="138"/>
      <c r="G25" s="138"/>
      <c r="H25" s="164"/>
      <c r="I25" s="164"/>
      <c r="J25" s="164"/>
      <c r="K25" s="247"/>
    </row>
    <row r="26" spans="1:13" ht="11.25" customHeight="1">
      <c r="A26" s="263"/>
      <c r="B26" s="138"/>
      <c r="C26" s="138"/>
      <c r="D26" s="138"/>
      <c r="E26" s="138"/>
      <c r="F26" s="138"/>
      <c r="G26" s="138"/>
      <c r="H26" s="276"/>
      <c r="I26" s="276"/>
      <c r="J26" s="276"/>
      <c r="K26" s="247"/>
    </row>
    <row r="27" spans="1:13" ht="11.25" customHeight="1">
      <c r="A27" s="263"/>
      <c r="B27" s="138"/>
      <c r="C27" s="138"/>
      <c r="D27" s="138"/>
      <c r="E27" s="138"/>
      <c r="F27" s="138"/>
      <c r="G27" s="138"/>
      <c r="H27" s="165"/>
      <c r="I27" s="165"/>
      <c r="J27" s="165"/>
      <c r="K27" s="247"/>
    </row>
    <row r="28" spans="1:13" ht="11.25" customHeight="1">
      <c r="A28" s="278"/>
      <c r="B28" s="177"/>
      <c r="C28" s="177"/>
      <c r="D28" s="177"/>
      <c r="E28" s="177"/>
      <c r="F28" s="177"/>
      <c r="G28" s="177"/>
      <c r="H28" s="177"/>
      <c r="I28" s="177"/>
      <c r="J28" s="177"/>
      <c r="K28" s="247"/>
    </row>
    <row r="29" spans="1:13" ht="11.25" customHeight="1">
      <c r="A29" s="276"/>
      <c r="B29" s="138"/>
      <c r="C29" s="138"/>
      <c r="D29" s="138"/>
      <c r="E29" s="138"/>
      <c r="F29" s="138"/>
      <c r="G29" s="138"/>
      <c r="H29" s="138"/>
      <c r="I29" s="138"/>
      <c r="J29" s="138"/>
      <c r="K29" s="247"/>
    </row>
    <row r="30" spans="1:13" ht="11.25" customHeight="1">
      <c r="A30" s="17"/>
      <c r="B30" s="774" t="str">
        <f>"Gráfico 2: Ingreso de Potencia Efectiva por tipo de Recurso Energético y Tecnología en "&amp;'1. Resumen'!Q4&amp;" "&amp;'1. Resumen'!Q5&amp;" (MW)"</f>
        <v>Gráfico 2: Ingreso de Potencia Efectiva por tipo de Recurso Energético y Tecnología en julio 2018 (MW)</v>
      </c>
      <c r="C30" s="774"/>
      <c r="D30" s="774"/>
      <c r="E30" s="774"/>
      <c r="F30" s="774"/>
      <c r="G30" s="774"/>
      <c r="H30" s="774"/>
      <c r="I30" s="774"/>
      <c r="J30" s="774"/>
      <c r="K30" s="774"/>
    </row>
    <row r="31" spans="1:13" ht="27" customHeight="1">
      <c r="B31" s="786" t="s">
        <v>552</v>
      </c>
      <c r="C31" s="786"/>
      <c r="D31" s="786"/>
      <c r="E31" s="786"/>
      <c r="F31" s="786"/>
      <c r="G31" s="786"/>
      <c r="H31" s="786"/>
    </row>
    <row r="32" spans="1:13" ht="9" customHeight="1">
      <c r="A32" s="17"/>
      <c r="B32" s="17"/>
      <c r="C32" s="17"/>
      <c r="D32" s="17"/>
      <c r="E32" s="17"/>
      <c r="F32" s="17"/>
      <c r="G32" s="17"/>
      <c r="H32" s="17"/>
      <c r="I32" s="17"/>
      <c r="J32" s="17"/>
      <c r="K32" s="247"/>
    </row>
    <row r="33" spans="1:15" ht="11.25" customHeight="1">
      <c r="A33" s="213" t="s">
        <v>490</v>
      </c>
      <c r="B33" s="132"/>
      <c r="C33" s="279"/>
      <c r="D33" s="132"/>
      <c r="E33" s="132"/>
      <c r="F33" s="132"/>
      <c r="G33" s="132"/>
      <c r="H33" s="132"/>
      <c r="I33" s="132"/>
      <c r="J33" s="132"/>
      <c r="K33" s="247"/>
    </row>
    <row r="34" spans="1:15" ht="11.25" customHeight="1">
      <c r="B34" s="132"/>
      <c r="C34" s="279"/>
      <c r="D34" s="132"/>
      <c r="E34" s="132"/>
      <c r="F34" s="132"/>
      <c r="G34" s="132"/>
      <c r="H34" s="132"/>
      <c r="I34" s="132"/>
      <c r="J34" s="132"/>
      <c r="K34" s="247"/>
    </row>
    <row r="35" spans="1:15" ht="33.75" customHeight="1">
      <c r="B35" s="772" t="s">
        <v>247</v>
      </c>
      <c r="C35" s="773"/>
      <c r="D35" s="659" t="str">
        <f>UPPER('1. Resumen'!Q4)&amp;" "&amp;'1. Resumen'!Q5</f>
        <v>JULIO 2018</v>
      </c>
      <c r="E35" s="659" t="str">
        <f>UPPER('1. Resumen'!Q4)&amp;" "&amp;'1. Resumen'!Q5-1</f>
        <v>JULIO 2017</v>
      </c>
      <c r="F35" s="660" t="s">
        <v>250</v>
      </c>
      <c r="G35" s="288"/>
      <c r="H35" s="288"/>
      <c r="I35" s="132"/>
      <c r="J35" s="132"/>
    </row>
    <row r="36" spans="1:15" ht="11.25" customHeight="1">
      <c r="B36" s="776" t="s">
        <v>240</v>
      </c>
      <c r="C36" s="777"/>
      <c r="D36" s="668">
        <v>4904.5012475000012</v>
      </c>
      <c r="E36" s="647">
        <v>4870.7</v>
      </c>
      <c r="F36" s="648">
        <f>+D36/E36-1</f>
        <v>6.9397104112347563E-3</v>
      </c>
      <c r="G36" s="288"/>
      <c r="H36" s="288"/>
      <c r="I36" s="132"/>
      <c r="J36" s="132"/>
      <c r="K36" s="247"/>
    </row>
    <row r="37" spans="1:15" ht="11.25" customHeight="1">
      <c r="B37" s="778" t="s">
        <v>241</v>
      </c>
      <c r="C37" s="779"/>
      <c r="D37" s="669">
        <v>7393.5644999999995</v>
      </c>
      <c r="E37" s="649">
        <v>7373.5784999999987</v>
      </c>
      <c r="F37" s="650">
        <f>+D37/E37-1</f>
        <v>2.7104885368753884E-3</v>
      </c>
      <c r="G37" s="249"/>
      <c r="H37" s="249"/>
      <c r="M37" s="138"/>
      <c r="N37" s="138"/>
      <c r="O37" s="132"/>
    </row>
    <row r="38" spans="1:15" ht="11.25" customHeight="1">
      <c r="B38" s="780" t="s">
        <v>242</v>
      </c>
      <c r="C38" s="781"/>
      <c r="D38" s="670">
        <v>375.46</v>
      </c>
      <c r="E38" s="651">
        <v>96</v>
      </c>
      <c r="F38" s="652">
        <f>+D38/E38-1</f>
        <v>2.9110416666666663</v>
      </c>
      <c r="G38" s="249"/>
      <c r="H38" s="249"/>
    </row>
    <row r="39" spans="1:15" ht="11.25" customHeight="1">
      <c r="B39" s="782" t="s">
        <v>84</v>
      </c>
      <c r="C39" s="783"/>
      <c r="D39" s="671">
        <v>285.02</v>
      </c>
      <c r="E39" s="653">
        <v>243.16</v>
      </c>
      <c r="F39" s="654">
        <f>+D39/E39-1</f>
        <v>0.17215002467511087</v>
      </c>
      <c r="G39" s="249"/>
      <c r="H39" s="249"/>
    </row>
    <row r="40" spans="1:15" ht="11.25" customHeight="1">
      <c r="B40" s="770" t="s">
        <v>214</v>
      </c>
      <c r="C40" s="771"/>
      <c r="D40" s="672">
        <f>+D36+D37+D38+D39</f>
        <v>12958.5457475</v>
      </c>
      <c r="E40" s="655">
        <f>+E36+E37+E38+E39</f>
        <v>12583.438499999998</v>
      </c>
      <c r="F40" s="656">
        <f>+D40/E40-1</f>
        <v>2.9809598346270949E-2</v>
      </c>
      <c r="G40" s="662"/>
      <c r="H40" s="249"/>
    </row>
    <row r="41" spans="1:15" ht="11.25" customHeight="1">
      <c r="B41" s="368" t="str">
        <f>"Cuadro N° 2: Comparación de la potencia instalada en el SEIN al término de "&amp;'1. Resumen'!Q4&amp;" "&amp;'1. Resumen'!Q5-1&amp;" y "&amp;'1. Resumen'!Q4&amp;" "&amp;'1. Resumen'!Q5</f>
        <v>Cuadro N° 2: Comparación de la potencia instalada en el SEIN al término de julio 2017 y julio 2018</v>
      </c>
      <c r="C41" s="288"/>
      <c r="D41" s="288"/>
      <c r="E41" s="288"/>
      <c r="F41" s="288"/>
      <c r="G41" s="288"/>
      <c r="H41" s="288"/>
      <c r="I41" s="132"/>
      <c r="J41" s="132"/>
      <c r="K41" s="247"/>
    </row>
    <row r="42" spans="1:15" ht="11.25" customHeight="1">
      <c r="A42" s="132"/>
      <c r="C42" s="249"/>
      <c r="D42" s="288"/>
      <c r="E42" s="288"/>
      <c r="F42" s="288"/>
      <c r="G42" s="288"/>
      <c r="H42" s="288"/>
      <c r="I42" s="132"/>
      <c r="J42" s="132"/>
      <c r="K42" s="247"/>
    </row>
    <row r="43" spans="1:15" ht="11.25" customHeight="1">
      <c r="A43" s="132"/>
      <c r="B43" s="132"/>
      <c r="C43" s="132"/>
      <c r="D43" s="132"/>
      <c r="E43" s="132"/>
      <c r="F43" s="132"/>
      <c r="G43" s="132"/>
      <c r="H43" s="132"/>
      <c r="I43" s="132"/>
      <c r="J43" s="132"/>
      <c r="K43" s="247"/>
    </row>
    <row r="44" spans="1:15" ht="11.25" customHeight="1">
      <c r="A44" s="132"/>
      <c r="B44" s="132"/>
      <c r="C44" s="132"/>
      <c r="D44" s="132"/>
      <c r="E44" s="132"/>
      <c r="F44" s="132"/>
      <c r="G44" s="132"/>
      <c r="H44" s="132"/>
      <c r="I44" s="132"/>
      <c r="J44" s="132"/>
      <c r="K44" s="247"/>
    </row>
    <row r="45" spans="1:15">
      <c r="A45" s="137"/>
      <c r="B45" s="132"/>
      <c r="C45" s="132"/>
      <c r="D45" s="132"/>
      <c r="E45" s="132"/>
      <c r="F45" s="132"/>
      <c r="G45" s="132"/>
      <c r="H45" s="132"/>
      <c r="I45" s="132"/>
      <c r="J45" s="132"/>
    </row>
    <row r="46" spans="1:15">
      <c r="A46" s="132"/>
      <c r="B46" s="132"/>
      <c r="C46" s="132"/>
      <c r="D46" s="132"/>
      <c r="E46" s="132"/>
      <c r="F46" s="132"/>
      <c r="G46" s="132"/>
      <c r="H46" s="132"/>
      <c r="I46" s="132"/>
      <c r="J46" s="132"/>
    </row>
    <row r="47" spans="1:15">
      <c r="A47" s="132"/>
      <c r="B47" s="132"/>
      <c r="C47" s="132"/>
      <c r="D47" s="132"/>
      <c r="E47" s="132"/>
      <c r="F47" s="132"/>
      <c r="G47" s="132"/>
      <c r="H47" s="132"/>
      <c r="I47" s="132"/>
      <c r="J47" s="132"/>
    </row>
    <row r="48" spans="1:15">
      <c r="A48" s="132"/>
      <c r="B48" s="132"/>
      <c r="C48" s="132"/>
      <c r="D48" s="132"/>
      <c r="E48" s="132"/>
      <c r="F48" s="132"/>
      <c r="G48" s="132"/>
      <c r="H48" s="132"/>
      <c r="I48" s="132"/>
      <c r="J48" s="132"/>
    </row>
    <row r="49" spans="1:10">
      <c r="A49" s="132"/>
      <c r="B49" s="132"/>
      <c r="C49" s="132"/>
      <c r="D49" s="132"/>
      <c r="E49" s="132"/>
      <c r="F49" s="132"/>
      <c r="G49" s="132"/>
      <c r="H49" s="132"/>
      <c r="I49" s="132"/>
      <c r="J49" s="132"/>
    </row>
    <row r="50" spans="1:10">
      <c r="A50" s="132"/>
      <c r="B50" s="132"/>
      <c r="C50" s="132"/>
      <c r="D50" s="132"/>
      <c r="E50" s="132"/>
      <c r="F50" s="132"/>
      <c r="G50" s="132"/>
      <c r="H50" s="132"/>
      <c r="I50" s="132"/>
      <c r="J50" s="132"/>
    </row>
    <row r="51" spans="1:10">
      <c r="A51" s="132"/>
      <c r="B51" s="132"/>
      <c r="C51" s="132"/>
      <c r="D51" s="132"/>
      <c r="E51" s="132"/>
      <c r="F51" s="132"/>
      <c r="G51" s="132"/>
      <c r="H51" s="132"/>
      <c r="I51" s="132"/>
      <c r="J51" s="132"/>
    </row>
    <row r="52" spans="1:10">
      <c r="A52" s="132"/>
      <c r="B52" s="132"/>
      <c r="C52" s="132"/>
      <c r="D52" s="132"/>
      <c r="E52" s="132"/>
      <c r="F52" s="132"/>
      <c r="G52" s="132"/>
      <c r="H52" s="132"/>
      <c r="I52" s="132"/>
      <c r="J52" s="132"/>
    </row>
    <row r="53" spans="1:10">
      <c r="A53" s="132"/>
      <c r="B53" s="132"/>
      <c r="C53" s="132"/>
      <c r="D53" s="132"/>
      <c r="E53" s="132"/>
      <c r="F53" s="132"/>
      <c r="G53" s="132"/>
      <c r="H53" s="132"/>
      <c r="I53" s="132"/>
      <c r="J53" s="132"/>
    </row>
    <row r="54" spans="1:10">
      <c r="A54" s="657" t="str">
        <f>"Gráfico N° 3: Comparación de la potencia instalada en el SEIN al término de "&amp;'1. Resumen'!Q4&amp;" "&amp;'1. Resumen'!Q5-1&amp;" y "&amp;'1. Resumen'!Q4&amp;" "&amp;'1. Resumen'!Q5</f>
        <v>Gráfico N° 3: Comparación de la potencia instalada en el SEIN al término de julio 2017 y julio 2018</v>
      </c>
      <c r="C54" s="132"/>
      <c r="D54" s="132"/>
      <c r="E54" s="132"/>
      <c r="F54" s="132"/>
      <c r="G54" s="132"/>
      <c r="H54" s="132"/>
      <c r="I54" s="132"/>
      <c r="J54" s="132"/>
    </row>
    <row r="55" spans="1:10" ht="5.25" customHeight="1">
      <c r="A55" s="132"/>
      <c r="B55" s="132"/>
      <c r="D55" s="132"/>
      <c r="E55" s="132"/>
      <c r="F55" s="132"/>
      <c r="G55" s="132"/>
      <c r="H55" s="132"/>
      <c r="I55" s="132"/>
      <c r="J55" s="132"/>
    </row>
  </sheetData>
  <mergeCells count="11">
    <mergeCell ref="B40:C40"/>
    <mergeCell ref="B35:C35"/>
    <mergeCell ref="B30:K30"/>
    <mergeCell ref="A2:J2"/>
    <mergeCell ref="B36:C36"/>
    <mergeCell ref="B37:C37"/>
    <mergeCell ref="B38:C38"/>
    <mergeCell ref="B39:C39"/>
    <mergeCell ref="A14:J14"/>
    <mergeCell ref="A16:J16"/>
    <mergeCell ref="B31:H31"/>
  </mergeCells>
  <conditionalFormatting sqref="A17:A22">
    <cfRule type="containsText" dxfId="1" priority="1" stopIfTrue="1" operator="containsText" text=" 0%">
      <formula>NOT(ISERROR(SEARCH(" 0%",A17)))</formula>
    </cfRule>
    <cfRule type="containsText" dxfId="0" priority="2" stopIfTrue="1" operator="containsText" text="0.0%">
      <formula>NOT(ISERROR(SEARCH("0.0%",A17)))</formula>
    </cfRule>
  </conditionalFormatting>
  <pageMargins left="0.7" right="0.57471264367816088" top="0.86956521739130432" bottom="0.61458333333333337" header="0.3" footer="0.3"/>
  <pageSetup scale="94" orientation="portrait" r:id="rId1"/>
  <headerFooter>
    <oddHeader>&amp;R&amp;7Informe de la Operación Mensual - Julio 2018
INFSGI-MES-07-2018
14/08/2018
Versión: 01</oddHeader>
    <oddFooter>&amp;L&amp;7COES SINAC, 2018
&amp;C2&amp;R&amp;7Dirección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51DD-2FA1-46F1-BEBF-553898F35409}">
  <sheetPr>
    <tabColor theme="4"/>
  </sheetPr>
  <dimension ref="A1:K69"/>
  <sheetViews>
    <sheetView showGridLines="0" view="pageBreakPreview" topLeftCell="A3" zoomScale="130" zoomScaleNormal="100" zoomScaleSheetLayoutView="130" zoomScalePageLayoutView="160" workbookViewId="0">
      <selection activeCell="Q29" sqref="Q29"/>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1.5703125" style="46" customWidth="1"/>
    <col min="11" max="11" width="9.7109375" style="46" customWidth="1"/>
    <col min="12" max="16384" width="9.28515625" style="46"/>
  </cols>
  <sheetData>
    <row r="1" spans="1:11" ht="11.25" customHeight="1"/>
    <row r="2" spans="1:11" ht="16.5" customHeight="1">
      <c r="A2" s="791" t="s">
        <v>253</v>
      </c>
      <c r="B2" s="791"/>
      <c r="C2" s="791"/>
      <c r="D2" s="791"/>
      <c r="E2" s="791"/>
      <c r="F2" s="791"/>
      <c r="G2" s="791"/>
      <c r="H2" s="791"/>
      <c r="I2" s="791"/>
      <c r="J2" s="791"/>
      <c r="K2" s="791"/>
    </row>
    <row r="3" spans="1:11" ht="11.25" customHeight="1">
      <c r="A3" s="83"/>
      <c r="B3" s="84"/>
      <c r="C3" s="85"/>
      <c r="D3" s="86"/>
      <c r="E3" s="86"/>
      <c r="F3" s="86"/>
      <c r="G3" s="86"/>
      <c r="H3" s="83"/>
      <c r="I3" s="83"/>
      <c r="J3" s="83"/>
      <c r="K3" s="87"/>
    </row>
    <row r="4" spans="1:11" ht="11.25" customHeight="1">
      <c r="A4" s="792" t="str">
        <f>+"3.1. PRODUCCIÓN POR TIPO DE GENERACIÓN (GWh)"</f>
        <v>3.1. PRODUCCIÓN POR TIPO DE GENERACIÓN (GWh)</v>
      </c>
      <c r="B4" s="792"/>
      <c r="C4" s="792"/>
      <c r="D4" s="792"/>
      <c r="E4" s="792"/>
      <c r="F4" s="792"/>
      <c r="G4" s="792"/>
      <c r="H4" s="792"/>
      <c r="I4" s="792"/>
      <c r="J4" s="792"/>
      <c r="K4" s="792"/>
    </row>
    <row r="5" spans="1:11" ht="11.25" customHeight="1">
      <c r="A5" s="54"/>
      <c r="B5" s="88"/>
      <c r="C5" s="89"/>
      <c r="D5" s="90"/>
      <c r="E5" s="90"/>
      <c r="F5" s="90"/>
      <c r="G5" s="90"/>
      <c r="H5" s="91"/>
      <c r="I5" s="83"/>
      <c r="J5" s="83"/>
      <c r="K5" s="92"/>
    </row>
    <row r="6" spans="1:11" ht="18" customHeight="1">
      <c r="A6" s="789" t="s">
        <v>32</v>
      </c>
      <c r="B6" s="793" t="s">
        <v>33</v>
      </c>
      <c r="C6" s="794"/>
      <c r="D6" s="794"/>
      <c r="E6" s="794" t="s">
        <v>34</v>
      </c>
      <c r="F6" s="794"/>
      <c r="G6" s="795" t="str">
        <f>"Generación Acumulada a "&amp;'1. Resumen'!Q4</f>
        <v>Generación Acumulada a julio</v>
      </c>
      <c r="H6" s="795"/>
      <c r="I6" s="795"/>
      <c r="J6" s="795"/>
      <c r="K6" s="796"/>
    </row>
    <row r="7" spans="1:11" ht="32.25" customHeight="1">
      <c r="A7" s="790"/>
      <c r="B7" s="139">
        <f>+C7-30</f>
        <v>43224</v>
      </c>
      <c r="C7" s="139">
        <f>+D7-28</f>
        <v>43254</v>
      </c>
      <c r="D7" s="139">
        <f>+'1. Resumen'!Q6</f>
        <v>43282</v>
      </c>
      <c r="E7" s="139">
        <f>+D7-365</f>
        <v>42917</v>
      </c>
      <c r="F7" s="140" t="s">
        <v>35</v>
      </c>
      <c r="G7" s="141">
        <v>2018</v>
      </c>
      <c r="H7" s="141">
        <v>2017</v>
      </c>
      <c r="I7" s="140" t="s">
        <v>43</v>
      </c>
      <c r="J7" s="141">
        <v>2016</v>
      </c>
      <c r="K7" s="142" t="s">
        <v>36</v>
      </c>
    </row>
    <row r="8" spans="1:11" ht="15" customHeight="1">
      <c r="A8" s="116" t="s">
        <v>37</v>
      </c>
      <c r="B8" s="544">
        <v>2632.7882674499997</v>
      </c>
      <c r="C8" s="540">
        <v>2113.6878663950001</v>
      </c>
      <c r="D8" s="545">
        <v>1997.8919180625003</v>
      </c>
      <c r="E8" s="544">
        <v>1896.8936877253843</v>
      </c>
      <c r="F8" s="296">
        <f>IF(E8=0,"",D8/E8-1)</f>
        <v>5.3244012034341148E-2</v>
      </c>
      <c r="G8" s="552">
        <v>18325.8867875875</v>
      </c>
      <c r="H8" s="540">
        <v>17284.832149602615</v>
      </c>
      <c r="I8" s="300">
        <f>IF(H8=0,"",G8/H8-1)</f>
        <v>6.0229375036703559E-2</v>
      </c>
      <c r="J8" s="544">
        <v>13927.572308635352</v>
      </c>
      <c r="K8" s="296">
        <f t="shared" ref="K8:K15" si="0">IF(J8=0,"",H8/J8-1)</f>
        <v>0.24105133088310726</v>
      </c>
    </row>
    <row r="9" spans="1:11" ht="15" customHeight="1">
      <c r="A9" s="117" t="s">
        <v>38</v>
      </c>
      <c r="B9" s="546">
        <v>1453.9806734525005</v>
      </c>
      <c r="C9" s="306">
        <v>1845.9351711024999</v>
      </c>
      <c r="D9" s="547">
        <v>2022.4257541475008</v>
      </c>
      <c r="E9" s="546">
        <v>2046.8052840987232</v>
      </c>
      <c r="F9" s="297">
        <f t="shared" ref="F9:F15" si="1">IF(E9=0,"",D9/E9-1)</f>
        <v>-1.1911015737853914E-2</v>
      </c>
      <c r="G9" s="553">
        <v>9826.5087753150001</v>
      </c>
      <c r="H9" s="306">
        <v>10509.09254780483</v>
      </c>
      <c r="I9" s="301">
        <f t="shared" ref="I9:I15" si="2">IF(H9=0,"",G9/H9-1)</f>
        <v>-6.4951732928873129E-2</v>
      </c>
      <c r="J9" s="546">
        <v>13205.376295114118</v>
      </c>
      <c r="K9" s="297">
        <f t="shared" si="0"/>
        <v>-0.20418075843146488</v>
      </c>
    </row>
    <row r="10" spans="1:11" ht="15" customHeight="1">
      <c r="A10" s="118" t="s">
        <v>39</v>
      </c>
      <c r="B10" s="548">
        <v>143.30216725</v>
      </c>
      <c r="C10" s="307">
        <v>128.59335152</v>
      </c>
      <c r="D10" s="549">
        <v>130.32940518999999</v>
      </c>
      <c r="E10" s="548">
        <v>81.908387574829391</v>
      </c>
      <c r="F10" s="298">
        <f t="shared" si="1"/>
        <v>0.59116067412430029</v>
      </c>
      <c r="G10" s="554">
        <v>788.91402797000001</v>
      </c>
      <c r="H10" s="307">
        <v>541.74678969389709</v>
      </c>
      <c r="I10" s="302">
        <f t="shared" si="2"/>
        <v>0.45624126063720594</v>
      </c>
      <c r="J10" s="548">
        <v>552.01603168100928</v>
      </c>
      <c r="K10" s="298">
        <f t="shared" si="0"/>
        <v>-1.8603158962322341E-2</v>
      </c>
    </row>
    <row r="11" spans="1:11" ht="15" customHeight="1">
      <c r="A11" s="117" t="s">
        <v>30</v>
      </c>
      <c r="B11" s="546">
        <v>57.9052203225</v>
      </c>
      <c r="C11" s="306">
        <v>46.704256437500007</v>
      </c>
      <c r="D11" s="547">
        <v>49.3644935425</v>
      </c>
      <c r="E11" s="546">
        <v>16.945066748818</v>
      </c>
      <c r="F11" s="297">
        <f>IF(E11=0,"",D11/E11-1)</f>
        <v>1.9132073820802984</v>
      </c>
      <c r="G11" s="553">
        <v>380.15961603249997</v>
      </c>
      <c r="H11" s="306">
        <v>122.21345060204001</v>
      </c>
      <c r="I11" s="301">
        <f t="shared" si="2"/>
        <v>2.1106201008136356</v>
      </c>
      <c r="J11" s="546">
        <v>132.03879341999991</v>
      </c>
      <c r="K11" s="297">
        <f t="shared" si="0"/>
        <v>-7.4412546218190823E-2</v>
      </c>
    </row>
    <row r="12" spans="1:11" ht="15" customHeight="1">
      <c r="A12" s="150" t="s">
        <v>44</v>
      </c>
      <c r="B12" s="550">
        <f>+B8+B9+B10+B11</f>
        <v>4287.9763284750006</v>
      </c>
      <c r="C12" s="541">
        <f>+C8+C9+C10+C11</f>
        <v>4134.9206454550003</v>
      </c>
      <c r="D12" s="551">
        <f>+D8+D9+D10+D11</f>
        <v>4200.0115709425008</v>
      </c>
      <c r="E12" s="550">
        <f>+E8+E9+E10+E11</f>
        <v>4042.5524261477549</v>
      </c>
      <c r="F12" s="299">
        <f>IF(E12=0,"",D12/E12-1)</f>
        <v>3.8950427402321353E-2</v>
      </c>
      <c r="G12" s="550">
        <f>+G8+G9+G10+G11</f>
        <v>29321.469206905</v>
      </c>
      <c r="H12" s="541">
        <f>+H8+H9+H10+H11</f>
        <v>28457.884937703384</v>
      </c>
      <c r="I12" s="303">
        <f>IF(H12=0,"",G12/H12-1)</f>
        <v>3.0346045431418167E-2</v>
      </c>
      <c r="J12" s="550">
        <f>+J8+J9+J10+J11</f>
        <v>27817.003428850483</v>
      </c>
      <c r="K12" s="299">
        <f t="shared" si="0"/>
        <v>2.303920012420213E-2</v>
      </c>
    </row>
    <row r="13" spans="1:11" ht="15" customHeight="1">
      <c r="A13" s="112"/>
      <c r="B13" s="112"/>
      <c r="C13" s="112"/>
      <c r="D13" s="112"/>
      <c r="E13" s="112"/>
      <c r="F13" s="114"/>
      <c r="G13" s="112"/>
      <c r="H13" s="112"/>
      <c r="I13" s="114"/>
      <c r="J13" s="113"/>
      <c r="K13" s="114" t="str">
        <f t="shared" si="0"/>
        <v/>
      </c>
    </row>
    <row r="14" spans="1:11" ht="15" customHeight="1">
      <c r="A14" s="119" t="s">
        <v>40</v>
      </c>
      <c r="B14" s="294">
        <v>0</v>
      </c>
      <c r="C14" s="295">
        <v>1.7041230000000001</v>
      </c>
      <c r="D14" s="543">
        <v>3.7181487299999998</v>
      </c>
      <c r="E14" s="294">
        <v>3.6419109999999999</v>
      </c>
      <c r="F14" s="120">
        <f t="shared" si="1"/>
        <v>2.0933441262018793E-2</v>
      </c>
      <c r="G14" s="294">
        <v>7.5429587299999996</v>
      </c>
      <c r="H14" s="295">
        <v>16.595158999999999</v>
      </c>
      <c r="I14" s="123">
        <f t="shared" si="2"/>
        <v>-0.54547234347076756</v>
      </c>
      <c r="J14" s="294">
        <v>15.85381896</v>
      </c>
      <c r="K14" s="120">
        <f t="shared" si="0"/>
        <v>4.676097550189251E-2</v>
      </c>
    </row>
    <row r="15" spans="1:11" ht="15" customHeight="1">
      <c r="A15" s="118" t="s">
        <v>41</v>
      </c>
      <c r="B15" s="291">
        <v>0</v>
      </c>
      <c r="C15" s="292">
        <v>0</v>
      </c>
      <c r="D15" s="293">
        <v>0</v>
      </c>
      <c r="E15" s="291">
        <v>0</v>
      </c>
      <c r="F15" s="121" t="str">
        <f t="shared" si="1"/>
        <v/>
      </c>
      <c r="G15" s="291">
        <v>0</v>
      </c>
      <c r="H15" s="292">
        <v>0</v>
      </c>
      <c r="I15" s="115" t="str">
        <f t="shared" si="2"/>
        <v/>
      </c>
      <c r="J15" s="291">
        <v>37.352100999999998</v>
      </c>
      <c r="K15" s="121">
        <f t="shared" si="0"/>
        <v>-1</v>
      </c>
    </row>
    <row r="16" spans="1:11" ht="23.25" customHeight="1">
      <c r="A16" s="125" t="s">
        <v>42</v>
      </c>
      <c r="B16" s="304">
        <f>+B15-B14</f>
        <v>0</v>
      </c>
      <c r="C16" s="304">
        <f>+C15-C14</f>
        <v>-1.7041230000000001</v>
      </c>
      <c r="D16" s="304">
        <f>+D15-D14</f>
        <v>-3.7181487299999998</v>
      </c>
      <c r="E16" s="304">
        <f>+E15-E14</f>
        <v>-3.6419109999999999</v>
      </c>
      <c r="F16" s="122"/>
      <c r="G16" s="304">
        <f>+G15-G14</f>
        <v>-7.5429587299999996</v>
      </c>
      <c r="H16" s="305">
        <f>+H15-H14</f>
        <v>-16.595158999999999</v>
      </c>
      <c r="I16" s="124"/>
      <c r="J16" s="304">
        <f>+J15-J14</f>
        <v>21.498282039999999</v>
      </c>
      <c r="K16" s="122"/>
    </row>
    <row r="17" spans="1:11" ht="11.25" customHeight="1">
      <c r="A17" s="290" t="s">
        <v>252</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787"/>
      <c r="C42" s="787"/>
      <c r="D42" s="787"/>
      <c r="E42" s="93"/>
      <c r="F42" s="93"/>
      <c r="G42" s="788"/>
      <c r="H42" s="788"/>
      <c r="I42" s="788"/>
      <c r="J42" s="788"/>
      <c r="K42" s="788"/>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90" t="str">
        <f>"Gráfico N° 4: Comparación de la producción de energía eléctrica por tipo de generación acumulada a "&amp;'1. Resumen'!Q4</f>
        <v>Gráfico N° 4: Comparación de la producción de energía eléctrica por tipo de generación acumulada a julio</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 right="0.5803571428571429" top="0.86956521739130432" bottom="0.61458333333333337" header="0.3" footer="0.3"/>
  <pageSetup scale="93" orientation="portrait" r:id="rId1"/>
  <headerFooter>
    <oddHeader>&amp;RInforme de la Operación Mensual - Julio 2018
INFSGI-MES-07-2018
14/08/2018
Versión: 01</oddHeader>
    <oddFooter>&amp;L&amp;7COES SINAC, 2018
&amp;C3&amp;R&amp;7Dirección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F81-AF40-4915-B597-6F2B545F3600}">
  <sheetPr>
    <tabColor theme="4"/>
  </sheetPr>
  <dimension ref="A1:L63"/>
  <sheetViews>
    <sheetView showGridLines="0" view="pageBreakPreview" zoomScale="130" zoomScaleNormal="100" zoomScaleSheetLayoutView="130" zoomScalePageLayoutView="145" workbookViewId="0">
      <selection activeCell="Q29" sqref="Q29"/>
    </sheetView>
  </sheetViews>
  <sheetFormatPr baseColWidth="10" defaultColWidth="9.28515625" defaultRowHeight="10.199999999999999"/>
  <cols>
    <col min="1" max="1" width="16.140625" customWidth="1"/>
    <col min="2" max="6" width="9.42578125" bestFit="1" customWidth="1"/>
    <col min="7" max="8" width="10.42578125" bestFit="1" customWidth="1"/>
    <col min="9" max="9" width="9.42578125" bestFit="1" customWidth="1"/>
    <col min="10" max="10" width="10.42578125" bestFit="1" customWidth="1"/>
    <col min="11" max="11" width="9.28515625" customWidth="1"/>
  </cols>
  <sheetData>
    <row r="1" spans="1:12" ht="11.25" customHeight="1"/>
    <row r="2" spans="1:12" ht="11.25" customHeight="1">
      <c r="A2" s="797" t="str">
        <f>+"3.2. PRODUCCIÓN POR TIPO DE RECURSO ENERGÉTICO (GWh)"</f>
        <v>3.2. PRODUCCIÓN POR TIPO DE RECURSO ENERGÉTICO (GWh)</v>
      </c>
      <c r="B2" s="797"/>
      <c r="C2" s="797"/>
      <c r="D2" s="797"/>
      <c r="E2" s="797"/>
      <c r="F2" s="797"/>
      <c r="G2" s="797"/>
      <c r="H2" s="797"/>
      <c r="I2" s="797"/>
      <c r="J2" s="797"/>
      <c r="K2" s="797"/>
    </row>
    <row r="3" spans="1:12" ht="18.75" customHeight="1">
      <c r="A3" s="126"/>
      <c r="B3" s="127"/>
      <c r="C3" s="128"/>
      <c r="D3" s="129"/>
      <c r="E3" s="129"/>
      <c r="F3" s="129"/>
      <c r="G3" s="130"/>
      <c r="H3" s="130"/>
      <c r="I3" s="130"/>
      <c r="J3" s="126"/>
      <c r="K3" s="126"/>
      <c r="L3" s="36"/>
    </row>
    <row r="4" spans="1:12" ht="14.25" customHeight="1">
      <c r="A4" s="801" t="s">
        <v>45</v>
      </c>
      <c r="B4" s="798" t="s">
        <v>33</v>
      </c>
      <c r="C4" s="799"/>
      <c r="D4" s="799"/>
      <c r="E4" s="799" t="s">
        <v>34</v>
      </c>
      <c r="F4" s="799"/>
      <c r="G4" s="800" t="str">
        <f>+'3. Tipo Generación'!G6:K6</f>
        <v>Generación Acumulada a julio</v>
      </c>
      <c r="H4" s="800"/>
      <c r="I4" s="800"/>
      <c r="J4" s="800"/>
      <c r="K4" s="800"/>
      <c r="L4" s="131"/>
    </row>
    <row r="5" spans="1:12" ht="26.25" customHeight="1">
      <c r="A5" s="801"/>
      <c r="B5" s="310">
        <f>+'3. Tipo Generación'!B7</f>
        <v>43224</v>
      </c>
      <c r="C5" s="310">
        <f>+'3. Tipo Generación'!C7</f>
        <v>43254</v>
      </c>
      <c r="D5" s="310">
        <f>+'3. Tipo Generación'!D7</f>
        <v>43282</v>
      </c>
      <c r="E5" s="310">
        <f>+'3. Tipo Generación'!E7</f>
        <v>42917</v>
      </c>
      <c r="F5" s="311" t="s">
        <v>35</v>
      </c>
      <c r="G5" s="312">
        <v>2018</v>
      </c>
      <c r="H5" s="312">
        <v>2017</v>
      </c>
      <c r="I5" s="311" t="s">
        <v>43</v>
      </c>
      <c r="J5" s="312">
        <v>2016</v>
      </c>
      <c r="K5" s="311" t="s">
        <v>36</v>
      </c>
      <c r="L5" s="19"/>
    </row>
    <row r="6" spans="1:12" ht="11.25" customHeight="1">
      <c r="A6" s="143" t="s">
        <v>46</v>
      </c>
      <c r="B6" s="461">
        <v>2632.7882674499997</v>
      </c>
      <c r="C6" s="462">
        <v>2113.6878663950001</v>
      </c>
      <c r="D6" s="463">
        <v>1997.8919180625003</v>
      </c>
      <c r="E6" s="461">
        <v>1896.8936877253843</v>
      </c>
      <c r="F6" s="318">
        <f>IF(E6=0,"",D6/E6-1)</f>
        <v>5.3244012034341148E-2</v>
      </c>
      <c r="G6" s="461">
        <v>18325.8867875875</v>
      </c>
      <c r="H6" s="462">
        <v>17284.832149602615</v>
      </c>
      <c r="I6" s="318">
        <f t="shared" ref="I6:I16" si="0">IF(H6=0,"",G6/H6-1)</f>
        <v>6.0229375036703559E-2</v>
      </c>
      <c r="J6" s="461">
        <v>13927.572308635352</v>
      </c>
      <c r="K6" s="318">
        <f>IF(J6=0,"",H6/J6-1)</f>
        <v>0.24105133088310726</v>
      </c>
      <c r="L6" s="24"/>
    </row>
    <row r="7" spans="1:12" ht="11.25" customHeight="1">
      <c r="A7" s="144" t="s">
        <v>52</v>
      </c>
      <c r="B7" s="464">
        <v>1373.2012312300003</v>
      </c>
      <c r="C7" s="306">
        <v>1774.6731730525</v>
      </c>
      <c r="D7" s="465">
        <v>1851.7327688475004</v>
      </c>
      <c r="E7" s="464">
        <v>1735.0179881079787</v>
      </c>
      <c r="F7" s="319">
        <f t="shared" ref="F7:F19" si="1">IF(E7=0,"",D7/E7-1)</f>
        <v>6.7270069555185552E-2</v>
      </c>
      <c r="G7" s="464">
        <v>9168.6644676100004</v>
      </c>
      <c r="H7" s="306">
        <v>9172.7644845748946</v>
      </c>
      <c r="I7" s="319">
        <f t="shared" si="0"/>
        <v>-4.4697724135278616E-4</v>
      </c>
      <c r="J7" s="464">
        <v>11477.894992374886</v>
      </c>
      <c r="K7" s="319">
        <f t="shared" ref="K7:K19" si="2">IF(J7=0,"",H7/J7-1)</f>
        <v>-0.20083216559581352</v>
      </c>
      <c r="L7" s="22"/>
    </row>
    <row r="8" spans="1:12" ht="11.25" customHeight="1">
      <c r="A8" s="145" t="s">
        <v>53</v>
      </c>
      <c r="B8" s="466">
        <v>46.920593807499998</v>
      </c>
      <c r="C8" s="307">
        <v>32.5163646675</v>
      </c>
      <c r="D8" s="467">
        <v>70.669869724999998</v>
      </c>
      <c r="E8" s="466">
        <v>50.831339026043004</v>
      </c>
      <c r="F8" s="682">
        <f t="shared" si="1"/>
        <v>0.39028148931494577</v>
      </c>
      <c r="G8" s="466">
        <v>290.84472570249994</v>
      </c>
      <c r="H8" s="307">
        <v>229.67548908790988</v>
      </c>
      <c r="I8" s="682">
        <f t="shared" si="0"/>
        <v>0.26632897074697026</v>
      </c>
      <c r="J8" s="466">
        <v>348.04523185415178</v>
      </c>
      <c r="K8" s="682">
        <f t="shared" si="2"/>
        <v>-0.340098734108918</v>
      </c>
      <c r="L8" s="22"/>
    </row>
    <row r="9" spans="1:12" ht="11.25" customHeight="1">
      <c r="A9" s="144" t="s">
        <v>54</v>
      </c>
      <c r="B9" s="464">
        <v>22.659243487500003</v>
      </c>
      <c r="C9" s="306">
        <v>21.7707488225</v>
      </c>
      <c r="D9" s="465">
        <v>61.959598970000009</v>
      </c>
      <c r="E9" s="464">
        <v>1.8321816584482</v>
      </c>
      <c r="F9" s="319">
        <f t="shared" si="1"/>
        <v>32.81738851292608</v>
      </c>
      <c r="G9" s="464">
        <v>175.03820562000001</v>
      </c>
      <c r="H9" s="306">
        <v>43.204347514600897</v>
      </c>
      <c r="I9" s="319">
        <f t="shared" si="0"/>
        <v>3.0514025946311518</v>
      </c>
      <c r="J9" s="464">
        <v>297.20092425954732</v>
      </c>
      <c r="K9" s="319">
        <f t="shared" si="2"/>
        <v>-0.85462916166145475</v>
      </c>
      <c r="L9" s="22"/>
    </row>
    <row r="10" spans="1:12" ht="11.25" customHeight="1">
      <c r="A10" s="145" t="s">
        <v>55</v>
      </c>
      <c r="B10" s="466">
        <v>0</v>
      </c>
      <c r="C10" s="307">
        <v>0</v>
      </c>
      <c r="D10" s="467">
        <v>0</v>
      </c>
      <c r="E10" s="466">
        <v>0</v>
      </c>
      <c r="F10" s="682" t="str">
        <f t="shared" si="1"/>
        <v/>
      </c>
      <c r="G10" s="466">
        <v>0</v>
      </c>
      <c r="H10" s="307">
        <v>9.7034091828799998</v>
      </c>
      <c r="I10" s="682">
        <f t="shared" si="0"/>
        <v>-1</v>
      </c>
      <c r="J10" s="466">
        <v>73.907966277108002</v>
      </c>
      <c r="K10" s="682">
        <f t="shared" si="2"/>
        <v>-0.86870956310043268</v>
      </c>
      <c r="L10" s="22"/>
    </row>
    <row r="11" spans="1:12" ht="11.25" customHeight="1">
      <c r="A11" s="144" t="s">
        <v>26</v>
      </c>
      <c r="B11" s="464">
        <v>0</v>
      </c>
      <c r="C11" s="306">
        <v>0</v>
      </c>
      <c r="D11" s="465">
        <v>10.7779047775</v>
      </c>
      <c r="E11" s="464">
        <v>94.728446122924822</v>
      </c>
      <c r="F11" s="319">
        <f t="shared" si="1"/>
        <v>-0.88622314395916513</v>
      </c>
      <c r="G11" s="464">
        <v>37.679417740000005</v>
      </c>
      <c r="H11" s="306">
        <v>465.26369014819176</v>
      </c>
      <c r="I11" s="319">
        <f t="shared" si="0"/>
        <v>-0.91901491877004482</v>
      </c>
      <c r="J11" s="464">
        <v>404.6020043207036</v>
      </c>
      <c r="K11" s="319">
        <f t="shared" si="2"/>
        <v>0.14992927662168798</v>
      </c>
      <c r="L11" s="24"/>
    </row>
    <row r="12" spans="1:12" ht="11.25" customHeight="1">
      <c r="A12" s="145" t="s">
        <v>47</v>
      </c>
      <c r="B12" s="466">
        <v>5.2307347499999997E-2</v>
      </c>
      <c r="C12" s="307">
        <v>0</v>
      </c>
      <c r="D12" s="467">
        <v>2.6472260375000003</v>
      </c>
      <c r="E12" s="466">
        <v>10.02254370649865</v>
      </c>
      <c r="F12" s="682">
        <f t="shared" si="1"/>
        <v>-0.73587283677460746</v>
      </c>
      <c r="G12" s="466">
        <v>4.449891785000001</v>
      </c>
      <c r="H12" s="307">
        <v>80.571427396593961</v>
      </c>
      <c r="I12" s="682">
        <f t="shared" si="0"/>
        <v>-0.94477084583475912</v>
      </c>
      <c r="J12" s="466">
        <v>130.65408256447145</v>
      </c>
      <c r="K12" s="682">
        <f t="shared" si="2"/>
        <v>-0.38332254289232892</v>
      </c>
      <c r="L12" s="22"/>
    </row>
    <row r="13" spans="1:12" ht="11.25" customHeight="1">
      <c r="A13" s="144" t="s">
        <v>48</v>
      </c>
      <c r="B13" s="464">
        <v>1.81752575E-2</v>
      </c>
      <c r="C13" s="306">
        <v>0</v>
      </c>
      <c r="D13" s="465">
        <v>0.56992320750000003</v>
      </c>
      <c r="E13" s="464">
        <v>0</v>
      </c>
      <c r="F13" s="319" t="str">
        <f>IF(E13=0,"",D13/E13-1)</f>
        <v/>
      </c>
      <c r="G13" s="464">
        <v>1.99292362</v>
      </c>
      <c r="H13" s="306">
        <v>0.24963529262500003</v>
      </c>
      <c r="I13" s="319">
        <f t="shared" si="0"/>
        <v>6.9833408130866834</v>
      </c>
      <c r="J13" s="464">
        <v>3.1951939469593698</v>
      </c>
      <c r="K13" s="319">
        <f t="shared" si="2"/>
        <v>-0.92187163071507461</v>
      </c>
      <c r="L13" s="22"/>
    </row>
    <row r="14" spans="1:12" ht="11.25" customHeight="1">
      <c r="A14" s="145" t="s">
        <v>49</v>
      </c>
      <c r="B14" s="466">
        <v>0.39897143499999993</v>
      </c>
      <c r="C14" s="307">
        <v>7.0902351625000009</v>
      </c>
      <c r="D14" s="467">
        <v>13.038341987499997</v>
      </c>
      <c r="E14" s="466">
        <v>141.93847781400589</v>
      </c>
      <c r="F14" s="682">
        <f t="shared" si="1"/>
        <v>-0.90814089182649083</v>
      </c>
      <c r="G14" s="466">
        <v>71.531415449999997</v>
      </c>
      <c r="H14" s="307">
        <v>436.27031135880492</v>
      </c>
      <c r="I14" s="682">
        <f t="shared" si="0"/>
        <v>-0.83603877323852571</v>
      </c>
      <c r="J14" s="466">
        <v>386.31655198612157</v>
      </c>
      <c r="K14" s="682">
        <f t="shared" si="2"/>
        <v>0.12930784124020112</v>
      </c>
      <c r="L14" s="22"/>
    </row>
    <row r="15" spans="1:12" ht="11.25" customHeight="1">
      <c r="A15" s="144" t="s">
        <v>50</v>
      </c>
      <c r="B15" s="464">
        <v>7.3377402875</v>
      </c>
      <c r="C15" s="306">
        <v>7.0497050225000004</v>
      </c>
      <c r="D15" s="465">
        <v>8.1191125700000004</v>
      </c>
      <c r="E15" s="464">
        <v>9.4909181878240236</v>
      </c>
      <c r="F15" s="319">
        <f t="shared" si="1"/>
        <v>-0.14453876755401007</v>
      </c>
      <c r="G15" s="464">
        <v>50.502784532499994</v>
      </c>
      <c r="H15" s="306">
        <v>48.957428242631231</v>
      </c>
      <c r="I15" s="319">
        <f>IF(H15=0,"",G15/H15-1)</f>
        <v>3.156530776514721E-2</v>
      </c>
      <c r="J15" s="464">
        <v>55.0172398081464</v>
      </c>
      <c r="K15" s="319">
        <f t="shared" si="2"/>
        <v>-0.11014386738859794</v>
      </c>
      <c r="L15" s="22"/>
    </row>
    <row r="16" spans="1:12" ht="11.25" customHeight="1">
      <c r="A16" s="145" t="s">
        <v>51</v>
      </c>
      <c r="B16" s="466">
        <v>3.3924106000000003</v>
      </c>
      <c r="C16" s="307">
        <v>2.8349443750000001</v>
      </c>
      <c r="D16" s="467">
        <v>2.9110080250000001</v>
      </c>
      <c r="E16" s="466">
        <v>2.943389475</v>
      </c>
      <c r="F16" s="682">
        <f t="shared" si="1"/>
        <v>-1.1001415298598882E-2</v>
      </c>
      <c r="G16" s="466">
        <v>25.804943254999998</v>
      </c>
      <c r="H16" s="307">
        <v>22.432325005696626</v>
      </c>
      <c r="I16" s="682">
        <f t="shared" si="0"/>
        <v>0.15034635279432274</v>
      </c>
      <c r="J16" s="466">
        <v>28.542107722025001</v>
      </c>
      <c r="K16" s="682">
        <f t="shared" si="2"/>
        <v>-0.2140620719335895</v>
      </c>
      <c r="L16" s="22"/>
    </row>
    <row r="17" spans="1:12" ht="11.25" customHeight="1">
      <c r="A17" s="144" t="s">
        <v>30</v>
      </c>
      <c r="B17" s="464">
        <v>57.9052203225</v>
      </c>
      <c r="C17" s="306">
        <v>46.704256437500007</v>
      </c>
      <c r="D17" s="465">
        <v>49.3644935425</v>
      </c>
      <c r="E17" s="464">
        <v>16.945066748818</v>
      </c>
      <c r="F17" s="319">
        <f t="shared" si="1"/>
        <v>1.9132073820802984</v>
      </c>
      <c r="G17" s="464">
        <v>380.15961603249997</v>
      </c>
      <c r="H17" s="306">
        <v>122.21345060204001</v>
      </c>
      <c r="I17" s="319">
        <f>IF(H17=0,"",G17/H17-1)</f>
        <v>2.1106201008136356</v>
      </c>
      <c r="J17" s="464">
        <v>132.03879341999991</v>
      </c>
      <c r="K17" s="319">
        <f t="shared" si="2"/>
        <v>-7.4412546218190823E-2</v>
      </c>
      <c r="L17" s="22"/>
    </row>
    <row r="18" spans="1:12" ht="11.25" customHeight="1">
      <c r="A18" s="145" t="s">
        <v>29</v>
      </c>
      <c r="B18" s="466">
        <v>143.30216725</v>
      </c>
      <c r="C18" s="307">
        <v>128.59335152</v>
      </c>
      <c r="D18" s="467">
        <v>130.32940518999999</v>
      </c>
      <c r="E18" s="466">
        <v>81.908387574829391</v>
      </c>
      <c r="F18" s="682">
        <f t="shared" si="1"/>
        <v>0.59116067412430029</v>
      </c>
      <c r="G18" s="466">
        <v>788.91402797000001</v>
      </c>
      <c r="H18" s="307">
        <v>541.74678969389709</v>
      </c>
      <c r="I18" s="682">
        <f>IF(H18=0,"",G18/H18-1)</f>
        <v>0.45624126063720594</v>
      </c>
      <c r="J18" s="466">
        <v>552.01603168100928</v>
      </c>
      <c r="K18" s="682">
        <f t="shared" si="2"/>
        <v>-1.8603158962322341E-2</v>
      </c>
      <c r="L18" s="22"/>
    </row>
    <row r="19" spans="1:12" ht="11.25" customHeight="1">
      <c r="A19" s="151" t="s">
        <v>44</v>
      </c>
      <c r="B19" s="468">
        <f>SUM(B6:B18)</f>
        <v>4287.9763284749997</v>
      </c>
      <c r="C19" s="469">
        <f>SUM(C6:C18)</f>
        <v>4134.9206454550003</v>
      </c>
      <c r="D19" s="470">
        <f>SUM(D6:D18)</f>
        <v>4200.0115709425008</v>
      </c>
      <c r="E19" s="468">
        <f>SUM(E6:E18)</f>
        <v>4042.5524261477549</v>
      </c>
      <c r="F19" s="683">
        <f t="shared" si="1"/>
        <v>3.8950427402321353E-2</v>
      </c>
      <c r="G19" s="468">
        <f>SUM(G6:G18)</f>
        <v>29321.469206905</v>
      </c>
      <c r="H19" s="469">
        <f>SUM(H6:H18)</f>
        <v>28457.88493770338</v>
      </c>
      <c r="I19" s="683">
        <f>IF(H19=0,"",G19/H19-1)</f>
        <v>3.0346045431418167E-2</v>
      </c>
      <c r="J19" s="468">
        <f>SUM(J6:J18)</f>
        <v>27817.003428850476</v>
      </c>
      <c r="K19" s="683">
        <f t="shared" si="2"/>
        <v>2.303920012420213E-2</v>
      </c>
      <c r="L19" s="30"/>
    </row>
    <row r="20" spans="1:12" ht="11.25" customHeight="1">
      <c r="A20" s="22"/>
      <c r="B20" s="22"/>
      <c r="C20" s="22"/>
      <c r="D20" s="22"/>
      <c r="E20" s="22"/>
      <c r="F20" s="22"/>
      <c r="G20" s="22"/>
      <c r="H20" s="22"/>
      <c r="I20" s="22"/>
      <c r="J20" s="22"/>
      <c r="K20" s="22"/>
      <c r="L20" s="22"/>
    </row>
    <row r="21" spans="1:12" ht="11.25" customHeight="1">
      <c r="A21" s="147" t="s">
        <v>40</v>
      </c>
      <c r="B21" s="294">
        <v>0</v>
      </c>
      <c r="C21" s="295">
        <v>1.7041230000000001</v>
      </c>
      <c r="D21" s="543">
        <v>3.7181487299999998</v>
      </c>
      <c r="E21" s="294">
        <v>3.6419109999999999</v>
      </c>
      <c r="F21" s="120">
        <f>IF(E21=0,"",D21/E21-1)</f>
        <v>2.0933441262018793E-2</v>
      </c>
      <c r="G21" s="294">
        <v>7.5429587299999996</v>
      </c>
      <c r="H21" s="542">
        <v>16.595158999999999</v>
      </c>
      <c r="I21" s="123">
        <f>IF(H21=0,"",G21/H21-1)</f>
        <v>-0.54547234347076756</v>
      </c>
      <c r="J21" s="294">
        <v>15.85381896</v>
      </c>
      <c r="K21" s="120">
        <f>IF(J21=0,"",H21/J21-1)</f>
        <v>4.676097550189251E-2</v>
      </c>
      <c r="L21" s="22"/>
    </row>
    <row r="22" spans="1:12" ht="11.25" customHeight="1">
      <c r="A22" s="148" t="s">
        <v>41</v>
      </c>
      <c r="B22" s="291">
        <v>0</v>
      </c>
      <c r="C22" s="292">
        <v>0</v>
      </c>
      <c r="D22" s="293">
        <v>0</v>
      </c>
      <c r="E22" s="291">
        <v>0</v>
      </c>
      <c r="F22" s="121" t="str">
        <f>IF(E22=0,"",D22/E22-1)</f>
        <v/>
      </c>
      <c r="G22" s="291">
        <v>0</v>
      </c>
      <c r="H22" s="292">
        <v>0</v>
      </c>
      <c r="I22" s="115" t="str">
        <f>IF(H22=0,"",G22/H22-1)</f>
        <v/>
      </c>
      <c r="J22" s="291">
        <v>37.352100999999998</v>
      </c>
      <c r="K22" s="121">
        <f>IF(J22=0,"",H22/J22-1)</f>
        <v>-1</v>
      </c>
      <c r="L22" s="22"/>
    </row>
    <row r="23" spans="1:12" ht="23.25" customHeight="1">
      <c r="A23" s="149" t="s">
        <v>42</v>
      </c>
      <c r="B23" s="304">
        <f>+B22-B21</f>
        <v>0</v>
      </c>
      <c r="C23" s="305">
        <f>+C22-C21</f>
        <v>-1.7041230000000001</v>
      </c>
      <c r="D23" s="686">
        <f>+D22-D21</f>
        <v>-3.7181487299999998</v>
      </c>
      <c r="E23" s="304">
        <f>+E22-E21</f>
        <v>-3.6419109999999999</v>
      </c>
      <c r="F23" s="122"/>
      <c r="G23" s="304">
        <f>+G22-G21</f>
        <v>-7.5429587299999996</v>
      </c>
      <c r="H23" s="305">
        <f>+H22-H21</f>
        <v>-16.595158999999999</v>
      </c>
      <c r="I23" s="124"/>
      <c r="J23" s="304">
        <f>+J22-J21</f>
        <v>21.498282039999999</v>
      </c>
      <c r="K23" s="122"/>
      <c r="L23" s="30"/>
    </row>
    <row r="24" spans="1:12" ht="11.25" customHeight="1">
      <c r="A24" s="289" t="s">
        <v>254</v>
      </c>
      <c r="B24" s="133"/>
      <c r="C24" s="133"/>
      <c r="D24" s="133"/>
      <c r="E24" s="133"/>
      <c r="F24" s="133"/>
      <c r="G24" s="133"/>
      <c r="H24" s="134"/>
      <c r="I24" s="134"/>
      <c r="J24" s="133"/>
      <c r="K24" s="135"/>
      <c r="L24" s="22"/>
    </row>
    <row r="25" spans="1:12" ht="11.25" customHeight="1">
      <c r="A25" s="136"/>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89" t="str">
        <f>"Gráfico N° 5: Comparación de la producción de energía eléctrica (GWh) por tipo de recurso energético acumulada a "&amp;'1. Resumen'!Q4</f>
        <v>Gráfico N° 5: Comparación de la producción de energía eléctrica (GWh) por tipo de recurso energético acumulada a julio</v>
      </c>
    </row>
  </sheetData>
  <mergeCells count="5">
    <mergeCell ref="A2:K2"/>
    <mergeCell ref="B4:D4"/>
    <mergeCell ref="E4:F4"/>
    <mergeCell ref="G4:K4"/>
    <mergeCell ref="A4:A5"/>
  </mergeCells>
  <pageMargins left="0.7" right="0.7" top="0.86956521739130432" bottom="0.61458333333333337" header="0.3" footer="0.3"/>
  <pageSetup scale="94" orientation="portrait" r:id="rId1"/>
  <headerFooter>
    <oddHeader>&amp;R&amp;7Informe de la Operación Mensual - Julio 2018
INFSGI-MES-07-2018
14/08/2018
Versión: 01</oddHeader>
    <oddFooter>&amp;L&amp;7COES SINAC, 2018
&amp;C4&amp;R&amp;7Dirección Ejecutiva
Sub Dirección de Gestión de Información</oddFooter>
  </headerFooter>
  <ignoredErrors>
    <ignoredError sqref="K19 F19:J19 B19:E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08325-EFB5-4A50-BEC3-19ABF1A09CFD}">
  <sheetPr>
    <tabColor theme="4"/>
  </sheetPr>
  <dimension ref="A1:P61"/>
  <sheetViews>
    <sheetView showGridLines="0" view="pageBreakPreview" zoomScaleNormal="100" zoomScaleSheetLayoutView="100" zoomScalePageLayoutView="160" workbookViewId="0">
      <selection activeCell="Q29" sqref="Q29"/>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s>
  <sheetData>
    <row r="1" spans="1:12" ht="11.25" customHeight="1"/>
    <row r="2" spans="1:12" ht="11.25" customHeight="1">
      <c r="A2" s="803" t="s">
        <v>262</v>
      </c>
      <c r="B2" s="803"/>
      <c r="C2" s="803"/>
      <c r="D2" s="803"/>
      <c r="E2" s="803"/>
      <c r="F2" s="803"/>
      <c r="G2" s="803"/>
      <c r="H2" s="803"/>
      <c r="I2" s="803"/>
      <c r="J2" s="803"/>
      <c r="K2" s="803"/>
      <c r="L2" s="36"/>
    </row>
    <row r="3" spans="1:12" ht="11.25" customHeight="1">
      <c r="A3" s="74"/>
      <c r="B3" s="73"/>
      <c r="C3" s="73"/>
      <c r="D3" s="73"/>
      <c r="E3" s="73"/>
      <c r="F3" s="73"/>
      <c r="G3" s="73"/>
      <c r="H3" s="73"/>
      <c r="I3" s="73"/>
      <c r="J3" s="73"/>
      <c r="K3" s="73"/>
      <c r="L3" s="36"/>
    </row>
    <row r="4" spans="1:12" ht="15.75" customHeight="1">
      <c r="A4" s="801" t="s">
        <v>258</v>
      </c>
      <c r="B4" s="798" t="s">
        <v>33</v>
      </c>
      <c r="C4" s="799"/>
      <c r="D4" s="799"/>
      <c r="E4" s="799" t="s">
        <v>34</v>
      </c>
      <c r="F4" s="799"/>
      <c r="G4" s="800" t="str">
        <f>+'4. Tipo Recurso'!G4:K4</f>
        <v>Generación Acumulada a julio</v>
      </c>
      <c r="H4" s="800"/>
      <c r="I4" s="800"/>
      <c r="J4" s="800"/>
      <c r="K4" s="800"/>
      <c r="L4" s="22"/>
    </row>
    <row r="5" spans="1:12" ht="29.25" customHeight="1">
      <c r="A5" s="801"/>
      <c r="B5" s="310">
        <f>+'4. Tipo Recurso'!B5</f>
        <v>43224</v>
      </c>
      <c r="C5" s="310">
        <f>+'4. Tipo Recurso'!C5</f>
        <v>43254</v>
      </c>
      <c r="D5" s="310">
        <f>+'4. Tipo Recurso'!D5</f>
        <v>43282</v>
      </c>
      <c r="E5" s="310">
        <f>+'4. Tipo Recurso'!E5</f>
        <v>42917</v>
      </c>
      <c r="F5" s="310" t="s">
        <v>35</v>
      </c>
      <c r="G5" s="312">
        <v>2018</v>
      </c>
      <c r="H5" s="312">
        <v>2017</v>
      </c>
      <c r="I5" s="311" t="s">
        <v>43</v>
      </c>
      <c r="J5" s="312">
        <v>2016</v>
      </c>
      <c r="K5" s="311" t="s">
        <v>36</v>
      </c>
      <c r="L5" s="24"/>
    </row>
    <row r="6" spans="1:12" ht="11.25" customHeight="1">
      <c r="A6" s="143" t="s">
        <v>46</v>
      </c>
      <c r="B6" s="461">
        <v>110.02161063750002</v>
      </c>
      <c r="C6" s="462">
        <v>90.464329837500003</v>
      </c>
      <c r="D6" s="463">
        <v>67.579665022500023</v>
      </c>
      <c r="E6" s="461">
        <v>52.497324751262276</v>
      </c>
      <c r="F6" s="318">
        <f t="shared" ref="F6:F11" si="0">IF(E6=0,"",D6/E6-1)</f>
        <v>0.28729731167634598</v>
      </c>
      <c r="G6" s="461">
        <v>741.07339331500009</v>
      </c>
      <c r="H6" s="462">
        <v>665.73395083403761</v>
      </c>
      <c r="I6" s="322">
        <f t="shared" ref="I6:I11" si="1">IF(H6=0,"",G6/H6-1)</f>
        <v>0.11316749339068033</v>
      </c>
      <c r="J6" s="461">
        <v>532.07533790032085</v>
      </c>
      <c r="K6" s="318">
        <f t="shared" ref="K6:K11" si="2">IF(J6=0,"",H6/J6-1)</f>
        <v>0.2512024208097321</v>
      </c>
      <c r="L6" s="313"/>
    </row>
    <row r="7" spans="1:12" ht="11.25" customHeight="1">
      <c r="A7" s="144" t="s">
        <v>39</v>
      </c>
      <c r="B7" s="464">
        <v>143.30216725</v>
      </c>
      <c r="C7" s="306">
        <v>128.59335152</v>
      </c>
      <c r="D7" s="465">
        <v>130.32940518999999</v>
      </c>
      <c r="E7" s="464">
        <v>81.908387574829391</v>
      </c>
      <c r="F7" s="319">
        <f t="shared" si="0"/>
        <v>0.59116067412430029</v>
      </c>
      <c r="G7" s="464">
        <v>788.91402797000001</v>
      </c>
      <c r="H7" s="306">
        <v>541.74678969389709</v>
      </c>
      <c r="I7" s="301">
        <f t="shared" si="1"/>
        <v>0.45624126063720594</v>
      </c>
      <c r="J7" s="464">
        <v>552.01603168100928</v>
      </c>
      <c r="K7" s="319">
        <f t="shared" si="2"/>
        <v>-1.8603158962322341E-2</v>
      </c>
      <c r="L7" s="313"/>
    </row>
    <row r="8" spans="1:12" ht="11.25" customHeight="1">
      <c r="A8" s="316" t="s">
        <v>30</v>
      </c>
      <c r="B8" s="717">
        <v>57.9052203225</v>
      </c>
      <c r="C8" s="472">
        <v>46.704256437500007</v>
      </c>
      <c r="D8" s="718">
        <v>49.3644935425</v>
      </c>
      <c r="E8" s="717">
        <v>16.945066748818</v>
      </c>
      <c r="F8" s="320">
        <f t="shared" si="0"/>
        <v>1.9132073820802984</v>
      </c>
      <c r="G8" s="717">
        <v>380.15961603249997</v>
      </c>
      <c r="H8" s="472">
        <v>122.21345060204001</v>
      </c>
      <c r="I8" s="315">
        <f t="shared" si="1"/>
        <v>2.1106201008136356</v>
      </c>
      <c r="J8" s="717">
        <v>132.03879341999991</v>
      </c>
      <c r="K8" s="320">
        <f t="shared" si="2"/>
        <v>-7.4412546218190823E-2</v>
      </c>
      <c r="L8" s="313"/>
    </row>
    <row r="9" spans="1:12" ht="11.25" customHeight="1">
      <c r="A9" s="144" t="s">
        <v>50</v>
      </c>
      <c r="B9" s="464">
        <v>7.3377402875</v>
      </c>
      <c r="C9" s="306">
        <v>7.0497050225000004</v>
      </c>
      <c r="D9" s="465">
        <v>8.1191125700000004</v>
      </c>
      <c r="E9" s="464">
        <v>9.4909181878240236</v>
      </c>
      <c r="F9" s="319">
        <f t="shared" si="0"/>
        <v>-0.14453876755401007</v>
      </c>
      <c r="G9" s="464">
        <v>50.502784532499994</v>
      </c>
      <c r="H9" s="306">
        <v>48.957428242631231</v>
      </c>
      <c r="I9" s="301">
        <f t="shared" si="1"/>
        <v>3.156530776514721E-2</v>
      </c>
      <c r="J9" s="464">
        <v>55.0172398081464</v>
      </c>
      <c r="K9" s="319">
        <f t="shared" si="2"/>
        <v>-0.11014386738859794</v>
      </c>
      <c r="L9" s="35"/>
    </row>
    <row r="10" spans="1:12" ht="11.25" customHeight="1">
      <c r="A10" s="317" t="s">
        <v>51</v>
      </c>
      <c r="B10" s="719">
        <v>3.3924106000000003</v>
      </c>
      <c r="C10" s="720">
        <v>2.8349443750000001</v>
      </c>
      <c r="D10" s="721">
        <v>2.9110080250000001</v>
      </c>
      <c r="E10" s="719">
        <v>2.943389475</v>
      </c>
      <c r="F10" s="321">
        <f t="shared" si="0"/>
        <v>-1.1001415298598882E-2</v>
      </c>
      <c r="G10" s="719">
        <v>25.804943254999998</v>
      </c>
      <c r="H10" s="720">
        <v>22.432325005696626</v>
      </c>
      <c r="I10" s="323">
        <f t="shared" si="1"/>
        <v>0.15034635279432274</v>
      </c>
      <c r="J10" s="719">
        <v>28.542107722025001</v>
      </c>
      <c r="K10" s="321">
        <f t="shared" si="2"/>
        <v>-0.2140620719335895</v>
      </c>
      <c r="L10" s="313"/>
    </row>
    <row r="11" spans="1:12" ht="11.25" customHeight="1">
      <c r="A11" s="324" t="s">
        <v>255</v>
      </c>
      <c r="B11" s="555">
        <f>+SUM(B6:B10)</f>
        <v>321.95914909750002</v>
      </c>
      <c r="C11" s="556">
        <f>+SUM(C6:C10)</f>
        <v>275.64658719250002</v>
      </c>
      <c r="D11" s="557">
        <f>+SUM(D6:D10)</f>
        <v>258.30368434999997</v>
      </c>
      <c r="E11" s="558">
        <f>+SUM(E6:E10)</f>
        <v>163.78508673773371</v>
      </c>
      <c r="F11" s="325">
        <f t="shared" si="0"/>
        <v>0.57708915686333095</v>
      </c>
      <c r="G11" s="715">
        <f>+SUM(G6:G10)</f>
        <v>1986.454765105</v>
      </c>
      <c r="H11" s="716">
        <f>+SUM(H6:H10)</f>
        <v>1401.0839443783027</v>
      </c>
      <c r="I11" s="326">
        <f t="shared" si="1"/>
        <v>0.41779853596598127</v>
      </c>
      <c r="J11" s="715">
        <f>+SUM(J6:J10)</f>
        <v>1299.6895105315014</v>
      </c>
      <c r="K11" s="325">
        <f t="shared" si="2"/>
        <v>7.8014351139401361E-2</v>
      </c>
      <c r="L11" s="22"/>
    </row>
    <row r="12" spans="1:12" ht="24.75" customHeight="1">
      <c r="A12" s="327" t="s">
        <v>256</v>
      </c>
      <c r="B12" s="328">
        <f>B11/'4. Tipo Recurso'!B19</f>
        <v>7.5084171281328743E-2</v>
      </c>
      <c r="C12" s="326">
        <f>C11/'4. Tipo Recurso'!C19</f>
        <v>6.6663090014915702E-2</v>
      </c>
      <c r="D12" s="325">
        <f>D11/'4. Tipo Recurso'!D19</f>
        <v>6.150070779258246E-2</v>
      </c>
      <c r="E12" s="328">
        <f>E11/'4. Tipo Recurso'!E19</f>
        <v>4.0515265968686133E-2</v>
      </c>
      <c r="F12" s="329"/>
      <c r="G12" s="328">
        <f>G11/'4. Tipo Recurso'!G19</f>
        <v>6.7747449866434523E-2</v>
      </c>
      <c r="H12" s="326">
        <f>H11/'4. Tipo Recurso'!H19</f>
        <v>4.9233593692763505E-2</v>
      </c>
      <c r="I12" s="326"/>
      <c r="J12" s="328">
        <f>J11/'4. Tipo Recurso'!J19</f>
        <v>4.6722843956064838E-2</v>
      </c>
      <c r="K12" s="329"/>
      <c r="L12" s="22"/>
    </row>
    <row r="13" spans="1:12" ht="11.25" customHeight="1">
      <c r="A13" s="330" t="s">
        <v>257</v>
      </c>
      <c r="B13" s="134"/>
      <c r="C13" s="134"/>
      <c r="D13" s="134"/>
      <c r="E13" s="134"/>
      <c r="F13" s="134"/>
      <c r="G13" s="134"/>
      <c r="H13" s="134"/>
      <c r="I13" s="134"/>
      <c r="J13" s="134"/>
      <c r="K13" s="135"/>
      <c r="L13" s="22"/>
    </row>
    <row r="14" spans="1:12" ht="23.25" customHeight="1">
      <c r="A14" s="804" t="s">
        <v>56</v>
      </c>
      <c r="B14" s="804"/>
      <c r="C14" s="804"/>
      <c r="D14" s="804"/>
      <c r="E14" s="804"/>
      <c r="F14" s="804"/>
      <c r="G14" s="804"/>
      <c r="H14" s="804"/>
      <c r="I14" s="804"/>
      <c r="J14" s="804"/>
      <c r="K14" s="804"/>
      <c r="L14" s="22"/>
    </row>
    <row r="15" spans="1:12" ht="11.25" customHeight="1">
      <c r="L15" s="22"/>
    </row>
    <row r="16" spans="1:12" ht="11.25" customHeight="1">
      <c r="A16" s="136"/>
      <c r="B16" s="152"/>
      <c r="C16" s="152"/>
      <c r="D16" s="152"/>
      <c r="E16" s="152"/>
      <c r="F16" s="152"/>
      <c r="G16" s="152"/>
      <c r="H16" s="152"/>
      <c r="I16" s="152"/>
      <c r="J16" s="152"/>
      <c r="K16" s="152"/>
      <c r="L16" s="22"/>
    </row>
    <row r="17" spans="1:12" ht="11.25" customHeight="1">
      <c r="A17" s="152"/>
      <c r="B17" s="152"/>
      <c r="C17" s="152"/>
      <c r="D17" s="152"/>
      <c r="E17" s="152"/>
      <c r="F17" s="152"/>
      <c r="G17" s="152"/>
      <c r="H17" s="152"/>
      <c r="I17" s="152"/>
      <c r="J17" s="152"/>
      <c r="K17" s="152"/>
      <c r="L17" s="22"/>
    </row>
    <row r="18" spans="1:12" ht="11.25" customHeight="1">
      <c r="A18" s="152"/>
      <c r="B18" s="152"/>
      <c r="C18" s="152"/>
      <c r="D18" s="152"/>
      <c r="E18" s="152"/>
      <c r="F18" s="152"/>
      <c r="G18" s="152"/>
      <c r="H18" s="152"/>
      <c r="I18" s="152"/>
      <c r="J18" s="152"/>
      <c r="K18" s="152"/>
      <c r="L18" s="30"/>
    </row>
    <row r="19" spans="1:12" ht="11.25" customHeight="1">
      <c r="A19" s="136"/>
      <c r="B19" s="138"/>
      <c r="C19" s="138"/>
      <c r="D19" s="138"/>
      <c r="E19" s="138"/>
      <c r="F19" s="138"/>
      <c r="G19" s="138"/>
      <c r="H19" s="138"/>
      <c r="I19" s="138"/>
      <c r="J19" s="138"/>
      <c r="K19" s="138"/>
      <c r="L19" s="22"/>
    </row>
    <row r="20" spans="1:12" ht="11.25" customHeight="1">
      <c r="A20" s="136"/>
      <c r="B20" s="138"/>
      <c r="C20" s="138"/>
      <c r="D20" s="138"/>
      <c r="E20" s="138"/>
      <c r="F20" s="138"/>
      <c r="G20" s="138"/>
      <c r="H20" s="138"/>
      <c r="I20" s="138"/>
      <c r="J20" s="138"/>
      <c r="K20" s="138"/>
      <c r="L20" s="22"/>
    </row>
    <row r="21" spans="1:12" ht="11.25" customHeight="1">
      <c r="A21" s="136"/>
      <c r="B21" s="138"/>
      <c r="C21" s="138"/>
      <c r="D21" s="138"/>
      <c r="E21" s="138"/>
      <c r="F21" s="138"/>
      <c r="G21" s="138"/>
      <c r="H21" s="138"/>
      <c r="I21" s="138"/>
      <c r="J21" s="138"/>
      <c r="K21" s="138"/>
      <c r="L21" s="22"/>
    </row>
    <row r="22" spans="1:12" ht="11.25" customHeight="1">
      <c r="A22" s="136"/>
      <c r="B22" s="138"/>
      <c r="C22" s="138"/>
      <c r="D22" s="138"/>
      <c r="E22" s="138"/>
      <c r="F22" s="138"/>
      <c r="G22" s="138"/>
      <c r="H22" s="138"/>
      <c r="I22" s="138"/>
      <c r="J22" s="138"/>
      <c r="K22" s="138"/>
      <c r="L22" s="30"/>
    </row>
    <row r="23" spans="1:12" ht="11.25" customHeight="1">
      <c r="A23" s="136"/>
      <c r="B23" s="138"/>
      <c r="C23" s="138"/>
      <c r="D23" s="138"/>
      <c r="E23" s="138"/>
      <c r="F23" s="138"/>
      <c r="G23" s="138"/>
      <c r="H23" s="138"/>
      <c r="I23" s="138"/>
      <c r="J23" s="138"/>
      <c r="K23" s="138"/>
      <c r="L23" s="22"/>
    </row>
    <row r="24" spans="1:12" ht="11.25" customHeight="1">
      <c r="A24" s="136"/>
      <c r="B24" s="138"/>
      <c r="C24" s="138"/>
      <c r="D24" s="138"/>
      <c r="E24" s="138"/>
      <c r="F24" s="138"/>
      <c r="G24" s="138"/>
      <c r="H24" s="138"/>
      <c r="I24" s="138"/>
      <c r="J24" s="138"/>
      <c r="K24" s="138"/>
      <c r="L24" s="22"/>
    </row>
    <row r="25" spans="1:12" ht="11.25" customHeight="1">
      <c r="A25" s="136"/>
      <c r="B25" s="138"/>
      <c r="C25" s="138"/>
      <c r="D25" s="138"/>
      <c r="E25" s="138"/>
      <c r="F25" s="138"/>
      <c r="G25" s="138"/>
      <c r="H25" s="138"/>
      <c r="I25" s="138"/>
      <c r="J25" s="138"/>
      <c r="K25" s="138"/>
      <c r="L25" s="22"/>
    </row>
    <row r="26" spans="1:12" ht="11.25" customHeight="1">
      <c r="A26" s="136"/>
      <c r="B26" s="138"/>
      <c r="C26" s="138"/>
      <c r="D26" s="138"/>
      <c r="E26" s="138"/>
      <c r="F26" s="138"/>
      <c r="G26" s="138"/>
      <c r="H26" s="138"/>
      <c r="I26" s="138"/>
      <c r="J26" s="138"/>
      <c r="K26" s="138"/>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6" ht="11.25" customHeight="1">
      <c r="A33" s="136"/>
      <c r="B33" s="138"/>
      <c r="C33" s="138"/>
      <c r="D33" s="138"/>
      <c r="E33" s="138"/>
      <c r="F33" s="138"/>
      <c r="G33" s="138"/>
      <c r="H33" s="138"/>
      <c r="I33" s="138"/>
      <c r="J33" s="138"/>
      <c r="K33" s="138"/>
      <c r="L33" s="22"/>
    </row>
    <row r="34" spans="1:16" ht="11.25" customHeight="1">
      <c r="A34" s="802" t="str">
        <f>"Gráfico N° 6: Comparación de la producción de energía eléctrica acumulada (GWh) con recursos energéticos renovables en "&amp;'1. Resumen'!Q4</f>
        <v>Gráfico N° 6: Comparación de la producción de energía eléctrica acumulada (GWh) con recursos energéticos renovables en julio</v>
      </c>
      <c r="B34" s="802"/>
      <c r="C34" s="802"/>
      <c r="D34" s="802"/>
      <c r="E34" s="802"/>
      <c r="F34" s="802"/>
      <c r="G34" s="802"/>
      <c r="H34" s="802"/>
      <c r="I34" s="802"/>
      <c r="J34" s="802"/>
      <c r="K34" s="802"/>
      <c r="L34" s="22"/>
    </row>
    <row r="35" spans="1:16" ht="11.25" customHeight="1">
      <c r="L35" s="38"/>
    </row>
    <row r="36" spans="1:16" ht="11.25" customHeight="1">
      <c r="A36" s="136"/>
      <c r="B36" s="138"/>
      <c r="C36" s="138"/>
      <c r="D36" s="138"/>
      <c r="E36" s="138"/>
      <c r="F36" s="138"/>
      <c r="G36" s="138"/>
      <c r="H36" s="138"/>
      <c r="I36" s="138"/>
      <c r="J36" s="138"/>
      <c r="K36" s="138"/>
      <c r="L36" s="22"/>
    </row>
    <row r="37" spans="1:16" ht="11.25" customHeight="1">
      <c r="A37" s="136"/>
      <c r="B37" s="138"/>
      <c r="C37" s="138"/>
      <c r="D37" s="138"/>
      <c r="E37" s="138"/>
      <c r="F37" s="138"/>
      <c r="G37" s="138"/>
      <c r="H37" s="138"/>
      <c r="I37" s="138"/>
      <c r="J37" s="138"/>
      <c r="K37" s="138"/>
      <c r="L37" s="22"/>
    </row>
    <row r="38" spans="1:16" ht="11.25" customHeight="1">
      <c r="A38" s="136"/>
      <c r="B38" s="138"/>
      <c r="C38" s="138"/>
      <c r="D38" s="138"/>
      <c r="E38" s="138"/>
      <c r="F38" s="138"/>
      <c r="G38" s="138"/>
      <c r="H38" s="138"/>
      <c r="I38" s="138"/>
      <c r="J38" s="138"/>
      <c r="K38" s="138"/>
      <c r="L38" s="22"/>
    </row>
    <row r="39" spans="1:16" ht="11.25" customHeight="1">
      <c r="A39" s="136"/>
      <c r="B39" s="138"/>
      <c r="C39" s="331" t="s">
        <v>260</v>
      </c>
      <c r="D39" s="177"/>
      <c r="E39" s="177"/>
      <c r="F39" s="714">
        <f>+'4. Tipo Recurso'!D19</f>
        <v>4200.0115709425008</v>
      </c>
      <c r="G39" s="331" t="s">
        <v>259</v>
      </c>
      <c r="H39" s="138"/>
      <c r="I39" s="138"/>
      <c r="J39" s="138"/>
      <c r="K39" s="138"/>
      <c r="L39" s="22"/>
      <c r="M39" s="332">
        <f>+F39-F40</f>
        <v>3941.7115709425007</v>
      </c>
      <c r="P39" s="559"/>
    </row>
    <row r="40" spans="1:16" ht="11.25" customHeight="1">
      <c r="A40" s="136"/>
      <c r="B40" s="138"/>
      <c r="C40" s="331" t="s">
        <v>261</v>
      </c>
      <c r="D40" s="177"/>
      <c r="E40" s="177"/>
      <c r="F40" s="714">
        <f>ROUND(D11,2)</f>
        <v>258.3</v>
      </c>
      <c r="G40" s="331" t="s">
        <v>259</v>
      </c>
      <c r="H40" s="138"/>
      <c r="I40" s="138"/>
      <c r="J40" s="138"/>
      <c r="K40" s="138"/>
      <c r="L40" s="22"/>
      <c r="M40" s="559"/>
      <c r="P40" s="559"/>
    </row>
    <row r="41" spans="1:16" ht="11.25" customHeight="1">
      <c r="A41" s="136"/>
      <c r="B41" s="138"/>
      <c r="C41" s="138"/>
      <c r="D41" s="138"/>
      <c r="E41" s="138"/>
      <c r="F41" s="138"/>
      <c r="G41" s="138"/>
      <c r="H41" s="138"/>
      <c r="I41" s="138"/>
      <c r="J41" s="138"/>
      <c r="K41" s="138"/>
      <c r="L41" s="22"/>
      <c r="P41" s="559"/>
    </row>
    <row r="42" spans="1:16" ht="11.25" customHeight="1">
      <c r="A42" s="136"/>
      <c r="B42" s="138"/>
      <c r="C42" s="138"/>
      <c r="D42" s="138"/>
      <c r="E42" s="138"/>
      <c r="F42" s="138"/>
      <c r="G42" s="138"/>
      <c r="H42" s="138"/>
      <c r="I42" s="138"/>
      <c r="J42" s="138"/>
      <c r="K42" s="138"/>
      <c r="L42" s="22"/>
      <c r="P42" s="559"/>
    </row>
    <row r="43" spans="1:16" ht="11.25" customHeight="1">
      <c r="A43" s="136"/>
      <c r="B43" s="138"/>
      <c r="C43" s="138"/>
      <c r="D43" s="138"/>
      <c r="E43" s="138"/>
      <c r="F43" s="138"/>
      <c r="G43" s="138"/>
      <c r="H43" s="138"/>
      <c r="I43" s="138"/>
      <c r="J43" s="138"/>
      <c r="K43" s="138"/>
      <c r="L43" s="22"/>
      <c r="P43" s="559"/>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89" t="str">
        <f>"Gráfico N° 7: Participación de las RER en la Matriz de Generación del SEIN en "&amp;'1. Resumen'!Q4&amp;" "&amp;'1. Resumen'!Q5</f>
        <v>Gráfico N° 7: Participación de las RER en la Matriz de Generación del SEIN en julio 2018</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428571428571429" right="0.54761904761904767" top="0.86956521739130432" bottom="0.61458333333333337" header="0.3" footer="0.3"/>
  <pageSetup scale="95" orientation="portrait" r:id="rId1"/>
  <headerFooter>
    <oddHeader>&amp;R&amp;7Informe de la Operación Mensual - Julio 2018
INFSGI-MES-07-2018
14/08/2018
Versión: 01</oddHeader>
    <oddFooter>&amp;L&amp;7COES SINAC, 2018
&amp;C5&amp;R&amp;7Dirección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7CCD-E29E-4ECA-B9FC-DDA2646DA177}">
  <sheetPr>
    <tabColor theme="4"/>
  </sheetPr>
  <dimension ref="A2:V64"/>
  <sheetViews>
    <sheetView showGridLines="0" view="pageBreakPreview" topLeftCell="B1" zoomScale="160" zoomScaleNormal="100" zoomScaleSheetLayoutView="160" zoomScalePageLayoutView="160" workbookViewId="0">
      <selection activeCell="Q29" sqref="Q29"/>
    </sheetView>
  </sheetViews>
  <sheetFormatPr baseColWidth="10" defaultColWidth="9.28515625" defaultRowHeight="10.199999999999999"/>
  <cols>
    <col min="1" max="11" width="10.28515625" customWidth="1"/>
    <col min="12" max="12" width="21.140625" style="728" bestFit="1" customWidth="1"/>
    <col min="13" max="14" width="9.28515625" style="728"/>
    <col min="15" max="15" width="11.85546875" style="728" customWidth="1"/>
    <col min="16" max="19" width="9.28515625" style="728"/>
    <col min="20" max="20" width="15" style="728" customWidth="1"/>
    <col min="21" max="22" width="9.28515625" style="728"/>
  </cols>
  <sheetData>
    <row r="2" spans="1:22" ht="11.25" customHeight="1">
      <c r="A2" s="805" t="s">
        <v>267</v>
      </c>
      <c r="B2" s="805"/>
      <c r="C2" s="805"/>
      <c r="D2" s="805"/>
      <c r="E2" s="805"/>
      <c r="F2" s="805"/>
      <c r="G2" s="805"/>
      <c r="H2" s="805"/>
      <c r="I2" s="805"/>
      <c r="J2" s="805"/>
      <c r="K2" s="805"/>
    </row>
    <row r="3" spans="1:22" ht="11.25" customHeight="1"/>
    <row r="4" spans="1:22" ht="11.25" customHeight="1">
      <c r="L4" s="729" t="s">
        <v>57</v>
      </c>
      <c r="M4" s="730" t="s">
        <v>31</v>
      </c>
      <c r="N4" s="729" t="s">
        <v>677</v>
      </c>
      <c r="O4" s="731">
        <v>43282</v>
      </c>
      <c r="P4" s="732"/>
      <c r="Q4" s="732"/>
    </row>
    <row r="5" spans="1:22" ht="11.25" customHeight="1">
      <c r="A5" s="154"/>
      <c r="B5" s="138"/>
      <c r="C5" s="138"/>
      <c r="D5" s="138"/>
      <c r="E5" s="138"/>
      <c r="F5" s="138"/>
      <c r="G5" s="138"/>
      <c r="H5" s="138"/>
      <c r="I5" s="138"/>
      <c r="J5" s="138"/>
      <c r="K5" s="138"/>
      <c r="L5" s="729"/>
      <c r="M5" s="730"/>
      <c r="N5" s="729"/>
      <c r="O5" s="729" t="s">
        <v>58</v>
      </c>
      <c r="P5" s="729" t="s">
        <v>59</v>
      </c>
      <c r="Q5" s="729"/>
      <c r="U5" s="728">
        <v>2018</v>
      </c>
      <c r="V5" s="728">
        <v>2017</v>
      </c>
    </row>
    <row r="6" spans="1:22" ht="11.25" customHeight="1">
      <c r="A6" s="111"/>
      <c r="B6" s="138"/>
      <c r="C6" s="138"/>
      <c r="D6" s="138"/>
      <c r="E6" s="138"/>
      <c r="F6" s="138"/>
      <c r="G6" s="138"/>
      <c r="H6" s="138"/>
      <c r="I6" s="138"/>
      <c r="J6" s="138"/>
      <c r="K6" s="138"/>
      <c r="L6" s="733" t="s">
        <v>533</v>
      </c>
      <c r="M6" s="734" t="s">
        <v>61</v>
      </c>
      <c r="N6" s="735">
        <v>20</v>
      </c>
      <c r="O6" s="734">
        <v>14.22320399</v>
      </c>
      <c r="P6" s="734">
        <v>0.98772249930555556</v>
      </c>
      <c r="Q6" s="734"/>
      <c r="S6" s="728" t="s">
        <v>61</v>
      </c>
      <c r="T6" s="728" t="s">
        <v>533</v>
      </c>
      <c r="U6" s="736">
        <v>1</v>
      </c>
      <c r="V6" s="736"/>
    </row>
    <row r="7" spans="1:22" ht="11.25" customHeight="1">
      <c r="A7" s="136"/>
      <c r="B7" s="138"/>
      <c r="C7" s="138"/>
      <c r="D7" s="138"/>
      <c r="E7" s="138"/>
      <c r="F7" s="138"/>
      <c r="G7" s="138"/>
      <c r="H7" s="138"/>
      <c r="I7" s="138"/>
      <c r="J7" s="138"/>
      <c r="K7" s="138"/>
      <c r="L7" s="733" t="s">
        <v>62</v>
      </c>
      <c r="M7" s="734" t="s">
        <v>61</v>
      </c>
      <c r="N7" s="735">
        <v>15</v>
      </c>
      <c r="O7" s="734">
        <v>10.850510617499999</v>
      </c>
      <c r="P7" s="734">
        <v>1.0046769090277778</v>
      </c>
      <c r="Q7" s="734"/>
      <c r="T7" s="728" t="s">
        <v>62</v>
      </c>
      <c r="U7" s="736">
        <v>1</v>
      </c>
      <c r="V7" s="736"/>
    </row>
    <row r="8" spans="1:22" ht="11.25" customHeight="1">
      <c r="A8" s="136"/>
      <c r="B8" s="138"/>
      <c r="C8" s="138"/>
      <c r="D8" s="138"/>
      <c r="E8" s="138"/>
      <c r="F8" s="138"/>
      <c r="G8" s="138"/>
      <c r="H8" s="138"/>
      <c r="I8" s="138"/>
      <c r="J8" s="138"/>
      <c r="K8" s="138"/>
      <c r="L8" s="733" t="s">
        <v>60</v>
      </c>
      <c r="M8" s="734" t="s">
        <v>61</v>
      </c>
      <c r="N8" s="735">
        <v>19.1995</v>
      </c>
      <c r="O8" s="734">
        <v>6.6333600500000003</v>
      </c>
      <c r="P8" s="734">
        <v>0.46143444202366246</v>
      </c>
      <c r="Q8" s="734"/>
      <c r="T8" s="728" t="s">
        <v>75</v>
      </c>
      <c r="U8" s="736">
        <v>1</v>
      </c>
      <c r="V8" s="736">
        <v>0.83199999999999996</v>
      </c>
    </row>
    <row r="9" spans="1:22" ht="11.25" customHeight="1">
      <c r="A9" s="136"/>
      <c r="B9" s="138"/>
      <c r="C9" s="138"/>
      <c r="D9" s="138"/>
      <c r="E9" s="138"/>
      <c r="F9" s="138"/>
      <c r="G9" s="138"/>
      <c r="H9" s="138"/>
      <c r="I9" s="138"/>
      <c r="J9" s="138"/>
      <c r="K9" s="138"/>
      <c r="L9" s="733" t="s">
        <v>63</v>
      </c>
      <c r="M9" s="737" t="s">
        <v>61</v>
      </c>
      <c r="N9" s="735">
        <v>19.899999999999999</v>
      </c>
      <c r="O9" s="734">
        <v>4.5812578149999998</v>
      </c>
      <c r="P9" s="734">
        <v>0.31866870718630186</v>
      </c>
      <c r="Q9" s="734"/>
      <c r="T9" s="728" t="s">
        <v>60</v>
      </c>
      <c r="U9" s="736">
        <v>0.94004692450001104</v>
      </c>
      <c r="V9" s="736">
        <v>0.83799999999999997</v>
      </c>
    </row>
    <row r="10" spans="1:22" ht="11.25" customHeight="1">
      <c r="A10" s="136"/>
      <c r="B10" s="138"/>
      <c r="C10" s="138"/>
      <c r="D10" s="138"/>
      <c r="E10" s="138"/>
      <c r="F10" s="138"/>
      <c r="G10" s="138"/>
      <c r="H10" s="138"/>
      <c r="I10" s="138"/>
      <c r="J10" s="138"/>
      <c r="K10" s="138"/>
      <c r="L10" s="733" t="s">
        <v>69</v>
      </c>
      <c r="M10" s="737" t="s">
        <v>61</v>
      </c>
      <c r="N10" s="735">
        <v>19.966000000000001</v>
      </c>
      <c r="O10" s="734">
        <v>3.8786530300000006</v>
      </c>
      <c r="P10" s="734">
        <v>0.69554784986729801</v>
      </c>
      <c r="Q10" s="734"/>
      <c r="T10" s="728" t="s">
        <v>65</v>
      </c>
      <c r="U10" s="736">
        <v>0.93177706895691381</v>
      </c>
      <c r="V10" s="736">
        <v>0.95299999999999996</v>
      </c>
    </row>
    <row r="11" spans="1:22" ht="11.25" customHeight="1">
      <c r="A11" s="136"/>
      <c r="B11" s="138"/>
      <c r="C11" s="138"/>
      <c r="D11" s="138"/>
      <c r="E11" s="138"/>
      <c r="F11" s="138"/>
      <c r="G11" s="138"/>
      <c r="H11" s="138"/>
      <c r="I11" s="138"/>
      <c r="J11" s="138"/>
      <c r="K11" s="138"/>
      <c r="L11" s="733" t="s">
        <v>64</v>
      </c>
      <c r="M11" s="737" t="s">
        <v>61</v>
      </c>
      <c r="N11" s="735">
        <v>19.966999999999999</v>
      </c>
      <c r="O11" s="734">
        <v>3.7573950974999999</v>
      </c>
      <c r="P11" s="734">
        <v>0.27180938576959468</v>
      </c>
      <c r="Q11" s="734"/>
      <c r="T11" s="728" t="s">
        <v>76</v>
      </c>
      <c r="U11" s="736">
        <v>0.92485197803925911</v>
      </c>
      <c r="V11" s="736">
        <v>0.67200000000000004</v>
      </c>
    </row>
    <row r="12" spans="1:22" ht="11.25" customHeight="1">
      <c r="A12" s="136"/>
      <c r="B12" s="138"/>
      <c r="C12" s="138"/>
      <c r="D12" s="138"/>
      <c r="E12" s="138"/>
      <c r="F12" s="138"/>
      <c r="G12" s="138"/>
      <c r="H12" s="138"/>
      <c r="I12" s="138"/>
      <c r="J12" s="138"/>
      <c r="K12" s="138"/>
      <c r="L12" s="733" t="s">
        <v>72</v>
      </c>
      <c r="M12" s="734" t="s">
        <v>61</v>
      </c>
      <c r="N12" s="735">
        <v>9.9830000000000005</v>
      </c>
      <c r="O12" s="734">
        <v>3.49702081</v>
      </c>
      <c r="P12" s="734">
        <v>0.50773294451413564</v>
      </c>
      <c r="Q12" s="734"/>
      <c r="T12" s="728" t="s">
        <v>73</v>
      </c>
      <c r="U12" s="736">
        <v>0.92091094074907709</v>
      </c>
      <c r="V12" s="736">
        <v>0.51500000000000001</v>
      </c>
    </row>
    <row r="13" spans="1:22" ht="11.25" customHeight="1">
      <c r="A13" s="136"/>
      <c r="B13" s="138"/>
      <c r="C13" s="138"/>
      <c r="D13" s="138"/>
      <c r="E13" s="138"/>
      <c r="F13" s="138"/>
      <c r="G13" s="138"/>
      <c r="H13" s="138"/>
      <c r="I13" s="138"/>
      <c r="J13" s="138"/>
      <c r="K13" s="138"/>
      <c r="L13" s="733" t="s">
        <v>66</v>
      </c>
      <c r="M13" s="734" t="s">
        <v>61</v>
      </c>
      <c r="N13" s="735">
        <v>7.7450000000000001</v>
      </c>
      <c r="O13" s="734">
        <v>3.0547518500000002</v>
      </c>
      <c r="P13" s="734">
        <v>0.21320155290340595</v>
      </c>
      <c r="Q13" s="734"/>
      <c r="T13" s="728" t="s">
        <v>69</v>
      </c>
      <c r="U13" s="736">
        <v>0.91210620638931794</v>
      </c>
      <c r="V13" s="736">
        <v>0.70599999999999996</v>
      </c>
    </row>
    <row r="14" spans="1:22" ht="11.25" customHeight="1">
      <c r="A14" s="136"/>
      <c r="B14" s="138"/>
      <c r="C14" s="138"/>
      <c r="D14" s="138"/>
      <c r="E14" s="138"/>
      <c r="F14" s="138"/>
      <c r="G14" s="138"/>
      <c r="H14" s="138"/>
      <c r="I14" s="138"/>
      <c r="J14" s="138"/>
      <c r="K14" s="138"/>
      <c r="L14" s="733" t="s">
        <v>67</v>
      </c>
      <c r="M14" s="734" t="s">
        <v>61</v>
      </c>
      <c r="N14" s="735">
        <v>9.5660000000000007</v>
      </c>
      <c r="O14" s="734">
        <v>3.0124146475</v>
      </c>
      <c r="P14" s="734">
        <v>0.40930436633133332</v>
      </c>
      <c r="Q14" s="734"/>
      <c r="T14" s="728" t="s">
        <v>64</v>
      </c>
      <c r="U14" s="736">
        <v>0.89521466973438768</v>
      </c>
      <c r="V14" s="736">
        <v>0.82699999999999996</v>
      </c>
    </row>
    <row r="15" spans="1:22" ht="11.25" customHeight="1">
      <c r="A15" s="136"/>
      <c r="B15" s="138"/>
      <c r="C15" s="138"/>
      <c r="D15" s="138"/>
      <c r="E15" s="138"/>
      <c r="F15" s="138"/>
      <c r="G15" s="138"/>
      <c r="H15" s="138"/>
      <c r="I15" s="138"/>
      <c r="J15" s="138"/>
      <c r="K15" s="138"/>
      <c r="L15" s="733" t="s">
        <v>68</v>
      </c>
      <c r="M15" s="734" t="s">
        <v>61</v>
      </c>
      <c r="N15" s="735">
        <v>10.222</v>
      </c>
      <c r="O15" s="734">
        <v>2.7285876950000003</v>
      </c>
      <c r="P15" s="734">
        <v>0.3847416377608574</v>
      </c>
      <c r="Q15" s="734"/>
      <c r="T15" s="728" t="s">
        <v>67</v>
      </c>
      <c r="U15" s="736">
        <v>0.86209954063528194</v>
      </c>
      <c r="V15" s="736">
        <v>0.66100000000000003</v>
      </c>
    </row>
    <row r="16" spans="1:22" ht="11.25" customHeight="1">
      <c r="A16" s="136"/>
      <c r="B16" s="138"/>
      <c r="C16" s="138"/>
      <c r="D16" s="138"/>
      <c r="E16" s="138"/>
      <c r="F16" s="138"/>
      <c r="G16" s="138"/>
      <c r="H16" s="138"/>
      <c r="I16" s="138"/>
      <c r="J16" s="138"/>
      <c r="K16" s="138"/>
      <c r="L16" s="733" t="s">
        <v>77</v>
      </c>
      <c r="M16" s="734" t="s">
        <v>61</v>
      </c>
      <c r="N16" s="735">
        <v>9.85</v>
      </c>
      <c r="O16" s="734">
        <v>2.3769</v>
      </c>
      <c r="P16" s="734">
        <v>0.83280776992936434</v>
      </c>
      <c r="Q16" s="734"/>
      <c r="T16" s="728" t="s">
        <v>68</v>
      </c>
      <c r="U16" s="736">
        <v>0.85079164925540574</v>
      </c>
      <c r="V16" s="736">
        <v>0.66300000000000003</v>
      </c>
    </row>
    <row r="17" spans="1:22" ht="11.25" customHeight="1">
      <c r="A17" s="136"/>
      <c r="B17" s="138"/>
      <c r="C17" s="138"/>
      <c r="D17" s="138"/>
      <c r="E17" s="138"/>
      <c r="F17" s="138"/>
      <c r="G17" s="138"/>
      <c r="H17" s="138"/>
      <c r="I17" s="138"/>
      <c r="J17" s="138"/>
      <c r="K17" s="138"/>
      <c r="L17" s="733" t="s">
        <v>73</v>
      </c>
      <c r="M17" s="734" t="s">
        <v>61</v>
      </c>
      <c r="N17" s="735">
        <v>5.1890000000000001</v>
      </c>
      <c r="O17" s="734">
        <v>1.8083924999999998</v>
      </c>
      <c r="P17" s="734">
        <v>0.48403473694353438</v>
      </c>
      <c r="Q17" s="734"/>
      <c r="T17" s="728" t="s">
        <v>74</v>
      </c>
      <c r="U17" s="736">
        <v>0.82706626190395005</v>
      </c>
      <c r="V17" s="736">
        <v>0.82599999999999996</v>
      </c>
    </row>
    <row r="18" spans="1:22">
      <c r="A18" s="136"/>
      <c r="B18" s="138"/>
      <c r="C18" s="138"/>
      <c r="D18" s="138"/>
      <c r="E18" s="138"/>
      <c r="F18" s="138"/>
      <c r="G18" s="138"/>
      <c r="H18" s="138"/>
      <c r="I18" s="138"/>
      <c r="J18" s="138"/>
      <c r="K18" s="138"/>
      <c r="L18" s="733" t="s">
        <v>76</v>
      </c>
      <c r="M18" s="734" t="s">
        <v>61</v>
      </c>
      <c r="N18" s="735">
        <v>5.67</v>
      </c>
      <c r="O18" s="734">
        <v>1.7380232949999999</v>
      </c>
      <c r="P18" s="734">
        <v>0.6163921860818381</v>
      </c>
      <c r="Q18" s="734"/>
      <c r="T18" s="728" t="s">
        <v>72</v>
      </c>
      <c r="U18" s="736">
        <v>0.8147972605580347</v>
      </c>
      <c r="V18" s="736">
        <v>0.47199999999999998</v>
      </c>
    </row>
    <row r="19" spans="1:22">
      <c r="A19" s="136"/>
      <c r="B19" s="138"/>
      <c r="C19" s="138"/>
      <c r="D19" s="138"/>
      <c r="E19" s="138"/>
      <c r="F19" s="138"/>
      <c r="G19" s="138"/>
      <c r="H19" s="138"/>
      <c r="I19" s="138"/>
      <c r="J19" s="138"/>
      <c r="K19" s="138"/>
      <c r="L19" s="733" t="s">
        <v>74</v>
      </c>
      <c r="M19" s="734" t="s">
        <v>61</v>
      </c>
      <c r="N19" s="735">
        <v>3.964</v>
      </c>
      <c r="O19" s="734">
        <v>1.6646604850000002</v>
      </c>
      <c r="P19" s="734">
        <v>0.40776515897511273</v>
      </c>
      <c r="Q19" s="734"/>
      <c r="T19" s="728" t="s">
        <v>77</v>
      </c>
      <c r="U19" s="736">
        <v>0.81353149803108282</v>
      </c>
      <c r="V19" s="736">
        <v>0.70099999999999996</v>
      </c>
    </row>
    <row r="20" spans="1:22">
      <c r="A20" s="136"/>
      <c r="B20" s="138"/>
      <c r="C20" s="138"/>
      <c r="D20" s="138"/>
      <c r="E20" s="138"/>
      <c r="F20" s="138"/>
      <c r="G20" s="138"/>
      <c r="H20" s="138"/>
      <c r="I20" s="138"/>
      <c r="J20" s="138"/>
      <c r="K20" s="138"/>
      <c r="L20" s="733" t="s">
        <v>75</v>
      </c>
      <c r="M20" s="734" t="s">
        <v>61</v>
      </c>
      <c r="N20" s="735">
        <v>3.48</v>
      </c>
      <c r="O20" s="734">
        <v>1.3763512499999999</v>
      </c>
      <c r="P20" s="734">
        <v>0.54931004549808427</v>
      </c>
      <c r="Q20" s="734"/>
      <c r="T20" s="728" t="s">
        <v>66</v>
      </c>
      <c r="U20" s="736">
        <v>0.77827952385662202</v>
      </c>
      <c r="V20" s="736">
        <v>0.502</v>
      </c>
    </row>
    <row r="21" spans="1:22">
      <c r="A21" s="136"/>
      <c r="B21" s="138"/>
      <c r="C21" s="138"/>
      <c r="D21" s="138"/>
      <c r="E21" s="138"/>
      <c r="F21" s="138"/>
      <c r="G21" s="138"/>
      <c r="H21" s="138"/>
      <c r="I21" s="138"/>
      <c r="J21" s="138"/>
      <c r="K21" s="138"/>
      <c r="L21" s="733" t="s">
        <v>70</v>
      </c>
      <c r="M21" s="734" t="s">
        <v>61</v>
      </c>
      <c r="N21" s="735">
        <v>3.91621</v>
      </c>
      <c r="O21" s="734">
        <v>1.2528884</v>
      </c>
      <c r="P21" s="734">
        <v>0.23439153795498083</v>
      </c>
      <c r="Q21" s="734"/>
      <c r="T21" s="728" t="s">
        <v>63</v>
      </c>
      <c r="U21" s="736">
        <v>0.74903970729881086</v>
      </c>
      <c r="V21" s="736">
        <v>0.69599999999999995</v>
      </c>
    </row>
    <row r="22" spans="1:22">
      <c r="A22" s="136"/>
      <c r="B22" s="138"/>
      <c r="C22" s="138"/>
      <c r="D22" s="138"/>
      <c r="E22" s="138"/>
      <c r="F22" s="138"/>
      <c r="G22" s="138"/>
      <c r="H22" s="138"/>
      <c r="I22" s="138"/>
      <c r="J22" s="138"/>
      <c r="K22" s="138"/>
      <c r="L22" s="733" t="s">
        <v>71</v>
      </c>
      <c r="M22" s="734" t="s">
        <v>61</v>
      </c>
      <c r="N22" s="735">
        <v>7.4240000000000004</v>
      </c>
      <c r="O22" s="734">
        <v>1.0353831449999999</v>
      </c>
      <c r="P22" s="734">
        <v>0.20667320290792374</v>
      </c>
      <c r="Q22" s="734"/>
      <c r="T22" s="728" t="s">
        <v>70</v>
      </c>
      <c r="U22" s="736">
        <v>0.72151113961563096</v>
      </c>
      <c r="V22" s="736">
        <v>0.66100000000000003</v>
      </c>
    </row>
    <row r="23" spans="1:22">
      <c r="A23" s="136"/>
      <c r="B23" s="138"/>
      <c r="C23" s="138"/>
      <c r="D23" s="138"/>
      <c r="E23" s="138"/>
      <c r="F23" s="138"/>
      <c r="G23" s="138"/>
      <c r="H23" s="138"/>
      <c r="I23" s="138"/>
      <c r="J23" s="138"/>
      <c r="K23" s="138"/>
      <c r="L23" s="733" t="s">
        <v>78</v>
      </c>
      <c r="M23" s="734" t="s">
        <v>61</v>
      </c>
      <c r="N23" s="735">
        <v>6.9580000000000002</v>
      </c>
      <c r="O23" s="734">
        <v>0.10120691750000001</v>
      </c>
      <c r="P23" s="734">
        <v>8.2010013532347992E-2</v>
      </c>
      <c r="Q23" s="734"/>
      <c r="T23" s="728" t="s">
        <v>71</v>
      </c>
      <c r="U23" s="736">
        <v>0.69896172938380075</v>
      </c>
      <c r="V23" s="736">
        <v>0.66700000000000004</v>
      </c>
    </row>
    <row r="24" spans="1:22">
      <c r="A24" s="136"/>
      <c r="B24" s="138"/>
      <c r="C24" s="138"/>
      <c r="D24" s="138"/>
      <c r="E24" s="138"/>
      <c r="F24" s="138"/>
      <c r="G24" s="138"/>
      <c r="H24" s="138"/>
      <c r="I24" s="138"/>
      <c r="J24" s="138"/>
      <c r="K24" s="138"/>
      <c r="L24" s="733" t="s">
        <v>65</v>
      </c>
      <c r="M24" s="734" t="s">
        <v>61</v>
      </c>
      <c r="N24" s="735">
        <v>1.714</v>
      </c>
      <c r="O24" s="734">
        <v>8.7034274999999994E-3</v>
      </c>
      <c r="P24" s="734">
        <v>1.2108678503455874E-3</v>
      </c>
      <c r="Q24" s="734"/>
      <c r="T24" s="728" t="s">
        <v>78</v>
      </c>
      <c r="U24" s="736">
        <v>0.20713906075736385</v>
      </c>
      <c r="V24" s="736">
        <v>0.11799999999999999</v>
      </c>
    </row>
    <row r="25" spans="1:22">
      <c r="A25" s="136"/>
      <c r="B25" s="138"/>
      <c r="C25" s="138"/>
      <c r="D25" s="138"/>
      <c r="E25" s="138"/>
      <c r="F25" s="138"/>
      <c r="G25" s="138"/>
      <c r="H25" s="138"/>
      <c r="I25" s="138"/>
      <c r="J25" s="138"/>
      <c r="K25" s="138"/>
      <c r="L25" s="733" t="s">
        <v>561</v>
      </c>
      <c r="M25" s="734" t="s">
        <v>242</v>
      </c>
      <c r="N25" s="735">
        <v>132.30000000000001</v>
      </c>
      <c r="O25" s="734">
        <v>48.117333827499998</v>
      </c>
      <c r="P25" s="734">
        <v>0.50513703942533794</v>
      </c>
      <c r="Q25" s="734"/>
      <c r="S25" s="728" t="s">
        <v>80</v>
      </c>
      <c r="T25" s="728" t="s">
        <v>561</v>
      </c>
      <c r="U25" s="736">
        <v>0.87717510995461923</v>
      </c>
      <c r="V25" s="736"/>
    </row>
    <row r="26" spans="1:22">
      <c r="A26" s="136"/>
      <c r="B26" s="138"/>
      <c r="C26" s="138"/>
      <c r="D26" s="138"/>
      <c r="E26" s="138"/>
      <c r="F26" s="138"/>
      <c r="G26" s="138"/>
      <c r="H26" s="138"/>
      <c r="I26" s="138"/>
      <c r="J26" s="138"/>
      <c r="K26" s="138"/>
      <c r="L26" s="733" t="s">
        <v>79</v>
      </c>
      <c r="M26" s="734" t="s">
        <v>242</v>
      </c>
      <c r="N26" s="735">
        <v>97.15</v>
      </c>
      <c r="O26" s="734">
        <v>38.870344745000004</v>
      </c>
      <c r="P26" s="734">
        <v>0.55570344748956357</v>
      </c>
      <c r="Q26" s="734"/>
      <c r="T26" s="728" t="s">
        <v>79</v>
      </c>
      <c r="U26" s="736">
        <v>0.62967444406018092</v>
      </c>
      <c r="V26" s="736">
        <v>0.53300000000000003</v>
      </c>
    </row>
    <row r="27" spans="1:22">
      <c r="A27" s="136"/>
      <c r="B27" s="138"/>
      <c r="C27" s="138"/>
      <c r="D27" s="138"/>
      <c r="E27" s="138"/>
      <c r="F27" s="138"/>
      <c r="G27" s="138"/>
      <c r="H27" s="138"/>
      <c r="I27" s="138"/>
      <c r="J27" s="138"/>
      <c r="K27" s="138"/>
      <c r="L27" s="733" t="s">
        <v>81</v>
      </c>
      <c r="M27" s="734" t="s">
        <v>242</v>
      </c>
      <c r="N27" s="735">
        <v>83.15</v>
      </c>
      <c r="O27" s="734">
        <v>19.139012805</v>
      </c>
      <c r="P27" s="734">
        <v>0.31968685783724188</v>
      </c>
      <c r="Q27" s="734"/>
      <c r="T27" s="728" t="s">
        <v>82</v>
      </c>
      <c r="U27" s="736">
        <v>0.60594991108425422</v>
      </c>
      <c r="V27" s="736">
        <v>0.55000000000000004</v>
      </c>
    </row>
    <row r="28" spans="1:22">
      <c r="A28" s="136"/>
      <c r="B28" s="138"/>
      <c r="C28" s="138"/>
      <c r="D28" s="138"/>
      <c r="E28" s="138"/>
      <c r="F28" s="138"/>
      <c r="G28" s="138"/>
      <c r="H28" s="138"/>
      <c r="I28" s="138"/>
      <c r="J28" s="138"/>
      <c r="K28" s="138"/>
      <c r="L28" s="733" t="s">
        <v>82</v>
      </c>
      <c r="M28" s="734" t="s">
        <v>242</v>
      </c>
      <c r="N28" s="735">
        <v>30.86</v>
      </c>
      <c r="O28" s="734">
        <v>12.829955142500001</v>
      </c>
      <c r="P28" s="734">
        <v>0.55685569194878481</v>
      </c>
      <c r="Q28" s="734"/>
      <c r="T28" s="728" t="s">
        <v>83</v>
      </c>
      <c r="U28" s="736">
        <v>0.47212631368763947</v>
      </c>
      <c r="V28" s="736">
        <v>0.55000000000000004</v>
      </c>
    </row>
    <row r="29" spans="1:22">
      <c r="A29" s="136"/>
      <c r="B29" s="138"/>
      <c r="C29" s="138"/>
      <c r="D29" s="138"/>
      <c r="E29" s="138"/>
      <c r="F29" s="138"/>
      <c r="G29" s="138"/>
      <c r="H29" s="138"/>
      <c r="I29" s="138"/>
      <c r="J29" s="138"/>
      <c r="K29" s="138"/>
      <c r="L29" s="733" t="s">
        <v>83</v>
      </c>
      <c r="M29" s="734" t="s">
        <v>242</v>
      </c>
      <c r="N29" s="735">
        <v>32</v>
      </c>
      <c r="O29" s="734">
        <v>11.37275867</v>
      </c>
      <c r="P29" s="734">
        <v>0.51184375090012235</v>
      </c>
      <c r="Q29" s="734"/>
      <c r="T29" s="728" t="s">
        <v>81</v>
      </c>
      <c r="U29" s="736">
        <v>0.44090602833138981</v>
      </c>
      <c r="V29" s="736">
        <v>0.312</v>
      </c>
    </row>
    <row r="30" spans="1:22">
      <c r="A30" s="136"/>
      <c r="B30" s="138"/>
      <c r="C30" s="138"/>
      <c r="D30" s="138"/>
      <c r="E30" s="138"/>
      <c r="F30" s="138"/>
      <c r="G30" s="138"/>
      <c r="H30" s="138"/>
      <c r="I30" s="138"/>
      <c r="J30" s="138"/>
      <c r="K30" s="138"/>
      <c r="L30" s="733" t="s">
        <v>86</v>
      </c>
      <c r="M30" s="734" t="s">
        <v>84</v>
      </c>
      <c r="N30" s="735">
        <v>144.47999999999999</v>
      </c>
      <c r="O30" s="734">
        <v>27.491193770000002</v>
      </c>
      <c r="P30" s="734">
        <v>0.26427334973314265</v>
      </c>
      <c r="Q30" s="734"/>
      <c r="S30" s="728" t="s">
        <v>84</v>
      </c>
      <c r="T30" s="728" t="s">
        <v>85</v>
      </c>
      <c r="U30" s="736">
        <v>0.36370993770142723</v>
      </c>
      <c r="V30" s="736">
        <v>0.29899999999999999</v>
      </c>
    </row>
    <row r="31" spans="1:22">
      <c r="A31" s="136"/>
      <c r="B31" s="138"/>
      <c r="C31" s="138"/>
      <c r="D31" s="138"/>
      <c r="E31" s="138"/>
      <c r="F31" s="138"/>
      <c r="G31" s="138"/>
      <c r="H31" s="138"/>
      <c r="I31" s="138"/>
      <c r="J31" s="138"/>
      <c r="K31" s="138"/>
      <c r="L31" s="733" t="s">
        <v>534</v>
      </c>
      <c r="M31" s="734" t="s">
        <v>84</v>
      </c>
      <c r="N31" s="735">
        <v>44.54</v>
      </c>
      <c r="O31" s="734">
        <v>6.4170684225000008</v>
      </c>
      <c r="P31" s="734">
        <v>0.20010316639537493</v>
      </c>
      <c r="Q31" s="734"/>
      <c r="T31" s="728" t="s">
        <v>264</v>
      </c>
      <c r="U31" s="736">
        <v>0.31668357176565382</v>
      </c>
      <c r="V31" s="736">
        <v>0.25800000000000001</v>
      </c>
    </row>
    <row r="32" spans="1:22">
      <c r="A32" s="136"/>
      <c r="B32" s="138"/>
      <c r="C32" s="138"/>
      <c r="D32" s="138"/>
      <c r="E32" s="138"/>
      <c r="F32" s="138"/>
      <c r="G32" s="138"/>
      <c r="H32" s="138"/>
      <c r="I32" s="138"/>
      <c r="J32" s="138"/>
      <c r="K32" s="138"/>
      <c r="L32" s="733" t="s">
        <v>264</v>
      </c>
      <c r="M32" s="734" t="s">
        <v>84</v>
      </c>
      <c r="N32" s="735">
        <v>20</v>
      </c>
      <c r="O32" s="734">
        <v>3.4265142500000003</v>
      </c>
      <c r="P32" s="734">
        <v>0.23795237847222223</v>
      </c>
      <c r="Q32" s="734"/>
      <c r="T32" s="728" t="s">
        <v>263</v>
      </c>
      <c r="U32" s="736">
        <v>0.30338029604051564</v>
      </c>
      <c r="V32" s="736">
        <v>0.247</v>
      </c>
    </row>
    <row r="33" spans="1:22">
      <c r="A33" s="136"/>
      <c r="B33" s="138"/>
      <c r="C33" s="138"/>
      <c r="D33" s="138"/>
      <c r="E33" s="138"/>
      <c r="F33" s="138"/>
      <c r="G33" s="138"/>
      <c r="H33" s="138"/>
      <c r="I33" s="138"/>
      <c r="J33" s="138"/>
      <c r="K33" s="138"/>
      <c r="L33" s="733" t="s">
        <v>265</v>
      </c>
      <c r="M33" s="734" t="s">
        <v>84</v>
      </c>
      <c r="N33" s="735">
        <v>20</v>
      </c>
      <c r="O33" s="734">
        <v>3.2094846449999999</v>
      </c>
      <c r="P33" s="734">
        <v>0.22288087812499999</v>
      </c>
      <c r="Q33" s="734"/>
      <c r="T33" s="728" t="s">
        <v>534</v>
      </c>
      <c r="U33" s="736">
        <v>0.2951186994581893</v>
      </c>
      <c r="V33" s="736"/>
    </row>
    <row r="34" spans="1:22">
      <c r="B34" s="138"/>
      <c r="C34" s="138"/>
      <c r="D34" s="138"/>
      <c r="E34" s="138"/>
      <c r="F34" s="138"/>
      <c r="G34" s="138"/>
      <c r="H34" s="138"/>
      <c r="I34" s="138"/>
      <c r="J34" s="138"/>
      <c r="K34" s="138"/>
      <c r="L34" s="733" t="s">
        <v>85</v>
      </c>
      <c r="M34" s="734" t="s">
        <v>84</v>
      </c>
      <c r="N34" s="735">
        <v>20</v>
      </c>
      <c r="O34" s="734">
        <v>3.2058893474999999</v>
      </c>
      <c r="P34" s="734">
        <v>0.27828900585937499</v>
      </c>
      <c r="Q34" s="734"/>
      <c r="T34" s="728" t="s">
        <v>86</v>
      </c>
      <c r="U34" s="736">
        <v>0.29481349981398813</v>
      </c>
      <c r="V34" s="736"/>
    </row>
    <row r="35" spans="1:22">
      <c r="A35" s="136"/>
      <c r="B35" s="138"/>
      <c r="C35" s="138"/>
      <c r="D35" s="138"/>
      <c r="E35" s="138"/>
      <c r="F35" s="138"/>
      <c r="G35" s="138"/>
      <c r="H35" s="138"/>
      <c r="I35" s="138"/>
      <c r="J35" s="138"/>
      <c r="K35" s="138"/>
      <c r="L35" s="733" t="s">
        <v>87</v>
      </c>
      <c r="M35" s="734" t="s">
        <v>84</v>
      </c>
      <c r="N35" s="735">
        <v>16</v>
      </c>
      <c r="O35" s="734">
        <v>3.12937362</v>
      </c>
      <c r="P35" s="734">
        <v>0.21731761249999998</v>
      </c>
      <c r="Q35" s="734"/>
      <c r="T35" s="728" t="s">
        <v>265</v>
      </c>
      <c r="U35" s="736">
        <v>0.2790377921270718</v>
      </c>
      <c r="V35" s="736">
        <v>0.23799999999999999</v>
      </c>
    </row>
    <row r="36" spans="1:22">
      <c r="A36" s="136"/>
      <c r="B36" s="138"/>
      <c r="C36" s="138"/>
      <c r="D36" s="138"/>
      <c r="E36" s="138"/>
      <c r="F36" s="138"/>
      <c r="G36" s="138"/>
      <c r="H36" s="138"/>
      <c r="I36" s="138"/>
      <c r="J36" s="138"/>
      <c r="K36" s="138"/>
      <c r="L36" s="733" t="s">
        <v>263</v>
      </c>
      <c r="M36" s="734" t="s">
        <v>84</v>
      </c>
      <c r="N36" s="735">
        <v>20</v>
      </c>
      <c r="O36" s="734">
        <v>2.4849694874999999</v>
      </c>
      <c r="P36" s="734">
        <v>0.17256732552083334</v>
      </c>
      <c r="Q36" s="734"/>
      <c r="T36" s="728" t="s">
        <v>87</v>
      </c>
      <c r="U36" s="736">
        <v>0.24963172859116017</v>
      </c>
      <c r="V36" s="736">
        <v>0.218</v>
      </c>
    </row>
    <row r="37" spans="1:22">
      <c r="A37" s="136"/>
      <c r="B37" s="138"/>
      <c r="C37" s="138"/>
      <c r="D37" s="138"/>
      <c r="E37" s="138"/>
      <c r="F37" s="138"/>
      <c r="G37" s="138"/>
      <c r="H37" s="138"/>
      <c r="I37" s="138"/>
      <c r="J37" s="138"/>
      <c r="K37" s="138"/>
      <c r="L37" s="733" t="s">
        <v>88</v>
      </c>
      <c r="M37" s="734" t="s">
        <v>517</v>
      </c>
      <c r="N37" s="735">
        <v>12.74105</v>
      </c>
      <c r="O37" s="734">
        <v>8.1191125700000004</v>
      </c>
      <c r="P37" s="734">
        <v>0.88505619522026158</v>
      </c>
      <c r="Q37" s="734"/>
      <c r="S37" s="728" t="s">
        <v>266</v>
      </c>
      <c r="T37" s="728" t="s">
        <v>89</v>
      </c>
      <c r="U37" s="736">
        <v>1</v>
      </c>
      <c r="V37" s="736">
        <v>0.78300000000000003</v>
      </c>
    </row>
    <row r="38" spans="1:22" ht="11.25" customHeight="1">
      <c r="A38" s="136"/>
      <c r="B38" s="138"/>
      <c r="C38" s="138"/>
      <c r="D38" s="138"/>
      <c r="E38" s="138"/>
      <c r="F38" s="138"/>
      <c r="G38" s="138"/>
      <c r="H38" s="138"/>
      <c r="I38" s="138"/>
      <c r="J38" s="138"/>
      <c r="K38" s="138"/>
      <c r="L38" s="738" t="s">
        <v>89</v>
      </c>
      <c r="M38" s="738" t="s">
        <v>517</v>
      </c>
      <c r="N38" s="735">
        <v>4.2625000000000002</v>
      </c>
      <c r="O38" s="734">
        <v>2.8183070749999999</v>
      </c>
      <c r="P38" s="734">
        <v>0.91831445910720078</v>
      </c>
      <c r="Q38" s="738"/>
      <c r="T38" s="728" t="s">
        <v>88</v>
      </c>
      <c r="U38" s="736">
        <v>0.91247355666440699</v>
      </c>
      <c r="V38" s="736">
        <v>0.75800000000000001</v>
      </c>
    </row>
    <row r="39" spans="1:22">
      <c r="A39" s="136"/>
      <c r="B39" s="138"/>
      <c r="C39" s="138"/>
      <c r="D39" s="138"/>
      <c r="E39" s="138"/>
      <c r="F39" s="138"/>
      <c r="G39" s="138"/>
      <c r="H39" s="138"/>
      <c r="I39" s="138"/>
      <c r="J39" s="138"/>
      <c r="K39" s="138"/>
      <c r="L39" s="728" t="s">
        <v>90</v>
      </c>
      <c r="M39" s="728" t="s">
        <v>517</v>
      </c>
      <c r="N39" s="735">
        <v>2.9537</v>
      </c>
      <c r="O39" s="734">
        <v>0</v>
      </c>
      <c r="P39" s="734">
        <v>0</v>
      </c>
      <c r="T39" s="728" t="s">
        <v>90</v>
      </c>
      <c r="U39" s="736">
        <v>0.45569663994330922</v>
      </c>
      <c r="V39" s="736">
        <v>0.35799999999999998</v>
      </c>
    </row>
    <row r="40" spans="1:22">
      <c r="A40" s="136"/>
      <c r="B40" s="138"/>
      <c r="C40" s="138"/>
      <c r="D40" s="138"/>
      <c r="E40" s="138"/>
      <c r="F40" s="138"/>
      <c r="G40" s="138"/>
      <c r="H40" s="138"/>
      <c r="I40" s="138"/>
      <c r="J40" s="138"/>
      <c r="K40" s="138"/>
      <c r="N40" s="735"/>
      <c r="O40" s="734"/>
      <c r="P40" s="734"/>
    </row>
    <row r="41" spans="1:22">
      <c r="A41" s="136"/>
      <c r="B41" s="138"/>
      <c r="C41" s="138"/>
      <c r="D41" s="138"/>
      <c r="E41" s="138"/>
      <c r="F41" s="138"/>
      <c r="G41" s="138"/>
      <c r="H41" s="138"/>
      <c r="I41" s="138"/>
      <c r="J41" s="138"/>
      <c r="K41" s="138"/>
    </row>
    <row r="42" spans="1:22">
      <c r="A42" s="136"/>
      <c r="B42" s="138"/>
      <c r="C42" s="138"/>
      <c r="D42" s="138"/>
      <c r="E42" s="138"/>
      <c r="F42" s="138"/>
      <c r="G42" s="138"/>
      <c r="H42" s="138"/>
      <c r="I42" s="138"/>
      <c r="J42" s="138"/>
      <c r="K42" s="138"/>
    </row>
    <row r="43" spans="1:22" ht="26.25" customHeight="1">
      <c r="A43" s="802" t="str">
        <f>"Gráfico N° 8: Producción de energía eléctrica (GWh) y factor de planta de las centrales con recursos energético renovables por tipo de generación en "&amp;'1. Resumen'!Q4&amp;" "&amp;'1. Resumen'!Q5</f>
        <v>Gráfico N° 8: Producción de energía eléctrica (GWh) y factor de planta de las centrales con recursos energético renovables por tipo de generación en julio 2018</v>
      </c>
      <c r="B43" s="802"/>
      <c r="C43" s="802"/>
      <c r="D43" s="802"/>
      <c r="E43" s="802"/>
      <c r="F43" s="802"/>
      <c r="G43" s="802"/>
      <c r="H43" s="802"/>
      <c r="I43" s="802"/>
      <c r="J43" s="802"/>
      <c r="K43" s="802"/>
    </row>
    <row r="44" spans="1:22">
      <c r="A44" s="136"/>
      <c r="B44" s="138"/>
      <c r="C44" s="138"/>
      <c r="D44" s="138"/>
      <c r="E44" s="138"/>
      <c r="F44" s="138"/>
      <c r="G44" s="138"/>
      <c r="H44" s="138"/>
      <c r="I44" s="138"/>
      <c r="J44" s="138"/>
      <c r="K44" s="138"/>
    </row>
    <row r="45" spans="1:22" ht="12">
      <c r="A45" s="136"/>
      <c r="B45" s="138"/>
      <c r="C45" s="806" t="str">
        <f>"Factor de planta de las centrales RER  Acumulado al "&amp;'1. Resumen'!Q7&amp;" de "&amp;'1. Resumen'!Q4</f>
        <v>Factor de planta de las centrales RER  Acumulado al 31 de julio</v>
      </c>
      <c r="D45" s="806"/>
      <c r="E45" s="806"/>
      <c r="F45" s="806"/>
      <c r="G45" s="806"/>
      <c r="H45" s="806"/>
      <c r="I45" s="806"/>
      <c r="J45" s="138"/>
      <c r="K45" s="138"/>
    </row>
    <row r="46" spans="1:22">
      <c r="A46" s="136"/>
      <c r="B46" s="138"/>
      <c r="C46" s="138"/>
      <c r="D46" s="138"/>
      <c r="E46" s="138"/>
      <c r="F46" s="138"/>
      <c r="G46" s="138"/>
      <c r="H46" s="138"/>
      <c r="I46" s="138"/>
      <c r="J46" s="138"/>
      <c r="K46" s="138"/>
    </row>
    <row r="47" spans="1:22">
      <c r="A47" s="136"/>
      <c r="B47" s="138"/>
      <c r="C47" s="138"/>
      <c r="D47" s="138"/>
      <c r="E47" s="138"/>
      <c r="F47" s="138"/>
      <c r="G47" s="138"/>
      <c r="H47" s="138"/>
      <c r="I47" s="138"/>
      <c r="J47" s="138"/>
      <c r="K47" s="138"/>
    </row>
    <row r="48" spans="1:22">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B53" s="138"/>
      <c r="C53" s="138"/>
      <c r="D53" s="138"/>
      <c r="E53" s="138"/>
      <c r="F53" s="138"/>
      <c r="G53" s="138"/>
      <c r="H53" s="138"/>
      <c r="I53" s="138"/>
      <c r="J53" s="138"/>
      <c r="K53" s="138"/>
    </row>
    <row r="64" spans="1:11">
      <c r="A64" s="289" t="str">
        <f>"Gráfico N° 9: factor de planta de las centrales con recursos energético renovables en el SEIN en "&amp;'1. Resumen'!Q4</f>
        <v>Gráfico N° 9: factor de planta de las centrales con recursos energético renovables en el SEIN en julio</v>
      </c>
    </row>
  </sheetData>
  <mergeCells count="3">
    <mergeCell ref="A43:K43"/>
    <mergeCell ref="A2:K2"/>
    <mergeCell ref="C45:I45"/>
  </mergeCells>
  <pageMargins left="0.7" right="0.59782608695652173" top="0.86956521739130432" bottom="0.61458333333333337" header="0.3" footer="0.3"/>
  <pageSetup scale="99" orientation="portrait" r:id="rId1"/>
  <headerFooter>
    <oddHeader>&amp;R&amp;7Informe de la Operación Mensual - Julio 2018
INFSGI-MES-07-2018
14/08/2018
Versión: 01</oddHeader>
    <oddFooter>&amp;L&amp;7COES SINAC, 2018
&amp;C6&amp;R&amp;7Dirección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BCF9-2029-4238-BBFC-D23F9CC4BAF5}">
  <sheetPr>
    <tabColor theme="4"/>
  </sheetPr>
  <dimension ref="A1:N72"/>
  <sheetViews>
    <sheetView showGridLines="0" view="pageBreakPreview" zoomScale="145" zoomScaleNormal="100" zoomScaleSheetLayoutView="145" zoomScalePageLayoutView="145" workbookViewId="0">
      <selection activeCell="Q29" sqref="Q29"/>
    </sheetView>
  </sheetViews>
  <sheetFormatPr baseColWidth="10" defaultColWidth="9.28515625" defaultRowHeight="10.199999999999999"/>
  <cols>
    <col min="1" max="1" width="30.140625" customWidth="1"/>
    <col min="2" max="3" width="9.42578125" bestFit="1" customWidth="1"/>
    <col min="4" max="4" width="10.140625" bestFit="1" customWidth="1"/>
    <col min="10" max="10" width="9.28515625" customWidth="1"/>
    <col min="11" max="11" width="22.85546875" customWidth="1"/>
    <col min="12" max="12" width="19.140625" customWidth="1"/>
    <col min="13" max="14" width="9.42578125" bestFit="1" customWidth="1"/>
  </cols>
  <sheetData>
    <row r="1" spans="1:14" ht="11.25" customHeight="1"/>
    <row r="2" spans="1:14" ht="11.25" customHeight="1">
      <c r="A2" s="803" t="s">
        <v>268</v>
      </c>
      <c r="B2" s="803"/>
      <c r="C2" s="803"/>
      <c r="D2" s="803"/>
      <c r="E2" s="803"/>
      <c r="F2" s="803"/>
      <c r="G2" s="803"/>
      <c r="H2" s="803"/>
      <c r="I2" s="803"/>
      <c r="J2" s="17"/>
    </row>
    <row r="3" spans="1:14" ht="6" customHeight="1">
      <c r="A3" s="17"/>
      <c r="B3" s="17"/>
      <c r="C3" s="17"/>
      <c r="D3" s="17"/>
      <c r="E3" s="17"/>
      <c r="F3" s="17"/>
      <c r="G3" s="17"/>
      <c r="H3" s="17"/>
      <c r="I3" s="17"/>
      <c r="J3" s="17"/>
      <c r="K3" s="522"/>
      <c r="L3" s="522"/>
    </row>
    <row r="4" spans="1:14" ht="11.25" customHeight="1">
      <c r="A4" s="809" t="s">
        <v>280</v>
      </c>
      <c r="B4" s="810" t="str">
        <f>+'1. Resumen'!Q4</f>
        <v>julio</v>
      </c>
      <c r="C4" s="811"/>
      <c r="D4" s="811"/>
      <c r="E4" s="138"/>
      <c r="F4" s="138"/>
      <c r="G4" s="812" t="s">
        <v>281</v>
      </c>
      <c r="H4" s="812"/>
      <c r="I4" s="812"/>
      <c r="J4" s="138"/>
      <c r="L4" s="523"/>
      <c r="M4" s="524">
        <v>2018</v>
      </c>
      <c r="N4" s="524">
        <v>2017</v>
      </c>
    </row>
    <row r="5" spans="1:14" ht="11.25" customHeight="1">
      <c r="A5" s="809"/>
      <c r="B5" s="155">
        <f>+'1. Resumen'!Q5</f>
        <v>2018</v>
      </c>
      <c r="C5" s="156">
        <f>+B5-1</f>
        <v>2017</v>
      </c>
      <c r="D5" s="156" t="s">
        <v>35</v>
      </c>
      <c r="E5" s="138"/>
      <c r="F5" s="138"/>
      <c r="G5" s="138"/>
      <c r="H5" s="138"/>
      <c r="I5" s="138"/>
      <c r="J5" s="138"/>
      <c r="K5" s="525"/>
      <c r="L5" s="529" t="s">
        <v>128</v>
      </c>
      <c r="M5" s="527"/>
      <c r="N5" s="527">
        <v>0</v>
      </c>
    </row>
    <row r="6" spans="1:14" ht="10.5" customHeight="1">
      <c r="A6" s="610" t="s">
        <v>568</v>
      </c>
      <c r="B6" s="702">
        <v>648.89763769749993</v>
      </c>
      <c r="C6" s="703">
        <v>331.71879824249999</v>
      </c>
      <c r="D6" s="611">
        <f>IF(C6=0,"",B6/C6-1)</f>
        <v>0.95616781784892768</v>
      </c>
      <c r="E6" s="138"/>
      <c r="F6" s="138"/>
      <c r="G6" s="138"/>
      <c r="H6" s="138"/>
      <c r="I6" s="138"/>
      <c r="J6" s="138"/>
      <c r="K6" s="528"/>
      <c r="L6" s="529" t="s">
        <v>596</v>
      </c>
      <c r="M6" s="527"/>
      <c r="N6" s="527">
        <v>1.04423165</v>
      </c>
    </row>
    <row r="7" spans="1:14" ht="10.5" customHeight="1">
      <c r="A7" s="612" t="s">
        <v>92</v>
      </c>
      <c r="B7" s="704">
        <v>638.24097468499997</v>
      </c>
      <c r="C7" s="704">
        <v>717.69489181749998</v>
      </c>
      <c r="D7" s="613">
        <f t="shared" ref="D7:D59" si="0">IF(C7=0,"",B7/C7-1)</f>
        <v>-0.11070709578451909</v>
      </c>
      <c r="E7" s="673"/>
      <c r="F7" s="138"/>
      <c r="G7" s="138"/>
      <c r="H7" s="138"/>
      <c r="I7" s="138"/>
      <c r="J7" s="138"/>
      <c r="L7" s="527" t="s">
        <v>569</v>
      </c>
      <c r="M7" s="527"/>
      <c r="N7" s="527">
        <v>190.29710525000002</v>
      </c>
    </row>
    <row r="8" spans="1:14" ht="10.5" customHeight="1">
      <c r="A8" s="610" t="s">
        <v>94</v>
      </c>
      <c r="B8" s="703">
        <v>616.8177441675</v>
      </c>
      <c r="C8" s="703">
        <v>614.5862788799999</v>
      </c>
      <c r="D8" s="611">
        <f t="shared" si="0"/>
        <v>3.6308413711523269E-3</v>
      </c>
      <c r="E8" s="138"/>
      <c r="F8" s="138"/>
      <c r="G8" s="138"/>
      <c r="H8" s="138"/>
      <c r="I8" s="138"/>
      <c r="J8" s="138"/>
      <c r="L8" s="529" t="s">
        <v>127</v>
      </c>
      <c r="M8" s="527">
        <v>0</v>
      </c>
      <c r="N8" s="527">
        <v>0.16736089749999999</v>
      </c>
    </row>
    <row r="9" spans="1:14" ht="10.5" customHeight="1">
      <c r="A9" s="612" t="s">
        <v>93</v>
      </c>
      <c r="B9" s="704">
        <v>542.10331888999997</v>
      </c>
      <c r="C9" s="704">
        <v>485.65623392500004</v>
      </c>
      <c r="D9" s="613">
        <f t="shared" si="0"/>
        <v>0.11622847813319126</v>
      </c>
      <c r="E9" s="138"/>
      <c r="F9" s="138"/>
      <c r="G9" s="138"/>
      <c r="H9" s="138"/>
      <c r="I9" s="138"/>
      <c r="J9" s="138"/>
      <c r="L9" s="529" t="s">
        <v>269</v>
      </c>
      <c r="M9" s="527">
        <v>0</v>
      </c>
      <c r="N9" s="527">
        <v>0</v>
      </c>
    </row>
    <row r="10" spans="1:14" ht="10.5" customHeight="1">
      <c r="A10" s="610" t="s">
        <v>273</v>
      </c>
      <c r="B10" s="703">
        <v>333.9755148525</v>
      </c>
      <c r="C10" s="703">
        <v>409.11533894249999</v>
      </c>
      <c r="D10" s="611">
        <f t="shared" si="0"/>
        <v>-0.18366415760461297</v>
      </c>
      <c r="E10" s="138"/>
      <c r="F10" s="138"/>
      <c r="G10" s="138"/>
      <c r="H10" s="138"/>
      <c r="I10" s="138"/>
      <c r="J10" s="138"/>
      <c r="K10" s="525"/>
      <c r="L10" s="527" t="s">
        <v>277</v>
      </c>
      <c r="M10" s="527">
        <v>1.8681192500000002E-2</v>
      </c>
      <c r="N10" s="527">
        <v>0</v>
      </c>
    </row>
    <row r="11" spans="1:14" ht="10.5" customHeight="1">
      <c r="A11" s="612" t="s">
        <v>105</v>
      </c>
      <c r="B11" s="704">
        <v>193.17047228000001</v>
      </c>
      <c r="C11" s="704">
        <v>86.161612859999991</v>
      </c>
      <c r="D11" s="613">
        <f t="shared" si="0"/>
        <v>1.24195515691975</v>
      </c>
      <c r="E11" s="138"/>
      <c r="F11" s="138"/>
      <c r="G11" s="138"/>
      <c r="H11" s="138"/>
      <c r="I11" s="138"/>
      <c r="J11" s="138"/>
      <c r="K11" s="528"/>
      <c r="L11" s="527" t="s">
        <v>123</v>
      </c>
      <c r="M11" s="527">
        <v>3.8967750000000002E-2</v>
      </c>
      <c r="N11" s="527">
        <v>0.27009199</v>
      </c>
    </row>
    <row r="12" spans="1:14" ht="10.5" customHeight="1">
      <c r="A12" s="610" t="s">
        <v>95</v>
      </c>
      <c r="B12" s="703">
        <v>159.53310032000002</v>
      </c>
      <c r="C12" s="703">
        <v>165.2450485</v>
      </c>
      <c r="D12" s="611">
        <f t="shared" si="0"/>
        <v>-3.4566531535133893E-2</v>
      </c>
      <c r="E12" s="138"/>
      <c r="F12" s="138"/>
      <c r="G12" s="138"/>
      <c r="H12" s="138"/>
      <c r="I12" s="138"/>
      <c r="J12" s="138"/>
      <c r="K12" s="528"/>
      <c r="L12" s="527" t="s">
        <v>124</v>
      </c>
      <c r="M12" s="527">
        <v>0.10120691750000001</v>
      </c>
      <c r="N12" s="527">
        <v>0.2800203275</v>
      </c>
    </row>
    <row r="13" spans="1:14" ht="10.5" customHeight="1">
      <c r="A13" s="612" t="s">
        <v>97</v>
      </c>
      <c r="B13" s="704">
        <v>95.862467440000003</v>
      </c>
      <c r="C13" s="704">
        <v>68.280967457499997</v>
      </c>
      <c r="D13" s="614">
        <f t="shared" si="0"/>
        <v>0.40394125932189695</v>
      </c>
      <c r="E13" s="138"/>
      <c r="F13" s="138"/>
      <c r="G13" s="138"/>
      <c r="H13" s="138"/>
      <c r="I13" s="138"/>
      <c r="J13" s="138"/>
      <c r="K13" s="528"/>
      <c r="L13" s="529" t="s">
        <v>278</v>
      </c>
      <c r="M13" s="527">
        <v>0.83955658499999997</v>
      </c>
      <c r="N13" s="527">
        <v>135.25705632</v>
      </c>
    </row>
    <row r="14" spans="1:14" ht="10.5" customHeight="1">
      <c r="A14" s="610" t="s">
        <v>275</v>
      </c>
      <c r="B14" s="703">
        <v>88.898847340000003</v>
      </c>
      <c r="C14" s="703">
        <v>108.57952526</v>
      </c>
      <c r="D14" s="611">
        <f t="shared" si="0"/>
        <v>-0.18125588478005838</v>
      </c>
      <c r="E14" s="138"/>
      <c r="F14" s="138"/>
      <c r="G14" s="138"/>
      <c r="H14" s="138"/>
      <c r="I14" s="138"/>
      <c r="J14" s="138"/>
      <c r="K14" s="528"/>
      <c r="L14" s="529" t="s">
        <v>122</v>
      </c>
      <c r="M14" s="527">
        <v>1.3763512499999999</v>
      </c>
      <c r="N14" s="527">
        <v>2.344096</v>
      </c>
    </row>
    <row r="15" spans="1:14" ht="10.5" customHeight="1">
      <c r="A15" s="612" t="s">
        <v>270</v>
      </c>
      <c r="B15" s="704">
        <v>81.005481285000002</v>
      </c>
      <c r="C15" s="704">
        <v>79.8630159625</v>
      </c>
      <c r="D15" s="613">
        <f t="shared" si="0"/>
        <v>1.4305311522876174E-2</v>
      </c>
      <c r="E15" s="138"/>
      <c r="F15" s="138"/>
      <c r="G15" s="138"/>
      <c r="H15" s="138"/>
      <c r="I15" s="138"/>
      <c r="J15" s="138"/>
      <c r="K15" s="528"/>
      <c r="L15" s="527" t="s">
        <v>120</v>
      </c>
      <c r="M15" s="527">
        <v>1.7380232949999999</v>
      </c>
      <c r="N15" s="527">
        <v>2.6618006849999998</v>
      </c>
    </row>
    <row r="16" spans="1:14" ht="10.5" customHeight="1">
      <c r="A16" s="610" t="s">
        <v>96</v>
      </c>
      <c r="B16" s="703">
        <v>75.723573012499983</v>
      </c>
      <c r="C16" s="703">
        <v>133.17803409249998</v>
      </c>
      <c r="D16" s="611">
        <f t="shared" si="0"/>
        <v>-0.43141094153781012</v>
      </c>
      <c r="E16" s="138"/>
      <c r="F16" s="138"/>
      <c r="G16" s="138"/>
      <c r="H16" s="138"/>
      <c r="I16" s="138"/>
      <c r="J16" s="138" t="s">
        <v>8</v>
      </c>
      <c r="K16" s="528"/>
      <c r="L16" s="527" t="s">
        <v>119</v>
      </c>
      <c r="M16" s="527">
        <v>1.8083924999999998</v>
      </c>
      <c r="N16" s="527">
        <v>2.0274174999999999</v>
      </c>
    </row>
    <row r="17" spans="1:14" ht="10.5" customHeight="1">
      <c r="A17" s="612" t="s">
        <v>103</v>
      </c>
      <c r="B17" s="704">
        <v>75.6085275975</v>
      </c>
      <c r="C17" s="704"/>
      <c r="D17" s="613" t="str">
        <f t="shared" si="0"/>
        <v/>
      </c>
      <c r="E17" s="138"/>
      <c r="F17" s="138"/>
      <c r="G17" s="138"/>
      <c r="H17" s="138"/>
      <c r="I17" s="138"/>
      <c r="J17" s="138"/>
      <c r="K17" s="528"/>
      <c r="L17" s="527" t="s">
        <v>121</v>
      </c>
      <c r="M17" s="527">
        <v>2.3769</v>
      </c>
      <c r="N17" s="527">
        <v>2.157</v>
      </c>
    </row>
    <row r="18" spans="1:14" ht="10.5" customHeight="1">
      <c r="A18" s="610" t="s">
        <v>98</v>
      </c>
      <c r="B18" s="703">
        <v>73.811786207500006</v>
      </c>
      <c r="C18" s="703">
        <v>60.703166492500003</v>
      </c>
      <c r="D18" s="611">
        <f t="shared" si="0"/>
        <v>0.21594622607734304</v>
      </c>
      <c r="E18" s="138"/>
      <c r="F18" s="138"/>
      <c r="G18" s="138"/>
      <c r="H18" s="138"/>
      <c r="I18" s="138"/>
      <c r="J18" s="138"/>
      <c r="K18" s="531"/>
      <c r="L18" s="527" t="s">
        <v>114</v>
      </c>
      <c r="M18" s="527">
        <v>2.4849694874999999</v>
      </c>
      <c r="N18" s="527">
        <v>2.7599870750000002</v>
      </c>
    </row>
    <row r="19" spans="1:14" ht="10.5" customHeight="1">
      <c r="A19" s="612" t="s">
        <v>101</v>
      </c>
      <c r="B19" s="704">
        <v>70.669869725000012</v>
      </c>
      <c r="C19" s="704">
        <v>50.831339122499998</v>
      </c>
      <c r="D19" s="613">
        <f t="shared" si="0"/>
        <v>0.39028148667676321</v>
      </c>
      <c r="E19" s="138"/>
      <c r="F19" s="138"/>
      <c r="G19" s="138"/>
      <c r="H19" s="138"/>
      <c r="I19" s="138"/>
      <c r="J19" s="138"/>
      <c r="K19" s="528"/>
      <c r="L19" s="529" t="s">
        <v>125</v>
      </c>
      <c r="M19" s="527">
        <v>2.56264264</v>
      </c>
      <c r="N19" s="527">
        <v>0.46336888000000004</v>
      </c>
    </row>
    <row r="20" spans="1:14" ht="10.5" customHeight="1">
      <c r="A20" s="610" t="s">
        <v>99</v>
      </c>
      <c r="B20" s="703">
        <v>63.459608375000002</v>
      </c>
      <c r="C20" s="703">
        <v>62.15051686999999</v>
      </c>
      <c r="D20" s="611">
        <f t="shared" si="0"/>
        <v>2.1063244055367081E-2</v>
      </c>
      <c r="E20" s="138"/>
      <c r="F20" s="138"/>
      <c r="G20" s="138"/>
      <c r="H20" s="138"/>
      <c r="I20" s="138"/>
      <c r="J20" s="138"/>
      <c r="K20" s="528"/>
      <c r="L20" s="527" t="s">
        <v>597</v>
      </c>
      <c r="M20" s="527">
        <v>2.9110080250000001</v>
      </c>
      <c r="N20" s="527">
        <v>1.8991578250000001</v>
      </c>
    </row>
    <row r="21" spans="1:14" ht="10.5" customHeight="1">
      <c r="A21" s="612" t="s">
        <v>110</v>
      </c>
      <c r="B21" s="704">
        <v>61.959598970000002</v>
      </c>
      <c r="C21" s="704">
        <v>1.83218167</v>
      </c>
      <c r="D21" s="613">
        <f t="shared" si="0"/>
        <v>32.817388299709386</v>
      </c>
      <c r="E21" s="138"/>
      <c r="F21" s="138"/>
      <c r="G21" s="138"/>
      <c r="H21" s="138"/>
      <c r="I21" s="138"/>
      <c r="J21" s="138"/>
      <c r="K21" s="528"/>
      <c r="L21" s="529" t="s">
        <v>126</v>
      </c>
      <c r="M21" s="527">
        <v>3.0547518500000002</v>
      </c>
      <c r="N21" s="527">
        <v>3.3964207124999999</v>
      </c>
    </row>
    <row r="22" spans="1:14" ht="10.5" customHeight="1">
      <c r="A22" s="610" t="s">
        <v>595</v>
      </c>
      <c r="B22" s="703">
        <v>50.1794445325</v>
      </c>
      <c r="C22" s="703">
        <v>36.078313937499999</v>
      </c>
      <c r="D22" s="611">
        <f t="shared" si="0"/>
        <v>0.39084782674234697</v>
      </c>
      <c r="E22" s="138"/>
      <c r="F22" s="138"/>
      <c r="G22" s="138"/>
      <c r="H22" s="138"/>
      <c r="I22" s="138"/>
      <c r="J22" s="138"/>
      <c r="K22" s="531"/>
      <c r="L22" s="527" t="s">
        <v>117</v>
      </c>
      <c r="M22" s="527">
        <v>3.12937362</v>
      </c>
      <c r="N22" s="527">
        <v>3.2862428575</v>
      </c>
    </row>
    <row r="23" spans="1:14" ht="10.5" customHeight="1">
      <c r="A23" s="612" t="s">
        <v>100</v>
      </c>
      <c r="B23" s="704">
        <v>44.984563982499999</v>
      </c>
      <c r="C23" s="704">
        <v>40.641279850000004</v>
      </c>
      <c r="D23" s="613">
        <f t="shared" si="0"/>
        <v>0.10686878337813943</v>
      </c>
      <c r="E23" s="138"/>
      <c r="F23" s="138"/>
      <c r="G23" s="138"/>
      <c r="H23" s="138"/>
      <c r="I23" s="138"/>
      <c r="J23" s="138"/>
      <c r="K23" s="528"/>
      <c r="L23" s="529" t="s">
        <v>115</v>
      </c>
      <c r="M23" s="527">
        <v>3.2058893474999999</v>
      </c>
      <c r="N23" s="527">
        <v>3.5963829999999999</v>
      </c>
    </row>
    <row r="24" spans="1:14" ht="10.5" customHeight="1">
      <c r="A24" s="610" t="s">
        <v>271</v>
      </c>
      <c r="B24" s="703">
        <v>40.0290006225</v>
      </c>
      <c r="C24" s="703">
        <v>40.261414684999998</v>
      </c>
      <c r="D24" s="611">
        <f t="shared" si="0"/>
        <v>-5.7726253366499058E-3</v>
      </c>
      <c r="E24" s="138"/>
      <c r="F24" s="138"/>
      <c r="G24" s="138"/>
      <c r="H24" s="138"/>
      <c r="I24" s="138"/>
      <c r="J24" s="138"/>
      <c r="K24" s="528"/>
      <c r="L24" s="529" t="s">
        <v>116</v>
      </c>
      <c r="M24" s="527">
        <v>3.2094846449999999</v>
      </c>
      <c r="N24" s="527">
        <v>3.5128315050000003</v>
      </c>
    </row>
    <row r="25" spans="1:14" ht="10.5" customHeight="1">
      <c r="A25" s="612" t="s">
        <v>104</v>
      </c>
      <c r="B25" s="704">
        <v>38.870344745000004</v>
      </c>
      <c r="C25" s="704">
        <v>38.877973445000002</v>
      </c>
      <c r="D25" s="613">
        <f t="shared" si="0"/>
        <v>-1.9622164747834514E-4</v>
      </c>
      <c r="E25" s="138"/>
      <c r="F25" s="138"/>
      <c r="G25" s="138"/>
      <c r="H25" s="138"/>
      <c r="I25" s="138"/>
      <c r="J25" s="138"/>
      <c r="K25" s="528"/>
      <c r="L25" s="529" t="s">
        <v>112</v>
      </c>
      <c r="M25" s="527">
        <v>3.4265142500000003</v>
      </c>
      <c r="N25" s="527">
        <v>3.7896222499999999</v>
      </c>
    </row>
    <row r="26" spans="1:14" ht="10.5" customHeight="1">
      <c r="A26" s="610" t="s">
        <v>102</v>
      </c>
      <c r="B26" s="703">
        <v>30.511771475</v>
      </c>
      <c r="C26" s="703">
        <v>29.7238394775</v>
      </c>
      <c r="D26" s="611">
        <f t="shared" si="0"/>
        <v>2.6508419213353562E-2</v>
      </c>
      <c r="E26" s="138"/>
      <c r="F26" s="138"/>
      <c r="G26" s="138"/>
      <c r="H26" s="138"/>
      <c r="I26" s="138"/>
      <c r="J26" s="138"/>
      <c r="K26" s="528"/>
      <c r="L26" s="527" t="s">
        <v>118</v>
      </c>
      <c r="M26" s="527">
        <v>3.49702081</v>
      </c>
      <c r="N26" s="527">
        <v>6.1050209450000006</v>
      </c>
    </row>
    <row r="27" spans="1:14" ht="10.5" customHeight="1">
      <c r="A27" s="612" t="s">
        <v>106</v>
      </c>
      <c r="B27" s="704">
        <v>23.565598619999996</v>
      </c>
      <c r="C27" s="704">
        <v>25.273507940000002</v>
      </c>
      <c r="D27" s="613">
        <f t="shared" si="0"/>
        <v>-6.7577058319511107E-2</v>
      </c>
      <c r="E27" s="138"/>
      <c r="F27" s="138"/>
      <c r="G27" s="138"/>
      <c r="H27" s="138"/>
      <c r="I27" s="138"/>
      <c r="J27" s="138"/>
      <c r="K27" s="528"/>
      <c r="L27" s="529" t="s">
        <v>109</v>
      </c>
      <c r="M27" s="527">
        <v>3.7573950974999999</v>
      </c>
      <c r="N27" s="527">
        <v>5.235309065</v>
      </c>
    </row>
    <row r="28" spans="1:14" ht="10.5" customHeight="1">
      <c r="A28" s="615" t="s">
        <v>107</v>
      </c>
      <c r="B28" s="703">
        <v>20.7010441525</v>
      </c>
      <c r="C28" s="703">
        <v>20.295636535</v>
      </c>
      <c r="D28" s="611">
        <f t="shared" si="0"/>
        <v>1.9975112226752412E-2</v>
      </c>
      <c r="E28" s="138"/>
      <c r="F28" s="138"/>
      <c r="G28" s="138"/>
      <c r="H28" s="138"/>
      <c r="I28" s="138"/>
      <c r="J28" s="138"/>
      <c r="K28" s="528"/>
      <c r="L28" s="529" t="s">
        <v>113</v>
      </c>
      <c r="M28" s="527">
        <v>3.8786530300000006</v>
      </c>
      <c r="N28" s="527">
        <v>4.1106878849999999</v>
      </c>
    </row>
    <row r="29" spans="1:14" ht="10.5" customHeight="1">
      <c r="A29" s="616" t="s">
        <v>516</v>
      </c>
      <c r="B29" s="704">
        <v>14.22320399</v>
      </c>
      <c r="C29" s="704"/>
      <c r="D29" s="613" t="str">
        <f t="shared" si="0"/>
        <v/>
      </c>
      <c r="E29" s="138"/>
      <c r="F29" s="138"/>
      <c r="G29" s="138"/>
      <c r="H29" s="138"/>
      <c r="I29" s="138"/>
      <c r="J29" s="138"/>
      <c r="K29" s="528"/>
      <c r="L29" s="529" t="s">
        <v>279</v>
      </c>
      <c r="M29" s="527">
        <v>8.0292738875000005</v>
      </c>
      <c r="N29" s="527">
        <v>6.0671433175000002</v>
      </c>
    </row>
    <row r="30" spans="1:14" ht="10.5" customHeight="1">
      <c r="A30" s="617" t="s">
        <v>276</v>
      </c>
      <c r="B30" s="703">
        <v>12.829955142500001</v>
      </c>
      <c r="C30" s="703">
        <v>13.306574982500001</v>
      </c>
      <c r="D30" s="611">
        <f t="shared" si="0"/>
        <v>-3.5818371040393315E-2</v>
      </c>
      <c r="E30" s="138"/>
      <c r="F30" s="138"/>
      <c r="G30" s="138"/>
      <c r="H30" s="138"/>
      <c r="I30" s="138"/>
      <c r="J30" s="138"/>
      <c r="K30" s="528"/>
      <c r="L30" s="527" t="s">
        <v>111</v>
      </c>
      <c r="M30" s="527">
        <v>8.1191125700000004</v>
      </c>
      <c r="N30" s="527">
        <v>9.3235573350000003</v>
      </c>
    </row>
    <row r="31" spans="1:14" ht="10.5" customHeight="1">
      <c r="A31" s="616" t="s">
        <v>108</v>
      </c>
      <c r="B31" s="704">
        <v>12.649584000000001</v>
      </c>
      <c r="C31" s="704">
        <v>11.976386000000002</v>
      </c>
      <c r="D31" s="613">
        <f t="shared" si="0"/>
        <v>5.6210446122895386E-2</v>
      </c>
      <c r="E31" s="138"/>
      <c r="F31" s="138"/>
      <c r="G31" s="138"/>
      <c r="H31" s="138"/>
      <c r="I31" s="138"/>
      <c r="J31" s="138"/>
      <c r="K31" s="528"/>
      <c r="L31" s="527" t="s">
        <v>594</v>
      </c>
      <c r="M31" s="527">
        <v>10.099239602499999</v>
      </c>
      <c r="N31" s="527">
        <v>11.174569607500001</v>
      </c>
    </row>
    <row r="32" spans="1:14" ht="10.5" customHeight="1">
      <c r="A32" s="617" t="s">
        <v>272</v>
      </c>
      <c r="B32" s="703">
        <v>11.214617865000001</v>
      </c>
      <c r="C32" s="703">
        <v>9.1008688800000002</v>
      </c>
      <c r="D32" s="611">
        <f t="shared" si="0"/>
        <v>0.2322579319481417</v>
      </c>
      <c r="E32" s="138"/>
      <c r="F32" s="138"/>
      <c r="G32" s="138"/>
      <c r="H32" s="138"/>
      <c r="I32" s="138"/>
      <c r="J32" s="138"/>
      <c r="K32" s="528"/>
      <c r="L32" s="527" t="s">
        <v>274</v>
      </c>
      <c r="M32" s="527">
        <v>10.850510617499999</v>
      </c>
      <c r="N32" s="527">
        <v>0.19320428750000002</v>
      </c>
    </row>
    <row r="33" spans="1:14" ht="10.5" customHeight="1">
      <c r="A33" s="616" t="s">
        <v>274</v>
      </c>
      <c r="B33" s="704">
        <v>10.850510617499999</v>
      </c>
      <c r="C33" s="704">
        <v>0.19320428750000002</v>
      </c>
      <c r="D33" s="613">
        <f t="shared" si="0"/>
        <v>55.160816915100803</v>
      </c>
      <c r="E33" s="138"/>
      <c r="F33" s="138"/>
      <c r="G33" s="138"/>
      <c r="H33" s="138"/>
      <c r="I33" s="138"/>
      <c r="J33" s="138"/>
      <c r="K33" s="528"/>
      <c r="L33" s="529" t="s">
        <v>272</v>
      </c>
      <c r="M33" s="527">
        <v>11.214617865000001</v>
      </c>
      <c r="N33" s="527">
        <v>9.1008688800000002</v>
      </c>
    </row>
    <row r="34" spans="1:14" ht="10.5" customHeight="1">
      <c r="A34" s="617" t="s">
        <v>594</v>
      </c>
      <c r="B34" s="703">
        <v>10.099239602499999</v>
      </c>
      <c r="C34" s="703">
        <v>11.174569607500001</v>
      </c>
      <c r="D34" s="611">
        <f>IF(C34=0,"",B34/C34-1)</f>
        <v>-9.6230104851490306E-2</v>
      </c>
      <c r="E34" s="138"/>
      <c r="F34" s="138"/>
      <c r="G34" s="138"/>
      <c r="H34" s="138"/>
      <c r="I34" s="138"/>
      <c r="J34" s="138"/>
      <c r="K34" s="532"/>
      <c r="L34" s="529" t="s">
        <v>108</v>
      </c>
      <c r="M34" s="527">
        <v>12.649584000000001</v>
      </c>
      <c r="N34" s="527">
        <v>11.976386000000002</v>
      </c>
    </row>
    <row r="35" spans="1:14" ht="10.5" customHeight="1">
      <c r="A35" s="616" t="s">
        <v>111</v>
      </c>
      <c r="B35" s="704">
        <v>8.1191125700000004</v>
      </c>
      <c r="C35" s="704">
        <v>9.3235573350000003</v>
      </c>
      <c r="D35" s="613"/>
      <c r="E35" s="138"/>
      <c r="F35" s="138"/>
      <c r="G35" s="138"/>
      <c r="H35" s="138"/>
      <c r="I35" s="138"/>
      <c r="J35" s="138"/>
      <c r="K35" s="532"/>
      <c r="L35" s="529" t="s">
        <v>276</v>
      </c>
      <c r="M35" s="527">
        <v>12.829955142500001</v>
      </c>
      <c r="N35" s="527">
        <v>13.306574982500001</v>
      </c>
    </row>
    <row r="36" spans="1:14" ht="10.5" customHeight="1">
      <c r="A36" s="617" t="s">
        <v>279</v>
      </c>
      <c r="B36" s="703">
        <v>8.0292738875000005</v>
      </c>
      <c r="C36" s="703">
        <v>6.0671433175000002</v>
      </c>
      <c r="D36" s="611">
        <f t="shared" si="0"/>
        <v>0.32340270656545278</v>
      </c>
      <c r="E36" s="138"/>
      <c r="F36" s="138"/>
      <c r="G36" s="138"/>
      <c r="H36" s="138"/>
      <c r="I36" s="138"/>
      <c r="J36" s="138"/>
      <c r="K36" s="531"/>
      <c r="L36" s="529" t="s">
        <v>516</v>
      </c>
      <c r="M36" s="527">
        <v>14.22320399</v>
      </c>
      <c r="N36" s="527"/>
    </row>
    <row r="37" spans="1:14" ht="10.5" customHeight="1">
      <c r="A37" s="616" t="s">
        <v>113</v>
      </c>
      <c r="B37" s="704">
        <v>3.8786530300000006</v>
      </c>
      <c r="C37" s="704">
        <v>4.1106878849999999</v>
      </c>
      <c r="D37" s="613">
        <f t="shared" si="0"/>
        <v>-5.6446721690231016E-2</v>
      </c>
      <c r="E37" s="138"/>
      <c r="F37" s="138"/>
      <c r="G37" s="138"/>
      <c r="H37" s="138"/>
      <c r="I37" s="138"/>
      <c r="J37" s="138"/>
      <c r="K37" s="531"/>
      <c r="L37" s="527" t="s">
        <v>107</v>
      </c>
      <c r="M37" s="527">
        <v>20.7010441525</v>
      </c>
      <c r="N37" s="527">
        <v>20.295636535</v>
      </c>
    </row>
    <row r="38" spans="1:14" ht="10.5" customHeight="1">
      <c r="A38" s="617" t="s">
        <v>109</v>
      </c>
      <c r="B38" s="703">
        <v>3.7573950974999999</v>
      </c>
      <c r="C38" s="703">
        <v>5.235309065</v>
      </c>
      <c r="D38" s="611">
        <f t="shared" si="0"/>
        <v>-0.28229736757671253</v>
      </c>
      <c r="E38" s="138"/>
      <c r="F38" s="138"/>
      <c r="G38" s="138"/>
      <c r="H38" s="138"/>
      <c r="I38" s="138"/>
      <c r="J38" s="138"/>
      <c r="K38" s="531"/>
      <c r="L38" s="529" t="s">
        <v>106</v>
      </c>
      <c r="M38" s="527">
        <v>23.565598619999996</v>
      </c>
      <c r="N38" s="527">
        <v>25.273507940000002</v>
      </c>
    </row>
    <row r="39" spans="1:14" ht="10.5" customHeight="1">
      <c r="A39" s="616" t="s">
        <v>118</v>
      </c>
      <c r="B39" s="704">
        <v>3.49702081</v>
      </c>
      <c r="C39" s="704">
        <v>6.1050209450000006</v>
      </c>
      <c r="D39" s="613">
        <f t="shared" si="0"/>
        <v>-0.4271893837048909</v>
      </c>
      <c r="E39" s="138"/>
      <c r="F39" s="138"/>
      <c r="G39" s="138"/>
      <c r="H39" s="138"/>
      <c r="I39" s="138"/>
      <c r="J39" s="138"/>
      <c r="K39" s="532"/>
      <c r="L39" s="527" t="s">
        <v>102</v>
      </c>
      <c r="M39" s="527">
        <v>30.511771475</v>
      </c>
      <c r="N39" s="527">
        <v>29.7238394775</v>
      </c>
    </row>
    <row r="40" spans="1:14" ht="10.5" customHeight="1">
      <c r="A40" s="617" t="s">
        <v>112</v>
      </c>
      <c r="B40" s="703">
        <v>3.4265142500000003</v>
      </c>
      <c r="C40" s="703">
        <v>3.7896222499999999</v>
      </c>
      <c r="D40" s="611">
        <f t="shared" si="0"/>
        <v>-9.5816410197612556E-2</v>
      </c>
      <c r="E40" s="138"/>
      <c r="F40" s="138"/>
      <c r="G40" s="138"/>
      <c r="H40" s="138"/>
      <c r="I40" s="138"/>
      <c r="J40" s="138"/>
      <c r="K40" s="532"/>
      <c r="L40" s="529" t="s">
        <v>104</v>
      </c>
      <c r="M40" s="527">
        <v>38.870344745000004</v>
      </c>
      <c r="N40" s="527">
        <v>38.877973445000002</v>
      </c>
    </row>
    <row r="41" spans="1:14" ht="10.5" customHeight="1">
      <c r="A41" s="616" t="s">
        <v>116</v>
      </c>
      <c r="B41" s="704">
        <v>3.2094846449999999</v>
      </c>
      <c r="C41" s="704">
        <v>3.5128315050000003</v>
      </c>
      <c r="D41" s="613">
        <f t="shared" si="0"/>
        <v>-8.6353945405075794E-2</v>
      </c>
      <c r="E41" s="138"/>
      <c r="F41" s="138"/>
      <c r="G41" s="138"/>
      <c r="H41" s="138"/>
      <c r="I41" s="138"/>
      <c r="J41" s="138"/>
      <c r="K41" s="532"/>
      <c r="L41" s="527" t="s">
        <v>271</v>
      </c>
      <c r="M41" s="527">
        <v>40.0290006225</v>
      </c>
      <c r="N41" s="527">
        <v>40.261414684999998</v>
      </c>
    </row>
    <row r="42" spans="1:14" ht="10.5" customHeight="1">
      <c r="A42" s="617" t="s">
        <v>115</v>
      </c>
      <c r="B42" s="703">
        <v>3.2058893474999999</v>
      </c>
      <c r="C42" s="703">
        <v>3.5963829999999999</v>
      </c>
      <c r="D42" s="611">
        <f t="shared" si="0"/>
        <v>-0.10857955131586372</v>
      </c>
      <c r="E42" s="138"/>
      <c r="F42" s="138"/>
      <c r="G42" s="138"/>
      <c r="H42" s="138"/>
      <c r="I42" s="138"/>
      <c r="J42" s="138"/>
      <c r="L42" s="529" t="s">
        <v>100</v>
      </c>
      <c r="M42" s="527">
        <v>44.984563982499999</v>
      </c>
      <c r="N42" s="527">
        <v>40.641279850000004</v>
      </c>
    </row>
    <row r="43" spans="1:14" ht="10.5" customHeight="1">
      <c r="A43" s="616" t="s">
        <v>117</v>
      </c>
      <c r="B43" s="704">
        <v>3.12937362</v>
      </c>
      <c r="C43" s="704">
        <v>3.2862428575</v>
      </c>
      <c r="D43" s="613">
        <f t="shared" si="0"/>
        <v>-4.7735132277879733E-2</v>
      </c>
      <c r="E43" s="138"/>
      <c r="F43" s="138"/>
      <c r="G43" s="138"/>
      <c r="H43" s="138"/>
      <c r="I43" s="138"/>
      <c r="J43" s="138"/>
      <c r="L43" s="529" t="s">
        <v>595</v>
      </c>
      <c r="M43" s="527">
        <v>50.1794445325</v>
      </c>
      <c r="N43" s="527">
        <v>36.078313937499999</v>
      </c>
    </row>
    <row r="44" spans="1:14" ht="10.5" customHeight="1">
      <c r="A44" s="617" t="s">
        <v>126</v>
      </c>
      <c r="B44" s="703">
        <v>3.0547518500000002</v>
      </c>
      <c r="C44" s="703">
        <v>3.3964207124999999</v>
      </c>
      <c r="D44" s="611">
        <f t="shared" si="0"/>
        <v>-0.1005967432840521</v>
      </c>
      <c r="E44" s="138"/>
      <c r="F44" s="138"/>
      <c r="G44" s="138"/>
      <c r="H44" s="138"/>
      <c r="I44" s="138"/>
      <c r="J44" s="138"/>
      <c r="L44" s="530" t="s">
        <v>110</v>
      </c>
      <c r="M44" s="527">
        <v>61.959598970000002</v>
      </c>
      <c r="N44" s="527">
        <v>1.83218167</v>
      </c>
    </row>
    <row r="45" spans="1:14" ht="10.5" customHeight="1">
      <c r="A45" s="616" t="s">
        <v>597</v>
      </c>
      <c r="B45" s="704">
        <v>2.9110080250000001</v>
      </c>
      <c r="C45" s="704">
        <v>1.8991578250000001</v>
      </c>
      <c r="D45" s="613">
        <f t="shared" si="0"/>
        <v>0.5327888955200446</v>
      </c>
      <c r="E45" s="138"/>
      <c r="F45" s="138"/>
      <c r="G45" s="138"/>
      <c r="H45" s="138"/>
      <c r="I45" s="138"/>
      <c r="J45" s="138"/>
      <c r="L45" s="529" t="s">
        <v>99</v>
      </c>
      <c r="M45" s="527">
        <v>63.459608375000002</v>
      </c>
      <c r="N45" s="527">
        <v>62.15051686999999</v>
      </c>
    </row>
    <row r="46" spans="1:14" ht="10.5" customHeight="1">
      <c r="A46" s="617" t="s">
        <v>125</v>
      </c>
      <c r="B46" s="703">
        <v>2.56264264</v>
      </c>
      <c r="C46" s="703">
        <v>0.46336888000000004</v>
      </c>
      <c r="D46" s="611">
        <f t="shared" si="0"/>
        <v>4.5304591020441416</v>
      </c>
      <c r="E46" s="138"/>
      <c r="F46" s="138"/>
      <c r="G46" s="138"/>
      <c r="H46" s="138"/>
      <c r="I46" s="138"/>
      <c r="J46" s="138"/>
      <c r="L46" s="529" t="s">
        <v>101</v>
      </c>
      <c r="M46" s="527">
        <v>70.669869725000012</v>
      </c>
      <c r="N46" s="527">
        <v>50.831339122499998</v>
      </c>
    </row>
    <row r="47" spans="1:14" ht="10.5" customHeight="1">
      <c r="A47" s="616" t="s">
        <v>114</v>
      </c>
      <c r="B47" s="704">
        <v>2.4849694874999999</v>
      </c>
      <c r="C47" s="704">
        <v>2.7599870750000002</v>
      </c>
      <c r="D47" s="613">
        <f t="shared" si="0"/>
        <v>-9.9644520074428367E-2</v>
      </c>
      <c r="E47" s="138"/>
      <c r="F47" s="138"/>
      <c r="G47" s="138"/>
      <c r="H47" s="138"/>
      <c r="I47" s="138"/>
      <c r="J47" s="138"/>
      <c r="L47" s="529" t="s">
        <v>98</v>
      </c>
      <c r="M47" s="527">
        <v>73.811786207500006</v>
      </c>
      <c r="N47" s="527">
        <v>60.703166492500003</v>
      </c>
    </row>
    <row r="48" spans="1:14" ht="10.5" customHeight="1">
      <c r="A48" s="617" t="s">
        <v>121</v>
      </c>
      <c r="B48" s="703">
        <v>2.3769</v>
      </c>
      <c r="C48" s="703">
        <v>2.157</v>
      </c>
      <c r="D48" s="611">
        <f t="shared" si="0"/>
        <v>0.10194714881780254</v>
      </c>
      <c r="E48" s="138"/>
      <c r="F48" s="138"/>
      <c r="G48" s="138"/>
      <c r="H48" s="138"/>
      <c r="I48" s="138"/>
      <c r="J48" s="138"/>
      <c r="L48" s="527" t="s">
        <v>103</v>
      </c>
      <c r="M48" s="527">
        <v>75.6085275975</v>
      </c>
      <c r="N48" s="527"/>
    </row>
    <row r="49" spans="1:14" ht="10.5" customHeight="1">
      <c r="A49" s="616" t="s">
        <v>119</v>
      </c>
      <c r="B49" s="704">
        <v>1.8083924999999998</v>
      </c>
      <c r="C49" s="704">
        <v>2.0274174999999999</v>
      </c>
      <c r="D49" s="613">
        <f t="shared" si="0"/>
        <v>-0.10803152286097961</v>
      </c>
      <c r="E49" s="138"/>
      <c r="F49" s="138"/>
      <c r="G49" s="138"/>
      <c r="H49" s="138"/>
      <c r="I49" s="138"/>
      <c r="J49" s="138"/>
      <c r="L49" s="526" t="s">
        <v>96</v>
      </c>
      <c r="M49" s="527">
        <v>75.723573012499983</v>
      </c>
      <c r="N49" s="527">
        <v>133.17803409249998</v>
      </c>
    </row>
    <row r="50" spans="1:14" ht="10.5" customHeight="1">
      <c r="A50" s="617" t="s">
        <v>120</v>
      </c>
      <c r="B50" s="703">
        <v>1.7380232949999999</v>
      </c>
      <c r="C50" s="703">
        <v>2.6618006849999998</v>
      </c>
      <c r="D50" s="611">
        <f t="shared" si="0"/>
        <v>-0.34704979798290192</v>
      </c>
      <c r="E50" s="138"/>
      <c r="F50" s="138"/>
      <c r="G50" s="138"/>
      <c r="H50" s="138"/>
      <c r="I50" s="138"/>
      <c r="J50" s="138"/>
      <c r="L50" s="529" t="s">
        <v>270</v>
      </c>
      <c r="M50" s="527">
        <v>81.005481285000002</v>
      </c>
      <c r="N50" s="527">
        <v>79.8630159625</v>
      </c>
    </row>
    <row r="51" spans="1:14" ht="10.5" customHeight="1">
      <c r="A51" s="616" t="s">
        <v>122</v>
      </c>
      <c r="B51" s="704">
        <v>1.3763512499999999</v>
      </c>
      <c r="C51" s="704">
        <v>2.344096</v>
      </c>
      <c r="D51" s="613">
        <f t="shared" si="0"/>
        <v>-0.41284347995986515</v>
      </c>
      <c r="E51" s="138"/>
      <c r="F51" s="138"/>
      <c r="G51" s="138"/>
      <c r="H51" s="138"/>
      <c r="I51" s="138"/>
      <c r="J51" s="138"/>
      <c r="L51" s="529" t="s">
        <v>275</v>
      </c>
      <c r="M51" s="527">
        <v>88.898847340000003</v>
      </c>
      <c r="N51" s="527">
        <v>108.57952526</v>
      </c>
    </row>
    <row r="52" spans="1:14" ht="10.5" customHeight="1">
      <c r="A52" s="617" t="s">
        <v>278</v>
      </c>
      <c r="B52" s="703">
        <v>0.83955658499999997</v>
      </c>
      <c r="C52" s="703">
        <v>135.25705632</v>
      </c>
      <c r="D52" s="611">
        <f t="shared" si="0"/>
        <v>-0.99379288143744815</v>
      </c>
      <c r="E52" s="138"/>
      <c r="F52" s="138"/>
      <c r="G52" s="138"/>
      <c r="H52" s="138"/>
      <c r="I52" s="138"/>
      <c r="J52" s="138"/>
      <c r="L52" s="529" t="s">
        <v>97</v>
      </c>
      <c r="M52" s="527">
        <v>95.862467440000003</v>
      </c>
      <c r="N52" s="527">
        <v>68.280967457499997</v>
      </c>
    </row>
    <row r="53" spans="1:14" ht="10.5" customHeight="1">
      <c r="A53" s="616" t="s">
        <v>124</v>
      </c>
      <c r="B53" s="704">
        <v>0.10120691750000001</v>
      </c>
      <c r="C53" s="704">
        <v>0.2800203275</v>
      </c>
      <c r="D53" s="613">
        <f t="shared" si="0"/>
        <v>-0.63857296217182657</v>
      </c>
      <c r="E53" s="138"/>
      <c r="F53" s="138"/>
      <c r="G53" s="138"/>
      <c r="H53" s="138"/>
      <c r="I53" s="138"/>
      <c r="J53" s="138"/>
      <c r="L53" s="529" t="s">
        <v>95</v>
      </c>
      <c r="M53" s="527">
        <v>159.53310032000002</v>
      </c>
      <c r="N53" s="527">
        <v>165.2450485</v>
      </c>
    </row>
    <row r="54" spans="1:14" ht="10.5" customHeight="1">
      <c r="A54" s="617" t="s">
        <v>123</v>
      </c>
      <c r="B54" s="703">
        <v>3.8967750000000002E-2</v>
      </c>
      <c r="C54" s="703">
        <v>0.27009199</v>
      </c>
      <c r="D54" s="611">
        <f t="shared" si="0"/>
        <v>-0.8557241553146393</v>
      </c>
      <c r="E54" s="138"/>
      <c r="F54" s="138"/>
      <c r="G54" s="138"/>
      <c r="H54" s="138"/>
      <c r="I54" s="138"/>
      <c r="J54" s="138"/>
      <c r="L54" s="529" t="s">
        <v>105</v>
      </c>
      <c r="M54" s="527">
        <v>193.17047228000001</v>
      </c>
      <c r="N54" s="527">
        <v>86.161612859999991</v>
      </c>
    </row>
    <row r="55" spans="1:14" ht="10.5" customHeight="1">
      <c r="A55" s="616" t="s">
        <v>277</v>
      </c>
      <c r="B55" s="704">
        <v>1.8681192500000002E-2</v>
      </c>
      <c r="C55" s="704">
        <v>0</v>
      </c>
      <c r="D55" s="613" t="str">
        <f t="shared" si="0"/>
        <v/>
      </c>
      <c r="E55" s="138"/>
      <c r="F55" s="138"/>
      <c r="G55" s="138"/>
      <c r="H55" s="138"/>
      <c r="I55" s="138"/>
      <c r="J55" s="138"/>
      <c r="L55" s="529" t="s">
        <v>273</v>
      </c>
      <c r="M55" s="527">
        <v>333.9755148525</v>
      </c>
      <c r="N55" s="527">
        <v>409.11533894249999</v>
      </c>
    </row>
    <row r="56" spans="1:14" ht="10.5" customHeight="1">
      <c r="A56" s="617" t="s">
        <v>127</v>
      </c>
      <c r="B56" s="703">
        <v>0</v>
      </c>
      <c r="C56" s="703">
        <v>0.16736089749999999</v>
      </c>
      <c r="D56" s="611">
        <f t="shared" si="0"/>
        <v>-1</v>
      </c>
      <c r="E56" s="138"/>
      <c r="F56" s="138"/>
      <c r="G56" s="138"/>
      <c r="H56" s="138"/>
      <c r="I56" s="138"/>
      <c r="J56" s="138"/>
      <c r="L56" s="527" t="s">
        <v>93</v>
      </c>
      <c r="M56" s="527">
        <v>542.10331888999997</v>
      </c>
      <c r="N56" s="527">
        <v>485.65623392500004</v>
      </c>
    </row>
    <row r="57" spans="1:14" ht="10.5" customHeight="1">
      <c r="A57" s="616" t="s">
        <v>269</v>
      </c>
      <c r="B57" s="704">
        <v>0</v>
      </c>
      <c r="C57" s="704">
        <v>0</v>
      </c>
      <c r="D57" s="613" t="str">
        <f t="shared" si="0"/>
        <v/>
      </c>
      <c r="E57" s="138"/>
      <c r="F57" s="138"/>
      <c r="G57" s="138"/>
      <c r="H57" s="138"/>
      <c r="I57" s="138"/>
      <c r="J57" s="138"/>
      <c r="L57" s="529" t="s">
        <v>94</v>
      </c>
      <c r="M57" s="527">
        <v>616.8177441675</v>
      </c>
      <c r="N57" s="527">
        <v>614.5862788799999</v>
      </c>
    </row>
    <row r="58" spans="1:14" ht="10.5" customHeight="1">
      <c r="A58" s="617" t="s">
        <v>569</v>
      </c>
      <c r="B58" s="703"/>
      <c r="C58" s="703">
        <v>190.29710525000002</v>
      </c>
      <c r="D58" s="611">
        <f t="shared" si="0"/>
        <v>-1</v>
      </c>
      <c r="E58" s="138"/>
      <c r="F58" s="138"/>
      <c r="G58" s="138"/>
      <c r="H58" s="138"/>
      <c r="I58" s="138"/>
      <c r="J58" s="138"/>
      <c r="L58" s="529" t="s">
        <v>92</v>
      </c>
      <c r="M58" s="527">
        <v>638.24097468499997</v>
      </c>
      <c r="N58" s="527">
        <v>717.69489181749998</v>
      </c>
    </row>
    <row r="59" spans="1:14" ht="10.5" customHeight="1">
      <c r="A59" s="616" t="s">
        <v>596</v>
      </c>
      <c r="B59" s="704"/>
      <c r="C59" s="704">
        <v>1.04423165</v>
      </c>
      <c r="D59" s="613">
        <f t="shared" si="0"/>
        <v>-1</v>
      </c>
      <c r="E59" s="138"/>
      <c r="F59" s="138"/>
      <c r="G59" s="138"/>
      <c r="H59" s="138"/>
      <c r="I59" s="138"/>
      <c r="J59" s="138"/>
      <c r="L59" s="527" t="s">
        <v>568</v>
      </c>
      <c r="M59" s="527">
        <v>648.89763769749993</v>
      </c>
      <c r="N59" s="527">
        <v>331.71879824249999</v>
      </c>
    </row>
    <row r="60" spans="1:14" ht="10.5" customHeight="1">
      <c r="A60" s="617" t="s">
        <v>128</v>
      </c>
      <c r="B60" s="705"/>
      <c r="C60" s="705">
        <v>0</v>
      </c>
      <c r="D60" s="618" t="str">
        <f>IF(C60=0,"",B60/C60-1)</f>
        <v/>
      </c>
      <c r="E60" s="138"/>
      <c r="F60" s="138"/>
      <c r="G60" s="138"/>
      <c r="H60" s="138"/>
      <c r="I60" s="138"/>
      <c r="J60" s="138"/>
      <c r="L60" s="529"/>
      <c r="M60" s="527"/>
      <c r="N60" s="527"/>
    </row>
    <row r="61" spans="1:14" ht="10.5" hidden="1" customHeight="1">
      <c r="A61" s="619"/>
      <c r="B61" s="704"/>
      <c r="C61" s="704"/>
      <c r="D61" s="613"/>
      <c r="E61" s="138"/>
      <c r="F61" s="138"/>
      <c r="G61" s="138"/>
      <c r="H61" s="138"/>
      <c r="I61" s="138"/>
      <c r="J61" s="138"/>
      <c r="L61" s="529"/>
      <c r="M61" s="527"/>
      <c r="N61" s="527"/>
    </row>
    <row r="62" spans="1:14" ht="12" customHeight="1">
      <c r="A62" s="582" t="s">
        <v>44</v>
      </c>
      <c r="B62" s="701">
        <f>SUM(B6:B61)</f>
        <v>4200.0115709424981</v>
      </c>
      <c r="C62" s="701">
        <f>SUM(C6:C61)</f>
        <v>4042.552432994999</v>
      </c>
      <c r="D62" s="583">
        <f>+B62/C62-1</f>
        <v>3.8950425642554354E-2</v>
      </c>
      <c r="E62" s="138"/>
      <c r="F62" s="138"/>
      <c r="G62" s="138"/>
      <c r="H62" s="138"/>
      <c r="I62" s="138"/>
      <c r="J62" s="138"/>
    </row>
    <row r="63" spans="1:14" ht="36" customHeight="1">
      <c r="A63" s="814" t="str">
        <f>"Cuadro N° 6: Participación de las empresas generadoras del COES en la producción de energía eléctrica (GWh) en "&amp;'1. Resumen'!Q4</f>
        <v>Cuadro N° 6: Participación de las empresas generadoras del COES en la producción de energía eléctrica (GWh) en julio</v>
      </c>
      <c r="B63" s="814"/>
      <c r="C63" s="814"/>
      <c r="D63" s="157"/>
      <c r="E63" s="813" t="str">
        <f>"Gráfico N° 10: Comparación de producción energética (GWh) de las empresas generadoras del COES en "&amp;'1. Resumen'!Q4</f>
        <v>Gráfico N° 10: Comparación de producción energética (GWh) de las empresas generadoras del COES en julio</v>
      </c>
      <c r="F63" s="813"/>
      <c r="G63" s="813"/>
      <c r="H63" s="813"/>
      <c r="I63" s="813"/>
      <c r="J63" s="813"/>
    </row>
    <row r="64" spans="1:14" ht="12.75" customHeight="1">
      <c r="A64" s="581"/>
      <c r="B64" s="581"/>
      <c r="C64" s="581"/>
      <c r="D64" s="157"/>
      <c r="E64" s="580"/>
      <c r="F64" s="580"/>
      <c r="G64" s="580"/>
      <c r="H64" s="580"/>
      <c r="I64" s="580"/>
      <c r="J64" s="580"/>
    </row>
    <row r="65" spans="1:10" ht="12.75" customHeight="1">
      <c r="A65" s="815" t="s">
        <v>567</v>
      </c>
      <c r="B65" s="815"/>
      <c r="C65" s="815"/>
      <c r="D65" s="815"/>
      <c r="E65" s="815"/>
      <c r="F65" s="815"/>
      <c r="G65" s="815"/>
      <c r="H65" s="815"/>
      <c r="I65" s="815"/>
      <c r="J65" s="815"/>
    </row>
    <row r="66" spans="1:10" ht="12.75" customHeight="1">
      <c r="A66" s="815" t="s">
        <v>599</v>
      </c>
      <c r="B66" s="815"/>
      <c r="C66" s="815"/>
      <c r="D66" s="815"/>
      <c r="E66" s="815"/>
      <c r="F66" s="815"/>
      <c r="G66" s="815"/>
      <c r="H66" s="815"/>
      <c r="I66" s="815"/>
      <c r="J66" s="815"/>
    </row>
    <row r="67" spans="1:10" ht="12.75" customHeight="1">
      <c r="A67" s="815" t="s">
        <v>592</v>
      </c>
      <c r="B67" s="815"/>
      <c r="C67" s="815"/>
      <c r="D67" s="815"/>
      <c r="E67" s="815"/>
      <c r="F67" s="815"/>
      <c r="G67" s="815"/>
      <c r="H67" s="815"/>
      <c r="I67" s="815"/>
      <c r="J67" s="815"/>
    </row>
    <row r="68" spans="1:10">
      <c r="A68" s="815" t="s">
        <v>593</v>
      </c>
      <c r="B68" s="815"/>
      <c r="C68" s="815"/>
      <c r="D68" s="815"/>
      <c r="E68" s="815"/>
      <c r="F68" s="815"/>
      <c r="G68" s="815"/>
      <c r="H68" s="815"/>
      <c r="I68" s="815"/>
      <c r="J68" s="815"/>
    </row>
    <row r="69" spans="1:10">
      <c r="A69" s="807"/>
      <c r="B69" s="807"/>
      <c r="C69" s="807"/>
      <c r="D69" s="807"/>
      <c r="E69" s="807"/>
      <c r="F69" s="807"/>
      <c r="G69" s="807"/>
      <c r="H69" s="807"/>
      <c r="I69" s="807"/>
      <c r="J69" s="807"/>
    </row>
    <row r="70" spans="1:10">
      <c r="A70" s="808"/>
      <c r="B70" s="808"/>
      <c r="C70" s="808"/>
      <c r="D70" s="808"/>
      <c r="E70" s="808"/>
      <c r="F70" s="808"/>
      <c r="G70" s="808"/>
      <c r="H70" s="808"/>
      <c r="I70" s="808"/>
      <c r="J70" s="808"/>
    </row>
    <row r="71" spans="1:10">
      <c r="A71" s="807"/>
      <c r="B71" s="807"/>
      <c r="C71" s="807"/>
      <c r="D71" s="807"/>
      <c r="E71" s="807"/>
      <c r="F71" s="807"/>
      <c r="G71" s="807"/>
      <c r="H71" s="807"/>
      <c r="I71" s="807"/>
      <c r="J71" s="807"/>
    </row>
    <row r="72" spans="1:10">
      <c r="A72" s="808"/>
      <c r="B72" s="808"/>
      <c r="C72" s="808"/>
      <c r="D72" s="808"/>
      <c r="E72" s="808"/>
      <c r="F72" s="808"/>
      <c r="G72" s="808"/>
      <c r="H72" s="808"/>
      <c r="I72" s="808"/>
      <c r="J72" s="808"/>
    </row>
  </sheetData>
  <autoFilter ref="L4:N61" xr:uid="{3128C184-458A-46DA-932F-AF8150F6A815}">
    <sortState xmlns:xlrd2="http://schemas.microsoft.com/office/spreadsheetml/2017/richdata2" ref="L5:N61">
      <sortCondition ref="M4:M61"/>
    </sortState>
  </autoFilter>
  <mergeCells count="14">
    <mergeCell ref="A69:J69"/>
    <mergeCell ref="A70:J70"/>
    <mergeCell ref="A71:J71"/>
    <mergeCell ref="A72:J72"/>
    <mergeCell ref="A2:I2"/>
    <mergeCell ref="A4:A5"/>
    <mergeCell ref="B4:D4"/>
    <mergeCell ref="G4:I4"/>
    <mergeCell ref="E63:J63"/>
    <mergeCell ref="A63:C63"/>
    <mergeCell ref="A67:J67"/>
    <mergeCell ref="A68:J68"/>
    <mergeCell ref="A65:J65"/>
    <mergeCell ref="A66:J66"/>
  </mergeCells>
  <pageMargins left="0.7" right="0.59782608695652173" top="0.86956521739130432" bottom="0.61458333333333337" header="0.3" footer="0.3"/>
  <pageSetup scale="93" orientation="portrait" r:id="rId1"/>
  <headerFooter>
    <oddHeader>&amp;R&amp;7Informe de la Operación Mensual - Julio 2018
INFSGI-MES-07-2018
14/08/2018
Versión: 01</oddHeader>
    <oddFooter>&amp;L&amp;7COES SINAC, 2018
&amp;C7&amp;R&amp;7Dirección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35</vt:i4>
      </vt:variant>
      <vt:variant>
        <vt:lpstr>Rangos con nombre</vt:lpstr>
      </vt:variant>
      <vt:variant>
        <vt:i4>14</vt:i4>
      </vt:variant>
    </vt:vector>
  </HeadingPairs>
  <TitlesOfParts>
    <vt:vector size="49"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29.ANEXO III - 5</vt:lpstr>
      <vt:lpstr>30.ANEXO III -6</vt:lpstr>
      <vt:lpstr>31.ANEXOIII - 7</vt:lpstr>
      <vt:lpstr>32.ANEXOIII - 8</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2023-11-25T17:25:13Z</cp:lastPrinted>
  <dcterms:created xsi:type="dcterms:W3CDTF">2018-02-13T14:18:17Z</dcterms:created>
  <dcterms:modified xsi:type="dcterms:W3CDTF">2023-11-25T17:39:37Z</dcterms:modified>
</cp:coreProperties>
</file>