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86F679C3-2AB3-4536-951B-4437AD1CE782}" xr6:coauthVersionLast="44" xr6:coauthVersionMax="44" xr10:uidLastSave="{00000000-0000-0000-0000-000000000000}"/>
  <bookViews>
    <workbookView xWindow="-120" yWindow="-120" windowWidth="29040" windowHeight="15840" tabRatio="876"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Contraportada" sheetId="59" r:id="rId30"/>
  </sheets>
  <definedNames>
    <definedName name="_xlnm._FilterDatabase" localSheetId="7" hidden="1">'6. FP RER'!$T$51:$V$54</definedName>
    <definedName name="_xlnm._FilterDatabase" localSheetId="8"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ANEXOI-3'!$A$1:$G$52</definedName>
    <definedName name="_xlnm.Print_Area" localSheetId="22">'21. ANEXOII-1'!$A$1:$F$81</definedName>
    <definedName name="_xlnm.Print_Area" localSheetId="24">'23. ANEXOII-3'!$A$1:$F$56</definedName>
    <definedName name="_xlnm.Print_Area" localSheetId="26">'25.ANEXO III -1'!$A$1:$F$13</definedName>
    <definedName name="_xlnm.Print_Area" localSheetId="27">'26.ANEXO III -2'!$A$1:$F$14</definedName>
    <definedName name="_xlnm.Print_Area" localSheetId="28">'27.ANEXO III - 3'!$A$1:$F$14</definedName>
    <definedName name="_xlnm.Print_Area" localSheetId="6">'5. RER'!$A$1:$K$61</definedName>
    <definedName name="_xlnm.Print_Area" localSheetId="7">'6. FP RER'!$A$1:$K$64</definedName>
    <definedName name="_xlnm.Print_Area" localSheetId="8">'7. Generacion empresa'!$A$1:$J$67</definedName>
    <definedName name="_xlnm.Print_Area" localSheetId="9">'8. Max Potencia'!$A$1:$K$62</definedName>
    <definedName name="_xlnm.Print_Area" localSheetId="10">'9. Pot. Empresa'!$A$1:$J$68</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4" i="6" l="1"/>
  <c r="H14" i="6"/>
  <c r="D38" i="6" l="1"/>
  <c r="M19" i="6"/>
  <c r="D37" i="6" l="1"/>
  <c r="M18" i="6"/>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K12" i="12" l="1"/>
  <c r="K11" i="12"/>
  <c r="G40" i="38" l="1"/>
  <c r="C62" i="11" l="1"/>
  <c r="G7" i="21" l="1"/>
  <c r="H8" i="21"/>
  <c r="H12" i="21" l="1"/>
  <c r="H10" i="21"/>
  <c r="H9" i="21"/>
  <c r="E45" i="46" l="1"/>
  <c r="D43" i="46" l="1"/>
  <c r="D45" i="46" s="1"/>
  <c r="C43" i="46"/>
  <c r="C45" i="46" s="1"/>
  <c r="F45" i="46" l="1"/>
  <c r="F40" i="46"/>
  <c r="C63" i="13" l="1"/>
  <c r="B63" i="13"/>
  <c r="B62" i="11"/>
  <c r="B12" i="22" l="1"/>
  <c r="F63" i="36" l="1"/>
  <c r="F62" i="36"/>
  <c r="F61" i="36"/>
  <c r="F60" i="36"/>
  <c r="F24" i="36" l="1"/>
  <c r="F23" i="36"/>
  <c r="F17" i="36"/>
  <c r="F16" i="36"/>
  <c r="I8" i="22" l="1"/>
  <c r="I9" i="22"/>
  <c r="I10" i="22"/>
  <c r="I11" i="22"/>
  <c r="I7" i="22"/>
  <c r="J12" i="22"/>
  <c r="I12" i="22" l="1"/>
  <c r="E4" i="45" l="1"/>
  <c r="E4" i="46" s="1"/>
  <c r="B11" i="9"/>
  <c r="C11" i="9"/>
  <c r="D11" i="9"/>
  <c r="E11" i="9"/>
  <c r="F11" i="45"/>
  <c r="F12" i="45"/>
  <c r="F13" i="45"/>
  <c r="F14" i="45"/>
  <c r="F15" i="45"/>
  <c r="E3" i="45" l="1"/>
  <c r="E3" i="46" s="1"/>
  <c r="C12" i="22"/>
  <c r="D12" i="22"/>
  <c r="E12" i="22"/>
  <c r="F12" i="22"/>
  <c r="G12" i="22"/>
  <c r="H12" i="22"/>
  <c r="B14" i="12" l="1"/>
  <c r="F14" i="8"/>
  <c r="F40" i="38"/>
  <c r="A64" i="10" l="1"/>
  <c r="A43" i="10"/>
  <c r="E13" i="21" l="1"/>
  <c r="F13" i="21"/>
  <c r="D13" i="21"/>
  <c r="N14" i="18"/>
  <c r="G13" i="21" l="1"/>
  <c r="H13" i="21" s="1"/>
  <c r="J11" i="9"/>
  <c r="H11" i="9"/>
  <c r="G11" i="9"/>
  <c r="D6" i="16" l="1"/>
  <c r="C28" i="14" l="1"/>
  <c r="A37" i="22" l="1"/>
  <c r="F81" i="36" l="1"/>
  <c r="F80" i="36"/>
  <c r="F79" i="36"/>
  <c r="F6" i="36"/>
  <c r="F7" i="36"/>
  <c r="F8" i="36"/>
  <c r="F9" i="36"/>
  <c r="F10" i="36"/>
  <c r="F11" i="36"/>
  <c r="F12" i="36"/>
  <c r="F13" i="36"/>
  <c r="F14" i="36"/>
  <c r="F15" i="36"/>
  <c r="F18" i="36"/>
  <c r="F19" i="36"/>
  <c r="F20" i="36"/>
  <c r="F21" i="36"/>
  <c r="F22" i="36"/>
  <c r="F27" i="36"/>
  <c r="F28" i="36"/>
  <c r="F29" i="36"/>
  <c r="F30" i="36"/>
  <c r="F31" i="36"/>
  <c r="F32" i="36"/>
  <c r="F33" i="36"/>
  <c r="F34" i="36"/>
  <c r="F35" i="36"/>
  <c r="F36" i="36"/>
  <c r="F37" i="36"/>
  <c r="F38" i="36"/>
  <c r="F39" i="36"/>
  <c r="F40" i="36"/>
  <c r="F41" i="36"/>
  <c r="F42" i="36"/>
  <c r="F43" i="36"/>
  <c r="F44" i="36"/>
  <c r="F45" i="36"/>
  <c r="F46" i="36"/>
  <c r="F47" i="36"/>
  <c r="F48" i="36"/>
  <c r="F49" i="36"/>
  <c r="F50" i="36"/>
  <c r="F51" i="36"/>
  <c r="F52" i="36"/>
  <c r="F53" i="36"/>
  <c r="F54" i="36"/>
  <c r="F55" i="36"/>
  <c r="F56" i="36"/>
  <c r="F57" i="36"/>
  <c r="F58" i="36"/>
  <c r="F59" i="36"/>
  <c r="F64" i="36"/>
  <c r="F65" i="36"/>
  <c r="F66" i="36"/>
  <c r="F67" i="36"/>
  <c r="F68" i="36"/>
  <c r="F69" i="36"/>
  <c r="F70" i="36"/>
  <c r="F71" i="36"/>
  <c r="F72" i="36"/>
  <c r="F73" i="36"/>
  <c r="F74" i="36"/>
  <c r="F75" i="36"/>
  <c r="F76" i="36"/>
  <c r="F77" i="36"/>
  <c r="F78" i="36"/>
  <c r="F5" i="45"/>
  <c r="F6" i="45"/>
  <c r="F7" i="45"/>
  <c r="F8" i="45"/>
  <c r="F9" i="45"/>
  <c r="F10"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F71" i="45"/>
  <c r="A63" i="11" l="1"/>
  <c r="F41" i="46" l="1"/>
  <c r="F22" i="8" l="1"/>
  <c r="B19" i="8"/>
  <c r="C19" i="8"/>
  <c r="D19" i="8"/>
  <c r="E19" i="8"/>
  <c r="J12" i="7"/>
  <c r="H12" i="7"/>
  <c r="G12" i="7"/>
  <c r="E12" i="7"/>
  <c r="D12" i="7"/>
  <c r="C12" i="7"/>
  <c r="B12" i="7"/>
  <c r="I18" i="12" l="1"/>
  <c r="F18" i="12"/>
  <c r="J14" i="12"/>
  <c r="H14" i="12"/>
  <c r="G14" i="12"/>
  <c r="E14" i="12"/>
  <c r="D14" i="12"/>
  <c r="C14" i="12"/>
  <c r="F14" i="12" l="1"/>
  <c r="I14" i="12"/>
  <c r="K14" i="12"/>
  <c r="F14" i="7" l="1"/>
  <c r="I14" i="7"/>
  <c r="K14" i="7"/>
  <c r="F15" i="7"/>
  <c r="I15" i="7"/>
  <c r="K15" i="7"/>
  <c r="C3" i="4"/>
  <c r="F42" i="46" l="1"/>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38" i="11" l="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12" i="9" l="1"/>
  <c r="F19" i="8" l="1"/>
  <c r="B47" i="4" l="1"/>
  <c r="A9" i="4"/>
  <c r="A51" i="21" l="1"/>
  <c r="A61" i="9" l="1"/>
  <c r="A34" i="9"/>
  <c r="A63" i="8"/>
  <c r="B49" i="4" l="1"/>
  <c r="F2" i="38" l="1"/>
  <c r="F9" i="8" l="1"/>
  <c r="D63" i="13" l="1"/>
  <c r="N29" i="18"/>
  <c r="N28" i="18"/>
  <c r="N27" i="18"/>
  <c r="N26" i="18"/>
  <c r="N25" i="18"/>
  <c r="N24" i="18"/>
  <c r="N23" i="18"/>
  <c r="N20" i="18"/>
  <c r="N19" i="18"/>
  <c r="N18" i="18"/>
  <c r="N17" i="18"/>
  <c r="N16" i="18"/>
  <c r="N15" i="18"/>
  <c r="N12" i="18"/>
  <c r="N11" i="18"/>
  <c r="N10" i="18"/>
  <c r="N9" i="18"/>
  <c r="N8" i="18"/>
  <c r="H47" i="4" l="1"/>
  <c r="B31" i="6" l="1"/>
  <c r="A53" i="22" l="1"/>
  <c r="B58" i="18"/>
  <c r="B40" i="18"/>
  <c r="B21" i="18"/>
  <c r="A58" i="12"/>
  <c r="F64" i="13"/>
  <c r="B18" i="12" l="1"/>
  <c r="B20" i="12" s="1"/>
  <c r="C18" i="12"/>
  <c r="D18" i="12"/>
  <c r="E18" i="12"/>
  <c r="E20" i="12" s="1"/>
  <c r="G18" i="12"/>
  <c r="H18" i="12"/>
  <c r="H20" i="12" s="1"/>
  <c r="J18" i="12"/>
  <c r="F38" i="6" l="1"/>
  <c r="F40" i="6"/>
  <c r="F11" i="14" l="1"/>
  <c r="F39" i="6" l="1"/>
  <c r="F37" i="6"/>
  <c r="A58" i="7" l="1"/>
  <c r="E36" i="6"/>
  <c r="E63" i="11" l="1"/>
  <c r="C45" i="10"/>
  <c r="D3" i="36" l="1"/>
  <c r="D2" i="45" s="1"/>
  <c r="D2" i="46" s="1"/>
  <c r="C3" i="36"/>
  <c r="C2" i="45" s="1"/>
  <c r="C2" i="46" s="1"/>
  <c r="F2" i="37"/>
  <c r="F3" i="23"/>
  <c r="C2" i="23"/>
  <c r="C1" i="37" s="1"/>
  <c r="C1" i="38" s="1"/>
  <c r="E16" i="22"/>
  <c r="A16" i="22"/>
  <c r="A13" i="22"/>
  <c r="A14" i="21"/>
  <c r="F6" i="21"/>
  <c r="E6" i="21"/>
  <c r="D6" i="21"/>
  <c r="B47" i="18"/>
  <c r="B28" i="18"/>
  <c r="B10" i="18"/>
  <c r="C31" i="16"/>
  <c r="E6" i="16"/>
  <c r="A64" i="13"/>
  <c r="B3" i="13"/>
  <c r="B5" i="11"/>
  <c r="C5" i="11" s="1"/>
  <c r="B4" i="11"/>
  <c r="G6" i="7"/>
  <c r="G4" i="8" s="1"/>
  <c r="G4" i="9" s="1"/>
  <c r="D7" i="7"/>
  <c r="E7" i="7" s="1"/>
  <c r="A57" i="6"/>
  <c r="B42" i="6"/>
  <c r="D5" i="8" l="1"/>
  <c r="C7" i="7"/>
  <c r="B7" i="7" s="1"/>
  <c r="B5" i="8" s="1"/>
  <c r="D4" i="46"/>
  <c r="C4" i="46"/>
  <c r="D3" i="46"/>
  <c r="C3" i="46"/>
  <c r="D4" i="45"/>
  <c r="C4" i="45"/>
  <c r="D3" i="45"/>
  <c r="C3" i="45"/>
  <c r="D4" i="36"/>
  <c r="D5" i="36"/>
  <c r="C5" i="36"/>
  <c r="C4" i="36"/>
  <c r="C6" i="13" l="1"/>
  <c r="B6" i="13"/>
  <c r="C5" i="13"/>
  <c r="B5" i="13"/>
  <c r="C5" i="8" l="1"/>
  <c r="C5" i="9" s="1"/>
  <c r="D5" i="9"/>
  <c r="B5" i="9"/>
  <c r="J23" i="8"/>
  <c r="E23" i="8"/>
  <c r="D23" i="8"/>
  <c r="C23" i="8"/>
  <c r="B23" i="8"/>
  <c r="K22" i="8"/>
  <c r="K21" i="8"/>
  <c r="I21" i="8"/>
  <c r="F21" i="8"/>
  <c r="F8" i="8"/>
  <c r="A2" i="8"/>
  <c r="A4" i="7"/>
  <c r="D36" i="6"/>
  <c r="D41" i="6"/>
  <c r="F39" i="9" l="1"/>
  <c r="F41"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D2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G20" i="12"/>
  <c r="J20" i="12"/>
  <c r="F10" i="12"/>
  <c r="K17" i="12"/>
  <c r="E12" i="9"/>
  <c r="C12" i="9"/>
  <c r="K7" i="9"/>
  <c r="I6" i="9"/>
  <c r="G19" i="8"/>
  <c r="F7" i="8"/>
  <c r="H19" i="8"/>
  <c r="J19" i="8"/>
  <c r="I12" i="7"/>
  <c r="E5" i="8"/>
  <c r="E5" i="9" s="1"/>
  <c r="I19" i="8" l="1"/>
  <c r="I20" i="12"/>
  <c r="K20" i="12"/>
  <c r="F40" i="9"/>
  <c r="M39" i="9" s="1"/>
  <c r="F20" i="12"/>
  <c r="K19" i="8"/>
  <c r="J12" i="9"/>
  <c r="G12" i="9"/>
  <c r="K12" i="7"/>
  <c r="I11" i="9"/>
  <c r="H12" i="9"/>
  <c r="F11" i="9"/>
  <c r="K11" i="9"/>
  <c r="D62" i="11"/>
</calcChain>
</file>

<file path=xl/sharedStrings.xml><?xml version="1.0" encoding="utf-8"?>
<sst xmlns="http://schemas.openxmlformats.org/spreadsheetml/2006/main" count="1593" uniqueCount="737">
  <si>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</si>
  <si>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</si>
  <si>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</si>
  <si>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</si>
  <si>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</si>
  <si>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</si>
  <si>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</si>
  <si>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</si>
  <si>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</si>
  <si>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</si>
  <si>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</si>
  <si>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</si>
  <si>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</si>
  <si>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</si>
  <si>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</si>
  <si>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</si>
  <si>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</si>
  <si>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</si>
  <si>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</si>
  <si>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</si>
  <si>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</si>
  <si>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</si>
  <si>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</si>
  <si>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</si>
  <si>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</si>
  <si>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</si>
  <si>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</si>
  <si>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</si>
  <si>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</si>
  <si>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</si>
  <si>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</si>
  <si>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</si>
  <si>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</si>
  <si>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</si>
  <si>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</si>
  <si>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</si>
  <si>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</si>
  <si>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</si>
  <si>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</si>
  <si>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</si>
  <si>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</si>
  <si>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</si>
  <si>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</si>
  <si>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</si>
  <si>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</si>
  <si>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</si>
  <si>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</si>
  <si>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</si>
  <si>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</si>
  <si>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</si>
  <si>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</si>
  <si>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</si>
  <si>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</si>
  <si>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</si>
  <si>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</si>
  <si>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</si>
  <si>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</si>
  <si>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</si>
  <si>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</si>
  <si>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</si>
  <si>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</si>
  <si>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</si>
  <si>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</si>
  <si>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</si>
  <si>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</si>
  <si>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</si>
  <si>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</si>
  <si>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</si>
  <si>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</si>
  <si>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</si>
  <si>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</si>
  <si>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</si>
  <si>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</si>
  <si>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</si>
  <si>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</si>
  <si>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</si>
  <si>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</si>
  <si>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</si>
  <si>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</si>
  <si>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</si>
  <si>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</si>
  <si>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</si>
  <si>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</si>
  <si>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</si>
  <si>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</si>
  <si>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</si>
  <si>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</si>
  <si>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</si>
  <si>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</si>
  <si>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</si>
  <si>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</si>
  <si>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</si>
  <si>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</si>
  <si>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</si>
  <si>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</si>
  <si>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</si>
  <si>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</si>
  <si>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</si>
  <si>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</si>
  <si>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</si>
  <si>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</si>
  <si>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</si>
  <si>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</si>
  <si>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</si>
  <si>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</si>
  <si>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</si>
  <si>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</si>
  <si>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</si>
  <si>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</si>
  <si>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</si>
  <si>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</si>
  <si>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</si>
  <si>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</si>
  <si>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</si>
  <si>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</si>
  <si>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</si>
  <si>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</si>
  <si>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</si>
  <si>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</si>
  <si>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</si>
  <si>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</si>
  <si>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</si>
  <si>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</si>
  <si>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</si>
  <si>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</si>
  <si>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</si>
  <si>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</si>
  <si>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</si>
  <si>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</si>
  <si>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</si>
  <si>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</si>
  <si>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</si>
  <si>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</si>
  <si>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</si>
  <si>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</si>
  <si>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</si>
  <si>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</si>
  <si>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</si>
  <si>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</si>
  <si>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</si>
  <si>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</si>
  <si>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</si>
  <si>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</si>
  <si>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</si>
  <si>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</si>
  <si>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</si>
  <si>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</si>
  <si>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</si>
  <si>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</si>
  <si>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</si>
  <si>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</si>
  <si>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</si>
  <si>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</si>
  <si>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</si>
  <si>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</si>
  <si>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</si>
  <si>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</si>
  <si>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</si>
  <si>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</si>
  <si>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</si>
  <si>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</si>
  <si>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</si>
  <si>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</si>
  <si>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</si>
  <si>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</si>
  <si>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</si>
  <si>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</si>
  <si>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</si>
  <si>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</si>
  <si>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</si>
  <si>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</si>
  <si>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</si>
  <si>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</si>
  <si>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</si>
  <si>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</si>
  <si>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</si>
  <si>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</si>
  <si>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</si>
  <si>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</si>
  <si>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</si>
  <si>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</si>
  <si>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</si>
  <si>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</si>
  <si>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</si>
  <si>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</si>
  <si>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</si>
  <si>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</si>
  <si>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</si>
  <si>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</si>
  <si>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</si>
  <si>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</si>
  <si>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</si>
  <si>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</si>
  <si>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</si>
  <si>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</si>
  <si>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</si>
  <si>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</si>
  <si>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</si>
  <si>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</si>
  <si>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</si>
  <si>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</si>
  <si>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</si>
  <si>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</si>
  <si>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</si>
  <si>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</si>
  <si>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</si>
  <si>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</si>
  <si>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</si>
  <si>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</si>
  <si>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</si>
  <si>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</si>
  <si>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</si>
  <si>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</si>
  <si>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</si>
  <si>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</si>
  <si>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</si>
  <si>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</si>
  <si>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</si>
  <si>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</si>
  <si>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</si>
  <si>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</si>
  <si>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</si>
  <si>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HIDROELÉCTRICA</t>
  </si>
  <si>
    <t>TERMOELÉCTRICA</t>
  </si>
  <si>
    <t>EÓLICA</t>
  </si>
  <si>
    <t>Tensión  
(kV)</t>
  </si>
  <si>
    <t>Operación Comercial</t>
  </si>
  <si>
    <t>Central Solar</t>
  </si>
  <si>
    <t>POTENCIA INSTALADA (MW)</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</si>
  <si>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</si>
  <si>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</si>
  <si>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</si>
  <si>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</si>
  <si>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</si>
  <si>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</si>
  <si>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</si>
  <si>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</si>
  <si>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</si>
  <si>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</si>
  <si>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</si>
  <si>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</si>
  <si>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</si>
  <si>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</si>
  <si>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</si>
  <si>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</si>
  <si>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</si>
  <si>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</si>
  <si>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</si>
  <si>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</si>
  <si>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</si>
  <si>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</si>
  <si>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</si>
  <si>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</si>
  <si>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</si>
  <si>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</si>
  <si>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</si>
  <si>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</si>
  <si>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</si>
  <si>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</si>
  <si>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</si>
  <si>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</si>
  <si>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</si>
  <si>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</si>
  <si>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</si>
  <si>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</si>
  <si>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</si>
  <si>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</si>
  <si>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</si>
  <si>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</si>
  <si>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</si>
  <si>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</si>
  <si>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</si>
  <si>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</si>
  <si>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</si>
  <si>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</si>
  <si>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</si>
  <si>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</si>
  <si>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</si>
  <si>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</si>
  <si>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</si>
  <si>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</si>
  <si>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</si>
  <si>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</si>
  <si>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</si>
  <si>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</si>
  <si>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</si>
  <si>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</si>
  <si>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</si>
  <si>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</si>
  <si>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</si>
  <si>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</si>
  <si>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</si>
  <si>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</si>
  <si>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</si>
  <si>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</si>
  <si>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</si>
  <si>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</si>
  <si>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</si>
  <si>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</si>
  <si>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</si>
  <si>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</si>
  <si>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</si>
  <si>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</si>
  <si>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</si>
  <si>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</si>
  <si>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</si>
  <si>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</si>
  <si>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</si>
  <si>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</si>
  <si>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</si>
  <si>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</si>
  <si>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</si>
  <si>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</si>
  <si>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</si>
  <si>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</si>
  <si>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</si>
  <si>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</si>
  <si>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</si>
  <si>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</si>
  <si>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YANAPAMPA Total</t>
  </si>
  <si>
    <t>C.H. MANTARO</t>
  </si>
  <si>
    <t>C.H. RESTITUCION</t>
  </si>
  <si>
    <t>C.T. TUMBES</t>
  </si>
  <si>
    <t>ELECTROPERU Total</t>
  </si>
  <si>
    <t>C.H. CHAGLLA</t>
  </si>
  <si>
    <t>P.C.H CHAGLLA</t>
  </si>
  <si>
    <t>EMGE HUALLAGA Total</t>
  </si>
  <si>
    <t>C.H. HUANZA</t>
  </si>
  <si>
    <t>EMGE HUANZA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</si>
  <si>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</si>
  <si>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</si>
  <si>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</si>
  <si>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</si>
  <si>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</si>
  <si>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</si>
  <si>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</si>
  <si>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</si>
  <si>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</si>
  <si>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</si>
  <si>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</si>
  <si>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</si>
  <si>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</si>
  <si>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</si>
  <si>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</si>
  <si>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</si>
  <si>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</si>
  <si>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</si>
  <si>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</si>
  <si>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</si>
  <si>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</si>
  <si>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</si>
  <si>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</si>
  <si>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</si>
  <si>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</si>
  <si>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</si>
  <si>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</si>
  <si>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</si>
  <si>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</si>
  <si>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</si>
  <si>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</si>
  <si>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</si>
  <si>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</si>
  <si>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</si>
  <si>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</si>
  <si>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</si>
  <si>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</si>
  <si>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</si>
  <si>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</si>
  <si>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</si>
  <si>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</si>
  <si>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</si>
  <si>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</si>
  <si>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</si>
  <si>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</si>
  <si>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</si>
  <si>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</si>
  <si>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</si>
  <si>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</si>
  <si>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</si>
  <si>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</si>
  <si>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</si>
  <si>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</si>
  <si>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</si>
  <si>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</si>
  <si>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</si>
  <si>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</si>
  <si>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</si>
  <si>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</si>
  <si>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</si>
  <si>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</si>
  <si>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</si>
  <si>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</si>
  <si>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</si>
  <si>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</si>
  <si>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</si>
  <si>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</si>
  <si>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</si>
  <si>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</si>
  <si>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</si>
  <si>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</si>
  <si>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</si>
  <si>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</si>
  <si>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</si>
  <si>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</si>
  <si>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</si>
  <si>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</si>
  <si>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</si>
  <si>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</si>
  <si>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</si>
  <si>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</si>
  <si>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</si>
  <si>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</si>
  <si>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</si>
  <si>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</si>
  <si>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</si>
  <si>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</si>
  <si>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</si>
  <si>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</si>
  <si>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</si>
  <si>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</si>
  <si>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</si>
  <si>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</si>
  <si>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</si>
  <si>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</si>
  <si>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</si>
  <si>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</si>
  <si>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</si>
  <si>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HIDRANDINA</t>
  </si>
  <si>
    <t>RED DE ENERGIA DEL PERU</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</si>
  <si>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</si>
  <si>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</si>
  <si>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</si>
  <si>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</si>
  <si>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</si>
  <si>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</si>
  <si>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</si>
  <si>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</si>
  <si>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</si>
  <si>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</si>
  <si>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</si>
  <si>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</si>
  <si>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</si>
  <si>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</si>
  <si>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</si>
  <si>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</si>
  <si>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</si>
  <si>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</si>
  <si>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</si>
  <si>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</si>
  <si>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</si>
  <si>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</si>
  <si>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</si>
  <si>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</si>
  <si>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</si>
  <si>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</si>
  <si>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</si>
  <si>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</si>
  <si>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</si>
  <si>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</si>
  <si>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</si>
  <si>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</si>
  <si>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</si>
  <si>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</si>
  <si>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</si>
  <si>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</si>
  <si>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</si>
  <si>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</si>
  <si>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</si>
  <si>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11:45</t>
  </si>
  <si>
    <t>11:30</t>
  </si>
  <si>
    <t>C.H. RENOVANDES H1</t>
  </si>
  <si>
    <t>G1</t>
  </si>
  <si>
    <t>Central Hidroeléctrica</t>
  </si>
  <si>
    <t>Gráfico N°24: Porcentaje de participación por tipo de causa en el número de fallas.</t>
  </si>
  <si>
    <t>Gráfico N°25: Comparación en el número de fallas por tipo de equipo.</t>
  </si>
  <si>
    <t xml:space="preserve">Potencia Efectiva  (MW) </t>
  </si>
  <si>
    <t>ENLACE CENTRO - SUR</t>
  </si>
  <si>
    <t>Central Eólica</t>
  </si>
  <si>
    <t>Máxima Demanda:</t>
  </si>
  <si>
    <t>KALLPA</t>
  </si>
  <si>
    <t>PETRAMAS</t>
  </si>
  <si>
    <t>12:00</t>
  </si>
  <si>
    <t>HYDRO PATAPO</t>
  </si>
  <si>
    <t>C.H. ÁNGEL II</t>
  </si>
  <si>
    <t>C.H. ÁNGEL III</t>
  </si>
  <si>
    <t>C.H. ÁNGEL I</t>
  </si>
  <si>
    <t>C.H. HER 1</t>
  </si>
  <si>
    <t>HYDRO PATAPO Total</t>
  </si>
  <si>
    <t>Lagunas Rajucolta (ORAZUL)</t>
  </si>
  <si>
    <t>Central a Biogás</t>
  </si>
  <si>
    <t>ANDEAN POWER</t>
  </si>
  <si>
    <t>ANDEAN POWER Total</t>
  </si>
  <si>
    <t>8. EVENTOS Y FALLAS QUE OCASIONARON INTERRUPCIÓN Y DISMINUCIÓN DE SUMINISTRO ELÉCTRICO</t>
  </si>
  <si>
    <t>Turbina Francis</t>
  </si>
  <si>
    <t>C.H. CARHUAC</t>
  </si>
  <si>
    <t>ELECTRO ZAÑA</t>
  </si>
  <si>
    <t>ELECTRO ZAÑA Total</t>
  </si>
  <si>
    <t>HIDROMARAÑON/ CELEPSA RENOVABLES Total</t>
  </si>
  <si>
    <t>C.H. Zaña</t>
  </si>
  <si>
    <t>TOTAL MWh</t>
  </si>
  <si>
    <t>Var (%)
2019/2018</t>
  </si>
  <si>
    <t>C.H. ZAÑA</t>
  </si>
  <si>
    <t>HIDROMARAÑON/ CELEPSA RENOVABLES</t>
  </si>
  <si>
    <t>Variación 2019/2018 (GWh)</t>
  </si>
  <si>
    <t>Variación 2019/2018 (MW)</t>
  </si>
  <si>
    <t>00:15</t>
  </si>
  <si>
    <t>2. MODIFICACION DE LA OFERTA DE GENERACIÓN ELÉCTRICA DEL SEIN EN EL 2019</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</si>
  <si>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</si>
  <si>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</si>
  <si>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</si>
  <si>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</si>
  <si>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</si>
  <si>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</si>
  <si>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</si>
  <si>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19:00</t>
  </si>
  <si>
    <t>TRANSFORMADOR 3D</t>
  </si>
  <si>
    <t>C.E. WAYRA I</t>
  </si>
  <si>
    <t>C.S. RUBI</t>
  </si>
  <si>
    <t>C.S. INTIPAMPA</t>
  </si>
  <si>
    <t>C.T. DOÑA CATALINA</t>
  </si>
  <si>
    <t>INLAND</t>
  </si>
  <si>
    <t>SAN JACINTO</t>
  </si>
  <si>
    <t>T62-161  T6-261</t>
  </si>
  <si>
    <t>MARCONA</t>
  </si>
  <si>
    <t>L-2051 L-2052  L-5034  L-5036</t>
  </si>
  <si>
    <t>C.H. CERRO DEL AGUILA</t>
  </si>
  <si>
    <t>C.T. OLLEROS</t>
  </si>
  <si>
    <t>C.H. SANTA TERESA</t>
  </si>
  <si>
    <t>INLAND Total</t>
  </si>
  <si>
    <t>SAN JACINTO Total</t>
  </si>
  <si>
    <t>Var. (2019/2018)</t>
  </si>
  <si>
    <t>2019 / 2018</t>
  </si>
  <si>
    <t>15.02.2019</t>
  </si>
  <si>
    <t>HYDROPATAPO</t>
  </si>
  <si>
    <t>15.03.2019</t>
  </si>
  <si>
    <t>Turbina Kaplan</t>
  </si>
  <si>
    <t>C.H. Patapo</t>
  </si>
  <si>
    <t>18:45</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</si>
  <si>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y C.T. San Jacinto.</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</si>
  <si>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y C.T. San Jacinto.</t>
  </si>
  <si>
    <t>SOLARES</t>
  </si>
  <si>
    <t>TERMOELÉCTRICAS</t>
  </si>
  <si>
    <t>(*) Se denomina RER a los Recursos Energéticos Renovables tales como biomasa, eólica, solar, geotérmica, mareomotriz e hidráulicas cuya capacidad instalada no sobrepasa de los 20 MW, según D.L. N° 1002, Se consideran RER a las centrales adjudicadas,  además de las centrales de bagazo no adjudicadas C.T. Maple y C.T. San Jacinto.</t>
  </si>
  <si>
    <t>4.2. Participación por Empresas Integrantes en la máxima potencia coincidente</t>
  </si>
  <si>
    <t>ENEL GENERACIÓN PERÚ</t>
  </si>
  <si>
    <t>30.03.2019</t>
  </si>
  <si>
    <t>C.H. Callahuanca</t>
  </si>
  <si>
    <t>G1 ; G2 ; G3</t>
  </si>
  <si>
    <t>Turbina Pelton</t>
  </si>
  <si>
    <t>5.2. EVOLUCIÓN DEL VOLUMEN DE LOS EMBALSES Y LAGUNAS</t>
  </si>
  <si>
    <t>5.1. VOLUMEN ÚTIL DE LOS EMBALSES Y LAGUNAS (Millones de m3)</t>
  </si>
  <si>
    <t>VARIACIÓN
%</t>
  </si>
  <si>
    <t>8.1. FALLAS POR TIPO DE EQUIPO Y CAUSA SEGÚN CLASIFICACIÓN CIER</t>
  </si>
  <si>
    <t>7.1. HORAS DE CONGESTIÓN POR ÁREA OPERATIVA</t>
  </si>
  <si>
    <t>2. MODIFICACIÓN DE LA OFERTA DE GENERACIÓN ELÉCTRICA DEL SEIN EN EL 2019</t>
  </si>
  <si>
    <t>EÓLICAS</t>
  </si>
  <si>
    <t>AGROINDUSTRIAS SAN JACINTO</t>
  </si>
  <si>
    <t>Turbina de Vapor</t>
  </si>
  <si>
    <t>C.T. San Jacinto</t>
  </si>
  <si>
    <t>TV1</t>
  </si>
  <si>
    <t>13.04.2019</t>
  </si>
  <si>
    <t>- Los valores de potencia efectiva de las centrales corresponden a la declaración de sus propietarios en los ingresos de operación comercial.</t>
  </si>
  <si>
    <t>RIO BAÑOS</t>
  </si>
  <si>
    <t>RIO BAÑOS Total</t>
  </si>
  <si>
    <t>20:30</t>
  </si>
  <si>
    <t>CHAVARRIA 220</t>
  </si>
  <si>
    <t>(1) Inicio de operación comercial de la unidad G1 de la C.H. Zaña, propiedad de ELECTROZAÑA S.A.C. a las 00:00 horas del 15.02.2019</t>
  </si>
  <si>
    <t>(2) Inicio de operación comercial de la C.H. Patapo, propiedad de HYDROPATAPO. a las 00:00 horas del 15.03.2019</t>
  </si>
  <si>
    <t>(3)  Inicio de  operación comercial de la C.H. Callahuanca, propiedad de la empresa ENEL GENERACIÓN PERÚ.a las 00:00 horas del 30.03.2019</t>
  </si>
  <si>
    <t>(4) Inicio de  operación comercial de la C.T. San Jacinto, propiedad de la empresa AGROINDUSTRIAS SAN JACINTO S.A.A. a las 00:00 horas del 13.04.2019</t>
  </si>
  <si>
    <t>2.1.  INICIO DE OPERACIÓN COMERCIAL EN EL SEIN</t>
  </si>
  <si>
    <t>2.1. Inicio de Operación Comercial en el SEIN</t>
  </si>
  <si>
    <t>19:30</t>
  </si>
  <si>
    <t>19:45</t>
  </si>
  <si>
    <t>TRANSFORMADOR 2D</t>
  </si>
  <si>
    <t>JUNIO 2017</t>
  </si>
  <si>
    <t>C.T. ILO 1</t>
  </si>
  <si>
    <t>EMPRESA DE GENERACIÓN ELÉCTRICA RIO BAÑOS</t>
  </si>
  <si>
    <t>C.H. Rucuy</t>
  </si>
  <si>
    <t>01.06.2019</t>
  </si>
  <si>
    <t xml:space="preserve">G1 ; G2 </t>
  </si>
  <si>
    <t>SINDICATO ENERGETICO S.A.</t>
  </si>
  <si>
    <t>C.H. Chancay</t>
  </si>
  <si>
    <t>04.06.2019</t>
  </si>
  <si>
    <t>HIDROELÉCTRICAS</t>
  </si>
  <si>
    <t>(6) Inicio de  operación comercial de la  C.H. Chancay propiedad de SINDICATO ENERGÉTICO S.A. (SINERSA). a las 00:00 horas del 04.06.2019</t>
  </si>
  <si>
    <t>(5) Inicio de  operación comercial de la C.H. Rucuy propiedad de EMPRESA DE GENERACION ELECTRICA RIO BAÑOS S.A.C. a las 00:00 horas del 01.06.2019</t>
  </si>
  <si>
    <t>19:15</t>
  </si>
  <si>
    <t>20:15</t>
  </si>
  <si>
    <t>SAN JUAN - SANTA ROSA N.</t>
  </si>
  <si>
    <t>L-2011</t>
  </si>
  <si>
    <t>CERRO DEL AGUILA</t>
  </si>
  <si>
    <t>CERRO DEL AGUILA Total</t>
  </si>
  <si>
    <t>ECELIM</t>
  </si>
  <si>
    <t>ECELIM Total</t>
  </si>
  <si>
    <t>[2] La empresa ELÉCTRICA SANTA ROSA S.A.C. cambió su razón social al nombre ATRIA ENERGÍA S.A.C. con fecha 26 junio 2019.</t>
  </si>
  <si>
    <t>(8) La empresa ELÉCTRICA SANTA ROSA S.A.C. cambió su razón social al nombre ATRIA ENERGÍA S.A.C. con fecha 26 junio 2019.</t>
  </si>
  <si>
    <t/>
  </si>
  <si>
    <t>[1] Fusión por absorción por parte de Empresa de Generación Eléctrica Junín S.A.C. (sociedad absorbente) hacia Hidroeléctrica Santa Cruz S.A.C. (Sociedad Absorbida), Vigente desde las 00:00 horas del 01/06/2019.</t>
  </si>
  <si>
    <t>(7) Fusión por absorción por parte de Empresa de Generación Eléctrica Junín S.A.C. (sociedad absorbente) hacia Hidroeléctrica Santa Cruz S.A.C. (Sociedad Absorbida), Vigente desde las 00:00 horas del 01/06/2019.</t>
  </si>
  <si>
    <t>ELECTRICA SANTA ROSA / ATRIA Total</t>
  </si>
  <si>
    <t>MINERA ARUNTANI</t>
  </si>
  <si>
    <t>20:00</t>
  </si>
  <si>
    <t>CELDA</t>
  </si>
  <si>
    <t>L-2091</t>
  </si>
  <si>
    <t>CHILCA - DESIERTO</t>
  </si>
  <si>
    <t>ELECTRICA SANTA ROSA / ATRIA</t>
  </si>
  <si>
    <t>AGOSTO 2017</t>
  </si>
  <si>
    <t>TOTAL (CONSIDERANDO LA IMPORTACIÓN)</t>
  </si>
  <si>
    <t>1.1. Producción de energía eléctrica en setiembre 2019 en comparación al mismo mes del año anterior</t>
  </si>
  <si>
    <t>setiembre</t>
  </si>
  <si>
    <t>REQUE - GUADALUPE - LINEA L-2236</t>
  </si>
  <si>
    <t>Desconectaron las líneas L-2236 y L-2237 (Guadalupe-Reque) de 220 kV por falla bifásica, fases S y T en ambas líneas, originado por quema de caña, según lo informado por parte de REP, titular de las líneas. Se redujeron las cargas de los clientes libres Cementos Norte Pacasmayo en 8 MW, Yanacocha en 12 MW y Siderperu en 4 MW. A las 11:48 h, Cementos Norte Pacasmayo informó su reducción de carga y se coordinó recuperar. A las 11:50 h, Yanacocha informó su reducción de carga y se coordinó recuperar. A las 11:57 h, Siderperu informó su reducción de carga y se coordinó recuperar. Después de que REP declarará disponible la línea L-2236. A las 12:10 h, se energizó la línea L-2237 desde la SE Guadalupe pero vuelve a abrir cuando se intentó cerrar en extremo de la SE Reque. CNP redujo su carga en 5.33 MW. A las 12:13 h, Cementos Norte Pacasmayo informó su reducción de carga y se coordinó recuperar. A las 12:52 h, REP declaró disponible la línea L-2236. A las 12:54 h, se energizó la línea L-2236 desde la SE Reque. A las 12:55 h, se cerro en la SE Guadalupe.</t>
  </si>
  <si>
    <t>NEPEÑA - CASMA - LINEA L-1113</t>
  </si>
  <si>
    <t>Desconectó la linea L-1113 (Nepeña - casma) de 138 kV, por fallla a tierra en fase "R" a una distancia de 29.3 km de la S.E. Nepeña, según informe de Hidrandina propietario de la línea. En consecuencia se interrumpió el suministro de Casma en 6.38 MW. La linea quedó indisponible para inspección. A las 15:48 h, se conectó la línea L-1113 y se inició la recuperación del suministro interrumpido.</t>
  </si>
  <si>
    <t>CONCESIONARIA LINEA DE TRANSMISION CCNCM S.A.C.</t>
  </si>
  <si>
    <t>Desconectó el autotransformador AT-4201 de 220/138/22.9 kV de la S.E. Belaunde Terry, por falla en la línea L-1018 (Belaunde Terry – Tarapoto) de 138 kV, de acuerdo con lo informado por LT CCNCM titular de los equipos. Asimismo, desconectó la línea L-1017 (Bellavista – Tarapoto) de 138 kV en la S.E. Bellavista, por activación de su protección de distancia (21), en Zona 1. Como consecuencia se interrumpió el suministro de las subestaciones Tarapoto y Moyobamba con un total de 36,60 MW. A las 13:47 h, se conectó el autotransformador AT-4201. A las 13:49 h, se conectó la línea L-1049 y se inició la normalización del suministro interrumpido en la S.E. Moyobamba. A las 13:52 h, se conectó la línea L-1018 y se inició la normalización del suministro de la S.E. Tarapoto. A las 13:57 h, se conectó la línea L-1017.</t>
  </si>
  <si>
    <t>MINERA ARES</t>
  </si>
  <si>
    <t>CALLALLI - CAYLLOMA - LINEA L-6015</t>
  </si>
  <si>
    <t>Desconectó la línea L-6015 (Callalli - Caylloma) de 66 kV por falla monofásica a tierra en la fase “S”, cuya causa no fue informada por MINERA ARES, titular de la línea. Como consecuencia se interrumpió el suministro de la S.E. Caylloma con un total de 1,00 MW. A las 15:03 h, se conectó la línea L-6015 y inició la normalización del suministro interrumpido.</t>
  </si>
  <si>
    <t>PUNO - TUCARI - LINEA L-6007</t>
  </si>
  <si>
    <t>Desconectó la línea L-6007 (Puno - Tucari) de 60 kV, cuya causa no fue informada por MINERA ARUNTANI, titular de la línea. El sistema de protección señalizó la activación de la función de distancia (21). Como consecuencia se interrumpió el suministro de la S.E. Tucari con un total de 4,27 MW. La línea quedó fuera de servició para su inspección.</t>
  </si>
  <si>
    <t>ELECTRO PUNO</t>
  </si>
  <si>
    <t>PUNO - POMATA - ILAVE - LINEA L-6027</t>
  </si>
  <si>
    <t>Desconectó la línea L-6027 (Puno – Pomata/Ilave) de 60 kV, cuya causa no fue informada por ELECTRO PUNO, titular de la línea. El sistema de protección señalizó la activación de la función de sobre corriente de fases (50/51). Como consecuencia, se interrumpió como consecuencia se interrumpió el suministro de las subestaciones Pomata e Ilave con un total de 7,11 MW. A las 19:37 h, se conectó la línea y se inició la normalización del suministro interrumpido.</t>
  </si>
  <si>
    <t>Equipo : S.E. COMBAPATA - CELDA CL0630</t>
  </si>
  <si>
    <t>Desconectó la línea L-0630 (Combapata - Sicuani) de 66 kV por falla, cuya causa no fue informado por el CC-ESE, titular de la línea. como consecuencia se interrumpieron 2.5 MW de los suministros de S.E. Sicuani. A las 09:53 h, se energizó la línea L-0630 y se procedió a restablecer los suministros interrumpidos.</t>
  </si>
  <si>
    <t>GALLITO CIEGO - TEMBLADERA - LINEA L-6042</t>
  </si>
  <si>
    <t>Desconectó la línea L-6042 (Gallito Ciego – Tembladera) de 60 kV por falla bifásica, fases “B” y “C” por fuertes vientos en la zona de acuerdo con lo informado por CC-HID, titular de la línea. Como consecuencia se interrumpieron 2.2 MW de los suministros de la SS.EE. Chilete y Tembladera. A las 10:17 h, se energizó la línea L-6042 y se inició las maniobras para restablecer los suministros interrumpidos.</t>
  </si>
  <si>
    <t>SOUTHERN PERU CC</t>
  </si>
  <si>
    <t>Desconectó el transformador PT1 de 120 MVA, 138/34.5 kV de la S.E. Plaza Toquepala por falla y cuya causa se investiga, de acuerdo con lo informado por la empresa Southern Perú, titular del transformador. Como consecuencia desconectó el transformador paralelo PT2 interrumpiéndose 64.9 MW en la S.E. Toquepala. A las 14:14 h, se conectó el transformador PT1 y el transformador PT2 quedó indisponible por inspección.</t>
  </si>
  <si>
    <t>AZÁNGARO - PUTINA - LINEA L-6024</t>
  </si>
  <si>
    <t>Desconectó la línea L-6024 (Azángaro - Putina) de 60 kV, por falla. De acuerdo con lo informado por ELECTROPUNO, titular de la línea, la falla se produjo por descargas atmosféricas. El sistema de protección señalizó la activación de la función diferencial de línea (87). Como consecuencia se interrumpió el suministro de las subestaciones Ananea y Huancané con un total de 9,26 MW. A las 13:33 h, se conectó la línea y se inició la normalización del suministro interrumpido.</t>
  </si>
  <si>
    <t>Equipo : S.E. HUÁNUCO - TRAFO3D T26-11</t>
  </si>
  <si>
    <t>Desconectaron las líneas L-1121/L-1142 (Amarilis - Piedra Blanca -Tingo María) de 138 kV, en las subestaciones Amarilis y Tingo María, de acuerdo a lo informado por REP, titular de la línea, la desconexión se produjo por pérdida de aislamiento. Simultáneamente desconectaron los transformadores T-26 y T-57 de la S.E. Huánuco y el transformador T100 de la S.E. Piedra Blanca interrumpiendo a la P.C.H. de Chaglla cuando generaba 6,00 MW. Como consecuencia se interrumpió el suministro de la S.E. Huánuco con 16,00 MW. A las 14:16 h, se conectó el transformador T26 y se inició la normalización del suministro interrumpido. A las 14:16 h, se conectó el transformador T26 y a las 14:18 h se conectó el transformador T57. A las 16:53 h, se conectaron las líneas L-1121 y L-1142.</t>
  </si>
  <si>
    <t>ELECTRO DUNAS</t>
  </si>
  <si>
    <t>VILLACURI - HUARANGO - LINEA L-6507</t>
  </si>
  <si>
    <t>Desconectó la línea L-6507 (Villacuri - Huarango) de 60 kV, cuya causa no fue informada por ELECTRODUNAS, titular de la línea. Como consecuencia, se interrumpió el suministro de la S.E. Huarango con un total de 12,76 MW. A las 09:50 h, se conectó la línea y se inició la normalización del suministro interrumpido.</t>
  </si>
  <si>
    <t>CAMPO ARMIÑO - PACHACHACA - LINEA L-2219</t>
  </si>
  <si>
    <t>Desconectó la línea L-2219 (Pachachaca - Campo Armiño) de 220 kV por falla bifásica entre las fases “R” y “S”, cuya causa no fue informada por REP, titular de la línea. El sistema de protección ubicó la falla a una distancia de 195,0 km de la S.E. Pachachaca. Como consecuencia el usuario libre Minera Las Bambas redujo su carga en un total de 62,76 MW. A las 16:42 h, el CCO-COES coordinó con el CC-BAM normalizar el total de sus suministros reducidos. A las 17:44 h, se conectó la línea.</t>
  </si>
  <si>
    <t>EMPRESA DE GENERACION HUALLAGA</t>
  </si>
  <si>
    <t>CHAGLLA - PARAGSHA - LINEA L-2150</t>
  </si>
  <si>
    <t>Se produjo recierre exitoso en las líneas L-2150/L-2151 (Paragsha 2 - Chaglla) de 220 kV por falla monofásica a tierra en la fase "S", cuya causa no fue informad por EMPRESA DE GENERACIÓN HUALLAGA, titular de las líneas. El sistema de protección señalizó la activación de la función diferencial de línea(87). Simultáneamente, desconectó el transformador PT-01 de 220/50/10 kV de la S.E. Francoise cuya causa no fue informada por ATN 1, titular del equipo. Como consecuencia se interrumpió el suministro de las subestaciones Huarón, Animón, Alpamarca y Francoise con un total de 26,89 MW. A las 17:44 h, se conectó el transformador y se inició la normalización del suministro interrumpido.</t>
  </si>
  <si>
    <t>INDEPENDENCIA - PARACAS - LINEA L-6606</t>
  </si>
  <si>
    <t>Desconectó la línea L-6606 (Independencia - Paracas) de 60 kV, por falla bifásica entre las fases “S” y “T” cuya causa no fue informada por ELECTRO DUNAS, titular de la línea. El sistema de protección señalizó la activación de la función de distancia (21). Como consecuencia se interrumpió el suministro de subestaciones Paracas y Funsur con un total de 7,61 MW. A las 05:54 h, se conectó la línea y se inició la normalización del suministro interrumpido.</t>
  </si>
  <si>
    <t>LUZ DEL SUR</t>
  </si>
  <si>
    <t>CARAPONGO - SAN MIGUEL - LINEA L-2127</t>
  </si>
  <si>
    <t>Desconectó la barra de 220 kV de la S.E. San Miguel, cuya causa no fue informada por LUZ DEL SUR. El sistema de protección señalizó la activación de la función diferencial de barras (87B). Como consecuencia desconectaron las líneas L-2127/L-2128 (Carapongo - San Miguel) de 220 kV y los transformadores TRA-2 y TRA-3 de la subestación antes mencionada y debido a ello, se interrumpió el suministro de la S.E. San Miguel con un total de 32,12 MW. A las 08:59 h, se inició la normalización del suministro interrumpido mediante el traslado de carga. A las 16:44 h y 16:47 h, se conectaron las líneas L-2127 y L-2128, respectivamente. 16:53 y 18:43 h, se conectaron los transformadores TRA-2 y TRA-3, respectivamente.</t>
  </si>
  <si>
    <t>Desconectó la línea L-6606 (Independencia - Paracas) de 60 kV por falla monofásica a tierra en la fase “S”, cuya causa no fue informada por ELECTRO DUNAS, titular de la línea. El sistema de protección señalizó la activación de la función de distancia (21). Como consecuencia se interrumpió el suministro de las subestaciones Paracas y Funsur con un total de 4,90 MW. A las 02:45 h, se conectó la línea y se inició la normalización del suministro interrumpido.</t>
  </si>
  <si>
    <t>Desconectó la línea L-6606 (Independencia - Paracas) de 60 kV, cuya causa no fue informada por ELECTRO DUNAS, titular de la línea. El sistema de protección señalizó la activación de la función de distancia (21). Como consecuencia se interrumpió el suministro de las subestaciones Paracas y Funsur con un total de 4,00 MW. A las 04:44 h, se conectó la línea y se inició la normalización del suministro interrumpido.</t>
  </si>
  <si>
    <t>TRUJILLO NORTE - SANTIAGO DE CAO - LINEA L-1118</t>
  </si>
  <si>
    <t>Desconectó la línea L-1118 (Trujillo Norte - Santiago de Cao) de 138 kV por falla monofásica a tierra en la fase “T”, cuya causa no fue informada por HIDRANDINA, titular de la línea. Como consecuencia se interrumpió el suministro de la S.E. Santiago de Cao con un total de 9,68 MW. A las 07:39 h, se conectó la línea y se inició la normalización del suministro interrumpido.</t>
  </si>
  <si>
    <t>Desconectaron las líneas L-2150 y L-2151 (Paragsha 2 - Chaglla) de 220 kV, por falla. De acuerdo con lo informado por EMPRESA DE GENERACIÓN HUALLAGA, titular de la línea, la falla se produjo por descargas atmosféricas. Como consecuencia desconectó el grupo G1 de la C.H. Chaglla y el usuario libre Minera Antamina informó de reducción de suministros en sus instalaciones. A las 16:50 h, el CCO-COES coordinó con el CC-CMA normalizar el total de sus suministros reducidos. A las 16:58 h, se conectó la línea L-2150. A las 17:00 h, el grupo G1 con el SEIN. A las 17:01 h, se conectó la línea L-2151.</t>
  </si>
  <si>
    <t>ELECTRO ORIENTE</t>
  </si>
  <si>
    <t>JUANJUI - BELLAVISTA - LINEA L-1019</t>
  </si>
  <si>
    <t>Desconectaron las celdas de las líneas L-1017 (Bellavista – Tarapoto) y L-1019 (Juanjui – Bellavista) de 138 kV, en las subestaciones Bellavista y Juanjui, respectivamente, cuya causa no fue informada por ELECTRO ORIENTE, titular de los equipos. Como consecuencia se interrumpió el suministro de la S.E. Bellavista con un total de 7,46 MW. A las 09:18 h, se conectó la línea L-1019 y se inició la normalización del suministro interrumpido. A las 09:34 h, se conectó la línea L-1017.</t>
  </si>
  <si>
    <t>ELECTRO CENTRO</t>
  </si>
  <si>
    <t>COBRIZA I - PAMPAS - LINEA L-6066</t>
  </si>
  <si>
    <t>Desconectó la línea L-6066 (Cobriza I - Pampas) de 69 kV, por falla. De acuerdo con lo informado por ELECTROCENTRO, titular de la línea, la falla se produjo por descargas atmosféricas. Como consecuencia se interrumpió el suministro de la S.E. Pampas con un total de 0,70 MW. A las 04:41 h, se conectó la línea y se inició la normalización del suministro interrumpido.</t>
  </si>
  <si>
    <t>ELECTRO SUR ESTE</t>
  </si>
  <si>
    <t>COMBAPATA - SICUANI - LINEA L-6001</t>
  </si>
  <si>
    <t>Desconectó la línea L-6001 (Combapata - Sicuani) de 60 kV, por falla monofásica a tierra en la fase "T", cuya causa no fue informada por ELECTRO SUR ESTE, titular de la línea. El sistema de protección señalizó la activación de la función de distancia (21). Como consecuencia se interrumpió el suministro de la S.E. Sicuani con un total de 0,52 MW. A las 18:54 h, se conectó la línea y se inició la normalización del suministro interrumpido.</t>
  </si>
  <si>
    <t>Equipo : S.E. COMBAPATA - BARRA BARRA66KV</t>
  </si>
  <si>
    <t>Desconectó la barra de 66 kV de la S.E. Combapata por disparo del interruptor IN-6200 ocasionado por sobrecarga del devanado 66 kV del transformador T46-162. De acuerdo a lo informado por REP, titular de los equipos, la sobrecarga se presentó durante las maniobras de toma de carga de la S.E. Sicuani a través de la línea L-6001 de propiedad de ELECTROSURESTE, que había desconectado luego de una falla. Cabe resaltar que esta sobrecarga se produjo debido a que las CC.HH. Sicuani y Hercca se encontraban fuera de servicio durante las maniobras. Como consecuencia, se interrumpió el suministro de la S.E. Sicuani con un total de 3,50 MW y S.E. Llusco con un total de 5,65 MW. A las 19:00 h se energizó la barra y se inició la normalización de los suministros interrumpidos.</t>
  </si>
  <si>
    <t>Desconectó la línea L-6606 (Independencia - Pisco) de 60 kV, por falla monofásica a tierra en la fase “R”. De acuerdo con lo informado por ELECTRO DUNAS, titular de la línea, la falla se produjo por aislador dañado en la estructura N° 137. El sistema de protección señalizó la activación de la función de distancia (21) y ubicó la falla a 25,9 km de la S.E. Independencia. Como consecuencia se interrumpió el suministro de las subestaciones Paracas y Funsur con un total de 7,68 MW. A las 08:08 h, se conectó la línea y se inició la normalización del suministro interrumpido.</t>
  </si>
  <si>
    <t>ELECTRO NOR OESTE</t>
  </si>
  <si>
    <t>PIURA OESTE - LA UNIÓN - LINEA L-6658-A</t>
  </si>
  <si>
    <t>Desconectó la línea L-6658 (Piura Oeste – la Unión) de 60 kV por falla bifásica entre las fases “R” y “T”, cuya causa no fue informada por ENOSA, titular de la línea. El sistema de protección señalizó la activación de la función de distancia (21) y ubicó la falla a 23,8 km de la S.E. Piura Oeste. Como consecuencia se interrumpió el suministro de La Unión con un total de 11,53 MW. A las 19:04 h, se conectó la línea y se inició la normalización del suministro interrumpido.</t>
  </si>
  <si>
    <t>Desconectó la línea L-6001 (Combapata - Sicuani) de 60 kV, por falla bifásica entre las fases “R” y “S”, cuya causa no fue informada por ELECTRO SUR ESTE, titular de la línea. El sistema de protección señalizó la activación de la función de sobre corriente (50/51). Como consecuencia se interrumpió el suministro de la S.E. Sicuani con un total de 2,30 MW. A las 12:18 h, se conectó la línea y se inició la normalización del suministro interrumpido.</t>
  </si>
  <si>
    <t>ZORRITOS - TUMBES - LINEA L-6665A</t>
  </si>
  <si>
    <t>Desconectó la línea L-6665 (Zorritos - Tumbes) de 60 kV, cuya causa no fue informada por ENOSA, titular de la línea. El sistema de protección señalizó la activación de la función de sobre corriente direccional a tierra (67N). Como consecuencia se interrumpió el suministro de la S.E. Tumbes con un total de 22,80 MW. A las 14:23 h, se conectó la línea y se inició la normalización del suministro interrumpido.</t>
  </si>
  <si>
    <t>Abrieron los interruptores IN-6046 e IN-6136 de los transformadores T8-261 y T19-261 de la S.E. Huayucachi, respectivamente. De acuerdo a lo informado por ELECTROCENTRO se produjo falla en su línea L-6632 (Huayucachi - Huancayo Este) de 60 kV por caída de árbol, el cual no fue despejada debido a que el interruptor asociado no abrió ante la orden de disparo del sistema de protección de la linea. Como consecuencia se interrumpió el suministro de la S.E. Huayucachi con un total de 20,80 MW y desconectaron las CC.HH. Runatullo II y Runatullo III cuando generaban un total de 6,70 MW. a las 11:58 h, se energizó la barra y se inició la normalización del suministro interrumpido.</t>
  </si>
  <si>
    <t>Desconectó el transformador T93-261 de la S.E. Chiclayo Oeste, cuya causa no fue informada por REP, titular del equipo. El sistema de protección señalizó la activación de la función diferencial del transformador (87T). Cabe resaltar que la desconexión se produjo al momento de energizar el transformador T14-260, el cual se encontraba fuera de servicio por mantenimiento programado. Como consecuencia desconectó la celda de 60 kV del transformador T16-260, por sobrecarga y con ello se interrumpió el total del suministro en la S.E. Chiclayo Oeste con un total de 131,16 MW. Asimismo, desconectó la C.H. Zaña cuando generaba 4,10 MW. A las 17:46 h y 17:47 h, se conectaron los transformadores T16-260 y T93-261, respectivamente, y se inició la normalización del suministro interrumpido. A las 19:32 h, se conectó el transformador T14-260.</t>
  </si>
  <si>
    <t>TRANSMANTARO</t>
  </si>
  <si>
    <t>LA NIÑA - BAYÓVAR - LINEA L-1137</t>
  </si>
  <si>
    <t>Desconectó la línea L-1137 (La Niña - Bayóvar) de 138 kV, por falla monofásica a tierra en la fase “T” cuya causa no fue informada por TRANSMANTARO, titular de la línea. El sistema de protección señalizó la activación de la función de distancia (21) y ubicó la falla a 39,8 km de la S.E. La Niña. Como consecuencia, se interrumpió el suministro de la S.E. Bayóvar con un total de 12,12 MW. A las 21:19 h, se conectó la línea y se inició la normalización del suministro interrumpido.</t>
  </si>
  <si>
    <t>01/09/2019</t>
  </si>
  <si>
    <t>23:15</t>
  </si>
  <si>
    <t>02/09/2019</t>
  </si>
  <si>
    <t>03/09/2019</t>
  </si>
  <si>
    <t>04/09/2019</t>
  </si>
  <si>
    <t>05/09/2019</t>
  </si>
  <si>
    <t>06/09/2019</t>
  </si>
  <si>
    <t>07/09/2019</t>
  </si>
  <si>
    <t>08/09/2019</t>
  </si>
  <si>
    <t>09/09/2019</t>
  </si>
  <si>
    <t>10/09/2019</t>
  </si>
  <si>
    <t>11/09/2019</t>
  </si>
  <si>
    <t>12/09/2019</t>
  </si>
  <si>
    <t>13/09/2019</t>
  </si>
  <si>
    <t>14/09/2019</t>
  </si>
  <si>
    <t>11:15</t>
  </si>
  <si>
    <t>15/09/2019</t>
  </si>
  <si>
    <t>16/09/2019</t>
  </si>
  <si>
    <t>17/09/2019</t>
  </si>
  <si>
    <t>18/09/2019</t>
  </si>
  <si>
    <t>19/09/2019</t>
  </si>
  <si>
    <t>20/09/2019</t>
  </si>
  <si>
    <t>21/09/2019</t>
  </si>
  <si>
    <t>22/09/2019</t>
  </si>
  <si>
    <t>23/09/2019</t>
  </si>
  <si>
    <t>24/09/2019</t>
  </si>
  <si>
    <t>25/09/2019</t>
  </si>
  <si>
    <t>26/09/2019</t>
  </si>
  <si>
    <t>27/09/2019</t>
  </si>
  <si>
    <t>28/09/2019</t>
  </si>
  <si>
    <t>29/09/2019</t>
  </si>
  <si>
    <t>30/09/2019</t>
  </si>
  <si>
    <t>16:30</t>
  </si>
  <si>
    <t>T-30  T3-261  T4-261</t>
  </si>
  <si>
    <t>INDEPENDENCIA</t>
  </si>
  <si>
    <t>NORTE</t>
  </si>
  <si>
    <t>L-2213 L-2279</t>
  </si>
  <si>
    <t>HUACHO - PARAMONGA NUEVA</t>
  </si>
  <si>
    <t>S.E. BELAUNDE TERRY - TRAFO3D AT-4201</t>
  </si>
  <si>
    <t>PLAZA TOQUEPALA - TRAFO3D PT1</t>
  </si>
  <si>
    <t>HUAYUCACHI - BARRA BARRA60</t>
  </si>
  <si>
    <t>S.E. CHICLAYO OESTE - TRAFO3D T93-261</t>
  </si>
  <si>
    <t>VOLUMEN ÚTIL
30-09-2019</t>
  </si>
  <si>
    <t>VOLUMEN ÚTIL
30-09-2018</t>
  </si>
  <si>
    <t>EMGE JUNÍN / SANTA CRUZ</t>
  </si>
  <si>
    <t>EMGE JUNÍN / SANTA CRUZ Total</t>
  </si>
  <si>
    <t>EMGE JUNÍN / SANTA CRUZ (1)</t>
  </si>
  <si>
    <t>ELECTRICA SANTA ROSA / ATRIA (2)</t>
  </si>
  <si>
    <t>C.T. TAPARACHI</t>
  </si>
  <si>
    <t xml:space="preserve">El total de la producción de energía eléctrica de la empresas generadoras integrantes del COES en el mes de setiembre 2019 fue de 4 269,94  GWh, lo que representa un incremento de 126,58 GWh (3,06%) en comparación con el año 2018.		</t>
  </si>
  <si>
    <t>La producción de electricidad con centrales hidroeléctricas durante el mes de setiembre 2019 fue de 1 817,65 GWh (9,73% mayor al registrado durante setiembre del año 2018).</t>
  </si>
  <si>
    <t>La producción de electricidad con centrales termoeléctricas durante el mes de setiembre 2019 fue de 2 237,36 GWh, 1,59% menor al registrado durante setiembre del año 2018. La participación del gas natural de Camisea fue de 49,09%, mientras que las del gas que proviene de los yacimientos de Aguaytía y Malacas fue del 2,67%, la producción con diesel, residual, carbón, biogás y bagazo tuvieron una intervención del 0,05%, 0,00%, 0,12%, 0,13%, 0,34% respectivamente.</t>
  </si>
  <si>
    <t>La producción de energía eléctrica con centrales eólicas fue de 141,62 GWh y con centrales solares fue de 71,75 GWh, los cuales tuvieron una participación de 3,46% y 1,57% respectivamente.</t>
  </si>
  <si>
    <t>C.H. CALLAHUANCA (3)</t>
  </si>
  <si>
    <t>C.H. ZAÑA (1)</t>
  </si>
  <si>
    <t>C.H. PATAPO (2)</t>
  </si>
  <si>
    <t>C.T. SAN JACINTO (4)</t>
  </si>
  <si>
    <t>C.H. CHANCAY (6)</t>
  </si>
  <si>
    <t>C.H. RUCUY (5)</t>
  </si>
  <si>
    <t>EMGE JUNÍN / SANTA CRUZ (7)</t>
  </si>
  <si>
    <t>ELECTRICA SANTA ROSA / ATRIA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</si>
</sst>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sz val="5"/>
      <color theme="0" tint="-0.34998626667073579"/>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sz val="8"/>
      <name val="Calibri"/>
      <family val="2"/>
    </font>
    <font>
      <b/>
      <sz val="5"/>
      <color theme="1"/>
      <name val="Arial"/>
      <family val="2"/>
    </font>
    <font>
      <sz val="5"/>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hair">
        <color theme="4"/>
      </left>
      <right style="hair">
        <color theme="4"/>
      </right>
      <top style="thin">
        <color theme="0" tint="-0.34998626667073579"/>
      </top>
      <bottom style="hair">
        <color theme="4"/>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4"/>
      </left>
      <right style="hair">
        <color theme="4"/>
      </right>
      <top style="hair">
        <color theme="4"/>
      </top>
      <bottom style="thin">
        <color theme="0" tint="-0.34998626667073579"/>
      </bottom>
      <diagonal/>
    </border>
    <border>
      <left style="hair">
        <color theme="4"/>
      </left>
      <right style="hair">
        <color theme="4"/>
      </right>
      <top style="thin">
        <color theme="0" tint="-0.34998626667073579"/>
      </top>
      <bottom style="thin">
        <color theme="0" tint="-0.34998626667073579"/>
      </bottom>
      <diagonal/>
    </border>
    <border>
      <left style="hair">
        <color theme="4"/>
      </left>
      <right style="thin">
        <color theme="0" tint="-0.34998626667073579"/>
      </right>
      <top style="thin">
        <color theme="0" tint="-0.34998626667073579"/>
      </top>
      <bottom style="thin">
        <color theme="0" tint="-0.34998626667073579"/>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hair">
        <color theme="4"/>
      </right>
      <top style="thin">
        <color theme="0" tint="-0.34998626667073579"/>
      </top>
      <bottom/>
      <diagonal/>
    </border>
    <border>
      <left style="hair">
        <color theme="4"/>
      </left>
      <right style="hair">
        <color theme="4"/>
      </right>
      <top style="thin">
        <color theme="0" tint="-0.34998626667073579"/>
      </top>
      <bottom/>
      <diagonal/>
    </border>
    <border>
      <left style="hair">
        <color theme="4"/>
      </left>
      <right style="thin">
        <color theme="0" tint="-0.34998626667073579"/>
      </right>
      <top style="thin">
        <color theme="0" tint="-0.34998626667073579"/>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right style="hair">
        <color theme="4"/>
      </right>
      <top/>
      <bottom/>
      <diagonal/>
    </border>
    <border>
      <left/>
      <right style="hair">
        <color theme="4"/>
      </right>
      <top/>
      <bottom style="thin">
        <color theme="0" tint="-0.34998626667073579"/>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996">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0" fontId="21"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5"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6"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2" fontId="56" fillId="0" borderId="0" xfId="3" applyNumberFormat="1" applyFont="1" applyAlignment="1">
      <alignment horizontal="center"/>
    </xf>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22" fontId="60" fillId="0" borderId="72" xfId="0" applyNumberFormat="1" applyFont="1" applyBorder="1" applyAlignment="1">
      <alignment horizontal="center" vertical="center" wrapText="1"/>
    </xf>
    <xf numFmtId="0" fontId="60" fillId="0" borderId="72" xfId="0" applyFont="1" applyBorder="1" applyAlignment="1">
      <alignment horizontal="justify" vertical="center" wrapText="1"/>
    </xf>
    <xf numFmtId="0" fontId="60" fillId="0" borderId="72" xfId="0" applyFont="1" applyBorder="1" applyAlignment="1">
      <alignment horizontal="center" vertical="center" wrapText="1"/>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100" xfId="0" applyFont="1" applyFill="1" applyBorder="1" applyAlignment="1">
      <alignment vertical="center"/>
    </xf>
    <xf numFmtId="170" fontId="27" fillId="4" borderId="100" xfId="0" applyNumberFormat="1" applyFont="1" applyFill="1" applyBorder="1" applyAlignment="1">
      <alignment vertical="center"/>
    </xf>
    <xf numFmtId="167" fontId="33" fillId="4" borderId="100"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7" borderId="0" xfId="0" applyFont="1" applyFill="1"/>
    <xf numFmtId="0" fontId="0" fillId="7"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6" borderId="0" xfId="3" applyFont="1" applyFill="1"/>
    <xf numFmtId="172" fontId="66" fillId="6"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9" xfId="0" applyFont="1" applyBorder="1"/>
    <xf numFmtId="43" fontId="31" fillId="0" borderId="89"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9"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73" fillId="0" borderId="0" xfId="0" applyFont="1" applyAlignment="1">
      <alignment horizontal="right"/>
    </xf>
    <xf numFmtId="0" fontId="63" fillId="0" borderId="0" xfId="0" applyFont="1" applyAlignment="1">
      <alignment horizontal="right"/>
    </xf>
    <xf numFmtId="168" fontId="31" fillId="2" borderId="84" xfId="0" applyNumberFormat="1" applyFont="1" applyFill="1" applyBorder="1" applyAlignment="1">
      <alignment horizontal="center" vertical="center" wrapText="1"/>
    </xf>
    <xf numFmtId="0" fontId="31" fillId="2" borderId="84" xfId="2" applyNumberFormat="1" applyFont="1" applyFill="1" applyBorder="1" applyAlignment="1">
      <alignment horizontal="center" vertical="center" wrapText="1"/>
    </xf>
    <xf numFmtId="2" fontId="31" fillId="2" borderId="84" xfId="2" applyNumberFormat="1" applyFont="1" applyFill="1" applyBorder="1" applyAlignment="1">
      <alignment horizontal="center" vertical="center" wrapText="1"/>
    </xf>
    <xf numFmtId="4" fontId="31" fillId="2" borderId="84" xfId="0" applyNumberFormat="1" applyFont="1" applyFill="1" applyBorder="1" applyAlignment="1">
      <alignment horizontal="center" vertical="center" wrapText="1"/>
    </xf>
    <xf numFmtId="0" fontId="31" fillId="2" borderId="84"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4" fillId="0" borderId="0" xfId="0" applyFont="1" applyAlignment="1">
      <alignment horizontal="right" vertical="center"/>
    </xf>
    <xf numFmtId="0" fontId="36" fillId="8" borderId="0" xfId="0" quotePrefix="1" applyFont="1" applyFill="1" applyAlignment="1">
      <alignment horizontal="center" vertical="center" wrapText="1"/>
    </xf>
    <xf numFmtId="17" fontId="36" fillId="8" borderId="82" xfId="0" applyNumberFormat="1" applyFont="1" applyFill="1" applyBorder="1" applyAlignment="1">
      <alignment horizontal="center" vertical="center" wrapText="1"/>
    </xf>
    <xf numFmtId="169" fontId="36" fillId="8" borderId="82" xfId="0" applyNumberFormat="1" applyFont="1" applyFill="1" applyBorder="1" applyAlignment="1">
      <alignment horizontal="center" vertical="center" wrapText="1"/>
    </xf>
    <xf numFmtId="0" fontId="36" fillId="8" borderId="82" xfId="0" applyFont="1" applyFill="1" applyBorder="1" applyAlignment="1">
      <alignment horizontal="center" vertical="center" wrapText="1"/>
    </xf>
    <xf numFmtId="0" fontId="36" fillId="8" borderId="83" xfId="0" applyFont="1" applyFill="1" applyBorder="1" applyAlignment="1">
      <alignment horizontal="center" vertical="center" wrapText="1"/>
    </xf>
    <xf numFmtId="0" fontId="36" fillId="8" borderId="97" xfId="0" quotePrefix="1" applyFont="1" applyFill="1" applyBorder="1" applyAlignment="1">
      <alignment horizontal="left" vertical="center"/>
    </xf>
    <xf numFmtId="168" fontId="36" fillId="8" borderId="98" xfId="0" applyNumberFormat="1" applyFont="1" applyFill="1" applyBorder="1" applyAlignment="1">
      <alignment horizontal="right" vertical="center"/>
    </xf>
    <xf numFmtId="168" fontId="36" fillId="8" borderId="98" xfId="0" applyNumberFormat="1" applyFont="1" applyFill="1" applyBorder="1" applyAlignment="1">
      <alignment horizontal="left" vertical="center"/>
    </xf>
    <xf numFmtId="0" fontId="36" fillId="8" borderId="98" xfId="2" applyNumberFormat="1" applyFont="1" applyFill="1" applyBorder="1" applyAlignment="1">
      <alignment horizontal="left" vertical="center"/>
    </xf>
    <xf numFmtId="0" fontId="36" fillId="8" borderId="99" xfId="2" applyNumberFormat="1" applyFont="1" applyFill="1" applyBorder="1" applyAlignment="1">
      <alignment horizontal="center" vertical="center"/>
    </xf>
    <xf numFmtId="4" fontId="36" fillId="8" borderId="84" xfId="0" applyNumberFormat="1" applyFont="1" applyFill="1" applyBorder="1" applyAlignment="1">
      <alignment horizontal="center" vertical="center"/>
    </xf>
    <xf numFmtId="0" fontId="36" fillId="8" borderId="84" xfId="0" applyFont="1" applyFill="1" applyBorder="1" applyAlignment="1">
      <alignment horizontal="center" vertical="center"/>
    </xf>
    <xf numFmtId="17" fontId="36" fillId="8" borderId="26" xfId="0" quotePrefix="1" applyNumberFormat="1" applyFont="1" applyFill="1" applyBorder="1" applyAlignment="1">
      <alignment horizontal="center" vertical="center" wrapText="1"/>
    </xf>
    <xf numFmtId="17" fontId="36"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6" fillId="8" borderId="69" xfId="1" applyFont="1" applyFill="1" applyBorder="1" applyAlignment="1">
      <alignment horizontal="center" vertical="center" wrapText="1"/>
    </xf>
    <xf numFmtId="0" fontId="36" fillId="8" borderId="70" xfId="0" applyFont="1" applyFill="1" applyBorder="1" applyAlignment="1">
      <alignment horizontal="center" vertical="center" wrapText="1"/>
    </xf>
    <xf numFmtId="0" fontId="36" fillId="8" borderId="71" xfId="0" applyFont="1" applyFill="1" applyBorder="1" applyAlignment="1">
      <alignment horizontal="center" vertical="center" wrapText="1"/>
    </xf>
    <xf numFmtId="0" fontId="36" fillId="8" borderId="72" xfId="0" applyFont="1" applyFill="1" applyBorder="1" applyAlignment="1">
      <alignment vertical="center" wrapText="1"/>
    </xf>
    <xf numFmtId="0" fontId="36" fillId="8" borderId="73" xfId="0" applyFont="1" applyFill="1" applyBorder="1" applyAlignment="1">
      <alignment horizontal="center" vertical="center" wrapText="1"/>
    </xf>
    <xf numFmtId="0" fontId="36" fillId="8" borderId="74" xfId="0" applyFont="1" applyFill="1" applyBorder="1" applyAlignment="1">
      <alignment vertical="center" wrapText="1"/>
    </xf>
    <xf numFmtId="4" fontId="36" fillId="8" borderId="57" xfId="0" applyNumberFormat="1" applyFont="1" applyFill="1" applyBorder="1" applyAlignment="1">
      <alignment vertical="center"/>
    </xf>
    <xf numFmtId="0" fontId="36" fillId="8" borderId="93" xfId="0" applyFont="1" applyFill="1" applyBorder="1" applyAlignment="1">
      <alignment vertical="center"/>
    </xf>
    <xf numFmtId="4" fontId="36" fillId="8" borderId="93" xfId="0" applyNumberFormat="1" applyFont="1" applyFill="1" applyBorder="1" applyAlignment="1">
      <alignment vertical="center"/>
    </xf>
    <xf numFmtId="4" fontId="72" fillId="8" borderId="57" xfId="0" applyNumberFormat="1" applyFont="1" applyFill="1" applyBorder="1" applyAlignment="1">
      <alignment vertical="center"/>
    </xf>
    <xf numFmtId="17" fontId="36" fillId="10" borderId="45" xfId="6" quotePrefix="1" applyNumberFormat="1" applyFont="1" applyFill="1" applyBorder="1" applyAlignment="1">
      <alignment horizontal="center" vertical="center" wrapText="1"/>
    </xf>
    <xf numFmtId="0" fontId="36" fillId="10" borderId="45" xfId="6" quotePrefix="1" applyFont="1" applyFill="1" applyBorder="1" applyAlignment="1">
      <alignment horizontal="center" vertical="center" wrapText="1"/>
    </xf>
    <xf numFmtId="0" fontId="36" fillId="10" borderId="45" xfId="6" applyFont="1" applyFill="1" applyBorder="1" applyAlignment="1">
      <alignment horizontal="center" vertical="center" wrapText="1"/>
    </xf>
    <xf numFmtId="14" fontId="36" fillId="10" borderId="45" xfId="6" applyNumberFormat="1" applyFont="1" applyFill="1" applyBorder="1" applyAlignment="1">
      <alignment horizontal="center" vertical="center"/>
    </xf>
    <xf numFmtId="20" fontId="36" fillId="10" borderId="94" xfId="6" applyNumberFormat="1" applyFont="1" applyFill="1" applyBorder="1" applyAlignment="1">
      <alignment horizontal="center" vertical="center"/>
    </xf>
    <xf numFmtId="174" fontId="41" fillId="8" borderId="96" xfId="0" applyNumberFormat="1" applyFont="1" applyFill="1" applyBorder="1" applyAlignment="1">
      <alignment horizontal="center" vertical="center"/>
    </xf>
    <xf numFmtId="174" fontId="41" fillId="8" borderId="96" xfId="0" applyNumberFormat="1" applyFont="1" applyFill="1" applyBorder="1" applyAlignment="1">
      <alignment horizontal="center" vertical="center" wrapText="1"/>
    </xf>
    <xf numFmtId="0" fontId="36" fillId="8" borderId="72" xfId="0" applyFont="1" applyFill="1" applyBorder="1" applyAlignment="1">
      <alignment horizontal="center" vertical="center"/>
    </xf>
    <xf numFmtId="43" fontId="36" fillId="8" borderId="72" xfId="1" applyFont="1" applyFill="1" applyBorder="1" applyAlignment="1">
      <alignment horizontal="center" vertical="center"/>
    </xf>
    <xf numFmtId="4" fontId="36" fillId="8" borderId="72" xfId="0" applyNumberFormat="1" applyFont="1" applyFill="1" applyBorder="1" applyAlignment="1">
      <alignment horizontal="center" vertical="center"/>
    </xf>
    <xf numFmtId="0" fontId="36" fillId="8" borderId="72" xfId="0" applyFont="1" applyFill="1" applyBorder="1" applyAlignment="1">
      <alignment horizontal="center" vertical="center" wrapText="1"/>
    </xf>
    <xf numFmtId="0" fontId="72" fillId="8" borderId="93"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167" fontId="21" fillId="4" borderId="78" xfId="2" applyNumberFormat="1" applyFont="1" applyFill="1" applyBorder="1" applyAlignment="1">
      <alignment horizontal="center" vertical="center"/>
    </xf>
    <xf numFmtId="0" fontId="71" fillId="4" borderId="90" xfId="0" applyFont="1" applyFill="1" applyBorder="1"/>
    <xf numFmtId="43" fontId="71" fillId="4" borderId="90" xfId="1" applyFont="1" applyFill="1" applyBorder="1"/>
    <xf numFmtId="43" fontId="71" fillId="4" borderId="90" xfId="0" applyNumberFormat="1" applyFont="1" applyFill="1" applyBorder="1"/>
    <xf numFmtId="0" fontId="32" fillId="8" borderId="76" xfId="0" quotePrefix="1"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2" fillId="8" borderId="75" xfId="0" applyFont="1" applyFill="1" applyBorder="1" applyAlignment="1">
      <alignment horizontal="center" vertical="center" wrapText="1"/>
    </xf>
    <xf numFmtId="166" fontId="65" fillId="0" borderId="0" xfId="7" applyNumberFormat="1" applyFont="1"/>
    <xf numFmtId="0" fontId="36" fillId="8" borderId="102" xfId="0" applyFont="1" applyFill="1" applyBorder="1" applyAlignment="1">
      <alignment horizontal="center" vertical="center" wrapText="1"/>
    </xf>
    <xf numFmtId="0" fontId="36" fillId="8" borderId="103" xfId="0" applyFont="1" applyFill="1" applyBorder="1" applyAlignment="1">
      <alignment horizontal="center" vertical="center" wrapText="1"/>
    </xf>
    <xf numFmtId="0" fontId="36" fillId="8" borderId="104" xfId="0" applyFont="1" applyFill="1" applyBorder="1" applyAlignment="1">
      <alignment horizontal="center" vertical="center" wrapText="1"/>
    </xf>
    <xf numFmtId="0" fontId="36" fillId="8" borderId="105"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22" fontId="30" fillId="0" borderId="0" xfId="0" applyNumberFormat="1" applyFont="1" applyAlignment="1">
      <alignment vertical="center"/>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8" borderId="92" xfId="0" applyNumberFormat="1" applyFont="1" applyFill="1" applyBorder="1" applyAlignment="1">
      <alignment vertical="center"/>
    </xf>
    <xf numFmtId="4" fontId="0" fillId="0" borderId="106" xfId="0" applyNumberFormat="1" applyBorder="1" applyAlignment="1">
      <alignment vertical="center"/>
    </xf>
    <xf numFmtId="4" fontId="0" fillId="0" borderId="107" xfId="0" applyNumberFormat="1" applyBorder="1" applyAlignment="1">
      <alignment vertical="center"/>
    </xf>
    <xf numFmtId="4" fontId="0" fillId="0" borderId="108" xfId="0" applyNumberFormat="1" applyBorder="1" applyAlignment="1">
      <alignment vertical="center"/>
    </xf>
    <xf numFmtId="167" fontId="0" fillId="0" borderId="109" xfId="2" applyNumberFormat="1" applyFont="1" applyBorder="1" applyAlignment="1">
      <alignment vertical="center"/>
    </xf>
    <xf numFmtId="4" fontId="0" fillId="4" borderId="3" xfId="0" applyNumberFormat="1" applyFill="1" applyBorder="1" applyAlignment="1">
      <alignment vertical="center"/>
    </xf>
    <xf numFmtId="4" fontId="0" fillId="4" borderId="110" xfId="0" applyNumberFormat="1" applyFill="1" applyBorder="1" applyAlignment="1">
      <alignment vertical="center"/>
    </xf>
    <xf numFmtId="4" fontId="0" fillId="4" borderId="111" xfId="0" applyNumberFormat="1" applyFill="1" applyBorder="1" applyAlignment="1">
      <alignment vertical="center"/>
    </xf>
    <xf numFmtId="167" fontId="0" fillId="4" borderId="112" xfId="2" applyNumberFormat="1" applyFont="1" applyFill="1" applyBorder="1" applyAlignment="1">
      <alignment vertical="center"/>
    </xf>
    <xf numFmtId="4" fontId="0" fillId="0" borderId="3" xfId="0" applyNumberFormat="1" applyBorder="1" applyAlignment="1">
      <alignment vertical="center"/>
    </xf>
    <xf numFmtId="4" fontId="0" fillId="0" borderId="110" xfId="0" applyNumberFormat="1" applyBorder="1" applyAlignment="1">
      <alignment vertical="center"/>
    </xf>
    <xf numFmtId="4" fontId="0" fillId="0" borderId="111" xfId="0" applyNumberFormat="1" applyBorder="1" applyAlignment="1">
      <alignment vertical="center"/>
    </xf>
    <xf numFmtId="167" fontId="0" fillId="0" borderId="112" xfId="2" applyNumberFormat="1" applyFont="1" applyBorder="1" applyAlignment="1">
      <alignment vertical="center"/>
    </xf>
    <xf numFmtId="4" fontId="0" fillId="0" borderId="106" xfId="0" applyNumberFormat="1" applyBorder="1"/>
    <xf numFmtId="4" fontId="0" fillId="0" borderId="113" xfId="0" applyNumberFormat="1" applyBorder="1" applyAlignment="1">
      <alignment horizontal="right"/>
    </xf>
    <xf numFmtId="167" fontId="0" fillId="0" borderId="109" xfId="2" applyNumberFormat="1" applyFont="1" applyBorder="1"/>
    <xf numFmtId="4" fontId="0" fillId="4" borderId="3" xfId="0" applyNumberFormat="1" applyFill="1" applyBorder="1"/>
    <xf numFmtId="4" fontId="0" fillId="4" borderId="114" xfId="0" applyNumberFormat="1" applyFill="1" applyBorder="1" applyAlignment="1">
      <alignment horizontal="right"/>
    </xf>
    <xf numFmtId="167" fontId="0" fillId="4" borderId="112" xfId="2" applyNumberFormat="1" applyFont="1" applyFill="1" applyBorder="1"/>
    <xf numFmtId="4" fontId="0" fillId="0" borderId="3" xfId="0" applyNumberFormat="1" applyBorder="1"/>
    <xf numFmtId="4" fontId="0" fillId="0" borderId="114" xfId="0" applyNumberFormat="1" applyBorder="1" applyAlignment="1">
      <alignment horizontal="right"/>
    </xf>
    <xf numFmtId="167" fontId="0" fillId="0" borderId="112" xfId="2" applyNumberFormat="1" applyFont="1" applyBorder="1"/>
    <xf numFmtId="4" fontId="0" fillId="4" borderId="115" xfId="0" applyNumberFormat="1" applyFill="1" applyBorder="1"/>
    <xf numFmtId="4" fontId="0" fillId="4" borderId="116" xfId="0" applyNumberFormat="1" applyFill="1" applyBorder="1" applyAlignment="1">
      <alignment horizontal="right"/>
    </xf>
    <xf numFmtId="167" fontId="0" fillId="4" borderId="117" xfId="2" applyNumberFormat="1" applyFont="1" applyFill="1" applyBorder="1"/>
    <xf numFmtId="2" fontId="50" fillId="0" borderId="0" xfId="0" applyNumberFormat="1" applyFont="1"/>
    <xf numFmtId="0" fontId="60" fillId="0" borderId="72" xfId="0" applyFont="1" applyBorder="1" applyAlignment="1">
      <alignment horizontal="left" vertical="center" wrapText="1"/>
    </xf>
    <xf numFmtId="0" fontId="78" fillId="0" borderId="0" xfId="0" applyFont="1"/>
    <xf numFmtId="0" fontId="79" fillId="0" borderId="0" xfId="0" applyFont="1" applyAlignment="1">
      <alignment vertical="center"/>
    </xf>
    <xf numFmtId="49" fontId="78" fillId="0" borderId="0" xfId="0" applyNumberFormat="1" applyFont="1" applyAlignment="1">
      <alignment horizontal="center"/>
    </xf>
    <xf numFmtId="1" fontId="78" fillId="0" borderId="0" xfId="0" applyNumberFormat="1" applyFont="1" applyAlignment="1">
      <alignment horizontal="center"/>
    </xf>
    <xf numFmtId="49" fontId="78" fillId="0" borderId="0" xfId="0" applyNumberFormat="1" applyFont="1" applyAlignment="1">
      <alignment horizontal="left"/>
    </xf>
    <xf numFmtId="1" fontId="78" fillId="0" borderId="0" xfId="0" applyNumberFormat="1" applyFont="1" applyAlignment="1">
      <alignment horizontal="left"/>
    </xf>
    <xf numFmtId="165" fontId="78" fillId="0" borderId="0" xfId="0" applyNumberFormat="1" applyFont="1" applyAlignment="1">
      <alignment horizontal="center"/>
    </xf>
    <xf numFmtId="0" fontId="78" fillId="0" borderId="0" xfId="0" applyFont="1" applyAlignment="1">
      <alignment horizontal="center"/>
    </xf>
    <xf numFmtId="2" fontId="78" fillId="0" borderId="0" xfId="0" applyNumberFormat="1" applyFont="1"/>
    <xf numFmtId="10" fontId="78"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8" borderId="23" xfId="0" applyNumberFormat="1" applyFont="1" applyFill="1" applyBorder="1" applyAlignment="1">
      <alignment horizontal="center"/>
    </xf>
    <xf numFmtId="0" fontId="32" fillId="8" borderId="23" xfId="0" applyFont="1" applyFill="1" applyBorder="1" applyAlignment="1">
      <alignment horizontal="center" wrapText="1"/>
    </xf>
    <xf numFmtId="16" fontId="32" fillId="8" borderId="24" xfId="0" applyNumberFormat="1" applyFont="1" applyFill="1" applyBorder="1" applyAlignment="1">
      <alignment horizontal="center" vertical="center"/>
    </xf>
    <xf numFmtId="16" fontId="32" fillId="8" borderId="24" xfId="0" applyNumberFormat="1" applyFont="1" applyFill="1" applyBorder="1" applyAlignment="1">
      <alignment horizontal="center" wrapText="1"/>
    </xf>
    <xf numFmtId="20" fontId="32" fillId="8" borderId="26" xfId="0" quotePrefix="1" applyNumberFormat="1" applyFont="1" applyFill="1" applyBorder="1" applyAlignment="1">
      <alignment horizontal="center" vertical="center"/>
    </xf>
    <xf numFmtId="20" fontId="32"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8" borderId="57" xfId="0" applyNumberFormat="1" applyFont="1" applyFill="1" applyBorder="1" applyAlignment="1">
      <alignment vertical="center"/>
    </xf>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4" borderId="54"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8" borderId="87" xfId="5" applyFont="1" applyFill="1" applyBorder="1" applyAlignment="1">
      <alignment horizontal="center" vertical="center"/>
    </xf>
    <xf numFmtId="0" fontId="36" fillId="8" borderId="91"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0" fontId="71" fillId="0" borderId="0" xfId="0" applyFont="1" applyBorder="1"/>
    <xf numFmtId="43" fontId="31" fillId="0" borderId="0" xfId="0" applyNumberFormat="1" applyFont="1" applyBorder="1"/>
    <xf numFmtId="0" fontId="30" fillId="0" borderId="0" xfId="0" applyFont="1" applyBorder="1"/>
    <xf numFmtId="0" fontId="80" fillId="0" borderId="0" xfId="0" applyFont="1"/>
    <xf numFmtId="0" fontId="0" fillId="0" borderId="0" xfId="0" applyFont="1"/>
    <xf numFmtId="17" fontId="36" fillId="8" borderId="119" xfId="0" applyNumberFormat="1" applyFont="1" applyFill="1" applyBorder="1" applyAlignment="1">
      <alignment horizontal="center" vertical="center"/>
    </xf>
    <xf numFmtId="0" fontId="36" fillId="8" borderId="121" xfId="5" applyFont="1" applyFill="1" applyBorder="1" applyAlignment="1">
      <alignment horizontal="center" vertical="center"/>
    </xf>
    <xf numFmtId="0" fontId="36" fillId="8" borderId="123"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8" borderId="126" xfId="0" applyNumberFormat="1" applyFont="1" applyFill="1" applyBorder="1" applyAlignment="1">
      <alignment vertical="center"/>
    </xf>
    <xf numFmtId="4" fontId="72" fillId="8" borderId="126" xfId="0" applyNumberFormat="1" applyFont="1" applyFill="1" applyBorder="1" applyAlignment="1">
      <alignment vertical="center"/>
    </xf>
    <xf numFmtId="0" fontId="36" fillId="8" borderId="125" xfId="0" applyFont="1" applyFill="1" applyBorder="1" applyAlignment="1">
      <alignment vertical="center"/>
    </xf>
    <xf numFmtId="0" fontId="0" fillId="0" borderId="127" xfId="0" applyBorder="1"/>
    <xf numFmtId="0" fontId="36" fillId="10" borderId="131" xfId="6" applyFont="1" applyFill="1" applyBorder="1" applyAlignment="1">
      <alignment horizontal="center" vertical="center" wrapText="1"/>
    </xf>
    <xf numFmtId="0" fontId="36" fillId="10" borderId="131" xfId="6" applyFont="1" applyFill="1" applyBorder="1" applyAlignment="1">
      <alignment horizontal="center" vertical="center"/>
    </xf>
    <xf numFmtId="0" fontId="36" fillId="10" borderId="133" xfId="6" applyFont="1" applyFill="1" applyBorder="1" applyAlignment="1">
      <alignment horizontal="center" vertical="center"/>
    </xf>
    <xf numFmtId="10" fontId="31" fillId="0" borderId="0" xfId="2" applyNumberFormat="1" applyFont="1" applyBorder="1"/>
    <xf numFmtId="20" fontId="36" fillId="10" borderId="135" xfId="6" applyNumberFormat="1" applyFont="1" applyFill="1" applyBorder="1" applyAlignment="1">
      <alignment horizontal="center" vertical="center"/>
    </xf>
    <xf numFmtId="0" fontId="36" fillId="10" borderId="136" xfId="6" applyFont="1" applyFill="1" applyBorder="1" applyAlignment="1">
      <alignment horizontal="center" vertical="center"/>
    </xf>
    <xf numFmtId="0" fontId="31" fillId="0" borderId="0" xfId="0" applyFont="1" applyBorder="1" applyAlignment="1">
      <alignment vertical="center" wrapText="1"/>
    </xf>
    <xf numFmtId="43" fontId="31" fillId="0" borderId="0" xfId="0" applyNumberFormat="1" applyFont="1" applyBorder="1" applyAlignment="1">
      <alignment vertical="center" wrapText="1"/>
    </xf>
    <xf numFmtId="43" fontId="31" fillId="2" borderId="0" xfId="0" applyNumberFormat="1" applyFont="1" applyFill="1" applyBorder="1"/>
    <xf numFmtId="10" fontId="36" fillId="8" borderId="126" xfId="2" applyNumberFormat="1" applyFont="1" applyFill="1" applyBorder="1" applyAlignment="1">
      <alignment vertical="center"/>
    </xf>
    <xf numFmtId="10" fontId="72" fillId="8" borderId="126" xfId="2" applyNumberFormat="1" applyFont="1" applyFill="1" applyBorder="1" applyAlignment="1">
      <alignment vertical="center"/>
    </xf>
    <xf numFmtId="0" fontId="72" fillId="8" borderId="125" xfId="0" applyFont="1" applyFill="1" applyBorder="1" applyAlignment="1">
      <alignment vertical="center"/>
    </xf>
    <xf numFmtId="0" fontId="21" fillId="2" borderId="90" xfId="0" quotePrefix="1" applyFont="1" applyFill="1" applyBorder="1" applyAlignment="1">
      <alignment vertical="center"/>
    </xf>
    <xf numFmtId="0" fontId="30" fillId="0" borderId="90"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81" fillId="2" borderId="0" xfId="0" applyFont="1" applyFill="1" applyAlignment="1">
      <alignment horizontal="left" vertical="center" wrapText="1"/>
    </xf>
    <xf numFmtId="0" fontId="80" fillId="0" borderId="0" xfId="0" applyFont="1" applyAlignment="1">
      <alignment vertical="center"/>
    </xf>
    <xf numFmtId="43" fontId="62" fillId="0" borderId="139" xfId="1" applyFont="1" applyBorder="1" applyAlignment="1">
      <alignment vertical="center" wrapText="1"/>
    </xf>
    <xf numFmtId="0" fontId="62" fillId="0" borderId="139" xfId="0" applyFont="1" applyBorder="1" applyAlignment="1">
      <alignment vertical="center" wrapText="1"/>
    </xf>
    <xf numFmtId="0" fontId="71" fillId="0" borderId="30" xfId="0" applyFont="1" applyBorder="1"/>
    <xf numFmtId="10" fontId="31" fillId="0" borderId="31" xfId="2" applyNumberFormat="1" applyFont="1" applyBorder="1"/>
    <xf numFmtId="0" fontId="71" fillId="4" borderId="140" xfId="0" applyFont="1" applyFill="1" applyBorder="1"/>
    <xf numFmtId="10" fontId="71" fillId="4" borderId="141" xfId="2" applyNumberFormat="1" applyFont="1" applyFill="1" applyBorder="1"/>
    <xf numFmtId="0" fontId="71" fillId="0" borderId="30" xfId="0" applyFont="1" applyBorder="1" applyAlignment="1">
      <alignment vertical="center" wrapText="1"/>
    </xf>
    <xf numFmtId="10" fontId="31" fillId="0" borderId="31" xfId="2" applyNumberFormat="1" applyFont="1" applyBorder="1" applyAlignment="1">
      <alignment vertical="center" wrapText="1"/>
    </xf>
    <xf numFmtId="43" fontId="31" fillId="0" borderId="31" xfId="1" applyFont="1" applyBorder="1"/>
    <xf numFmtId="43" fontId="71" fillId="4" borderId="141"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42" xfId="0" applyFont="1" applyFill="1" applyBorder="1"/>
    <xf numFmtId="0" fontId="71" fillId="4" borderId="125" xfId="0" applyFont="1" applyFill="1" applyBorder="1"/>
    <xf numFmtId="43" fontId="71" fillId="4" borderId="125" xfId="1" applyFont="1" applyFill="1" applyBorder="1"/>
    <xf numFmtId="43" fontId="71" fillId="4" borderId="143"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44" xfId="0" applyFont="1" applyBorder="1"/>
    <xf numFmtId="43" fontId="31" fillId="0" borderId="145"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44"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45" xfId="2" applyFont="1" applyBorder="1"/>
    <xf numFmtId="10" fontId="31" fillId="0" borderId="145" xfId="2" applyNumberFormat="1" applyFont="1" applyBorder="1"/>
    <xf numFmtId="10" fontId="31" fillId="2" borderId="31" xfId="2" applyNumberFormat="1" applyFont="1" applyFill="1" applyBorder="1"/>
    <xf numFmtId="43" fontId="62" fillId="0" borderId="146" xfId="1" applyFont="1" applyBorder="1" applyAlignment="1">
      <alignment vertical="center" wrapText="1"/>
    </xf>
    <xf numFmtId="0" fontId="62" fillId="0" borderId="146" xfId="0" applyFont="1" applyBorder="1" applyAlignment="1">
      <alignment vertical="center" wrapText="1"/>
    </xf>
    <xf numFmtId="4" fontId="13" fillId="0" borderId="146" xfId="0" applyNumberFormat="1" applyFont="1" applyBorder="1" applyAlignment="1">
      <alignment horizontal="center" vertical="center"/>
    </xf>
    <xf numFmtId="167" fontId="13" fillId="0" borderId="146" xfId="2" applyNumberFormat="1" applyFont="1" applyBorder="1" applyAlignment="1">
      <alignment horizontal="center" vertical="center"/>
    </xf>
    <xf numFmtId="43" fontId="62" fillId="0" borderId="147" xfId="1" applyFont="1" applyBorder="1" applyAlignment="1">
      <alignment vertical="center" wrapText="1"/>
    </xf>
    <xf numFmtId="0" fontId="62" fillId="0" borderId="147" xfId="0" applyFont="1" applyBorder="1" applyAlignment="1">
      <alignment vertical="center" wrapText="1"/>
    </xf>
    <xf numFmtId="4" fontId="13" fillId="0" borderId="147" xfId="0" applyNumberFormat="1" applyFont="1" applyBorder="1" applyAlignment="1">
      <alignment horizontal="center" vertical="center"/>
    </xf>
    <xf numFmtId="167" fontId="13" fillId="0" borderId="147" xfId="2" applyNumberFormat="1" applyFont="1" applyBorder="1" applyAlignment="1">
      <alignment horizontal="center" vertical="center"/>
    </xf>
    <xf numFmtId="167" fontId="13" fillId="0" borderId="148" xfId="2" applyNumberFormat="1" applyFont="1" applyBorder="1" applyAlignment="1">
      <alignment horizontal="center" vertical="center"/>
    </xf>
    <xf numFmtId="0" fontId="36" fillId="8" borderId="150" xfId="0" applyFont="1" applyFill="1" applyBorder="1" applyAlignment="1">
      <alignment horizontal="center" vertical="center" wrapText="1"/>
    </xf>
    <xf numFmtId="0" fontId="36" fillId="8" borderId="114" xfId="0" applyFont="1" applyFill="1" applyBorder="1" applyAlignment="1">
      <alignment horizontal="center" vertical="center" wrapText="1"/>
    </xf>
    <xf numFmtId="0" fontId="36" fillId="8" borderId="151" xfId="0" applyFont="1" applyFill="1" applyBorder="1" applyAlignment="1">
      <alignment horizontal="center" vertical="center" wrapText="1"/>
    </xf>
    <xf numFmtId="0" fontId="61" fillId="4" borderId="153" xfId="0" applyFont="1" applyFill="1" applyBorder="1" applyAlignment="1">
      <alignment horizontal="center" vertical="center"/>
    </xf>
    <xf numFmtId="4" fontId="61" fillId="4" borderId="154" xfId="0" applyNumberFormat="1" applyFont="1" applyFill="1" applyBorder="1" applyAlignment="1">
      <alignment horizontal="center" vertical="center"/>
    </xf>
    <xf numFmtId="0" fontId="31" fillId="0" borderId="0" xfId="0" applyFont="1" applyAlignment="1">
      <alignment vertical="center"/>
    </xf>
    <xf numFmtId="22" fontId="31" fillId="0" borderId="0" xfId="0" applyNumberFormat="1" applyFont="1" applyBorder="1" applyAlignment="1">
      <alignment horizontal="center" vertical="center" wrapText="1"/>
    </xf>
    <xf numFmtId="0" fontId="60" fillId="0" borderId="0" xfId="0" applyFont="1" applyBorder="1" applyAlignment="1">
      <alignment horizontal="justify" vertical="center" wrapText="1"/>
    </xf>
    <xf numFmtId="0" fontId="31" fillId="0" borderId="0" xfId="0" applyFont="1" applyBorder="1" applyAlignment="1">
      <alignment horizontal="center" vertical="center" wrapText="1"/>
    </xf>
    <xf numFmtId="0" fontId="82" fillId="0" borderId="0" xfId="0" applyFont="1"/>
    <xf numFmtId="0" fontId="82" fillId="0" borderId="0" xfId="0" applyFont="1" applyAlignment="1">
      <alignment horizontal="right"/>
    </xf>
    <xf numFmtId="0" fontId="83" fillId="4" borderId="152" xfId="0" applyFont="1" applyFill="1" applyBorder="1" applyAlignment="1">
      <alignment vertical="center"/>
    </xf>
    <xf numFmtId="0" fontId="60" fillId="2" borderId="84" xfId="0" quotePrefix="1" applyFont="1" applyFill="1" applyBorder="1" applyAlignment="1">
      <alignment vertical="center" wrapText="1"/>
    </xf>
    <xf numFmtId="0" fontId="27" fillId="4" borderId="49" xfId="0" applyFont="1" applyFill="1" applyBorder="1" applyAlignment="1">
      <alignment vertical="center" wrapText="1"/>
    </xf>
    <xf numFmtId="4" fontId="13" fillId="0" borderId="156" xfId="0" applyNumberFormat="1" applyFont="1" applyBorder="1" applyAlignment="1">
      <alignment horizontal="center" vertical="center"/>
    </xf>
    <xf numFmtId="167" fontId="13" fillId="0" borderId="157" xfId="2" applyNumberFormat="1" applyFont="1" applyBorder="1" applyAlignment="1">
      <alignment horizontal="center" vertical="center"/>
    </xf>
    <xf numFmtId="0" fontId="83" fillId="0" borderId="152" xfId="0" applyFont="1" applyFill="1" applyBorder="1" applyAlignment="1">
      <alignment vertical="center" wrapText="1"/>
    </xf>
    <xf numFmtId="0" fontId="62" fillId="0" borderId="153" xfId="0" applyFont="1" applyFill="1" applyBorder="1" applyAlignment="1">
      <alignment horizontal="center" vertical="center"/>
    </xf>
    <xf numFmtId="0" fontId="62" fillId="0" borderId="153" xfId="2" applyNumberFormat="1" applyFont="1" applyFill="1" applyBorder="1" applyAlignment="1">
      <alignment horizontal="center" vertical="center"/>
    </xf>
    <xf numFmtId="0" fontId="61" fillId="0" borderId="153" xfId="0" applyFont="1" applyFill="1" applyBorder="1" applyAlignment="1">
      <alignment horizontal="center" vertical="center"/>
    </xf>
    <xf numFmtId="4" fontId="62" fillId="0" borderId="154" xfId="0" applyNumberFormat="1" applyFont="1" applyFill="1" applyBorder="1" applyAlignment="1">
      <alignment horizontal="center" vertical="center"/>
    </xf>
    <xf numFmtId="0" fontId="62" fillId="0" borderId="153" xfId="0" applyFont="1" applyFill="1" applyBorder="1" applyAlignment="1">
      <alignment horizontal="center" vertical="center" wrapText="1"/>
    </xf>
    <xf numFmtId="0" fontId="83" fillId="0" borderId="152" xfId="0" applyFont="1" applyFill="1" applyBorder="1" applyAlignment="1">
      <alignment vertical="center"/>
    </xf>
    <xf numFmtId="49" fontId="36" fillId="10" borderId="45" xfId="6" applyNumberFormat="1" applyFont="1" applyFill="1" applyBorder="1" applyAlignment="1">
      <alignment horizontal="center" vertical="center" wrapText="1"/>
    </xf>
    <xf numFmtId="0" fontId="76" fillId="0" borderId="0" xfId="0" applyFont="1"/>
    <xf numFmtId="2" fontId="76" fillId="0" borderId="0" xfId="0" applyNumberFormat="1" applyFont="1" applyAlignment="1">
      <alignment horizontal="center" vertical="center" wrapText="1"/>
    </xf>
    <xf numFmtId="2" fontId="76" fillId="0" borderId="0" xfId="0" quotePrefix="1" applyNumberFormat="1" applyFont="1" applyAlignment="1">
      <alignment horizontal="center" vertical="center" wrapText="1"/>
    </xf>
    <xf numFmtId="17" fontId="76" fillId="0" borderId="0" xfId="0" quotePrefix="1" applyNumberFormat="1" applyFont="1" applyAlignment="1">
      <alignment horizontal="center" vertical="center" wrapText="1"/>
    </xf>
    <xf numFmtId="0" fontId="76" fillId="0" borderId="0" xfId="0" quotePrefix="1" applyFont="1" applyAlignment="1">
      <alignment horizontal="center" vertical="center" wrapText="1"/>
    </xf>
    <xf numFmtId="2" fontId="76" fillId="0" borderId="0" xfId="0" applyNumberFormat="1" applyFont="1" applyAlignment="1">
      <alignment horizontal="left"/>
    </xf>
    <xf numFmtId="2" fontId="75" fillId="0" borderId="0" xfId="0" applyNumberFormat="1" applyFont="1" applyAlignment="1">
      <alignment horizontal="center"/>
    </xf>
    <xf numFmtId="2" fontId="76" fillId="0" borderId="0" xfId="0" applyNumberFormat="1" applyFont="1" applyAlignment="1">
      <alignment horizontal="center"/>
    </xf>
    <xf numFmtId="43" fontId="76" fillId="0" borderId="0" xfId="1" applyFont="1" applyAlignment="1">
      <alignment horizontal="left"/>
    </xf>
    <xf numFmtId="0" fontId="76" fillId="0" borderId="0" xfId="0" applyFont="1" applyAlignment="1">
      <alignment vertical="top" wrapText="1"/>
    </xf>
    <xf numFmtId="0" fontId="76" fillId="0" borderId="0" xfId="0" applyFont="1" applyAlignment="1">
      <alignment horizontal="left" vertical="top" wrapText="1"/>
    </xf>
    <xf numFmtId="0" fontId="76" fillId="0" borderId="0" xfId="0" applyFont="1" applyAlignment="1">
      <alignment horizontal="left"/>
    </xf>
    <xf numFmtId="166" fontId="50" fillId="0" borderId="0" xfId="0" applyNumberFormat="1" applyFont="1" applyAlignment="1">
      <alignment vertical="center"/>
    </xf>
    <xf numFmtId="172" fontId="67" fillId="7" borderId="0" xfId="3" applyNumberFormat="1" applyFont="1" applyFill="1" applyAlignment="1">
      <alignment horizontal="center"/>
    </xf>
    <xf numFmtId="2" fontId="67" fillId="7" borderId="0" xfId="3" applyNumberFormat="1" applyFont="1" applyFill="1"/>
    <xf numFmtId="2" fontId="67" fillId="7" borderId="0" xfId="3" applyNumberFormat="1" applyFont="1" applyFill="1" applyAlignment="1">
      <alignment horizontal="center"/>
    </xf>
    <xf numFmtId="175" fontId="84" fillId="7" borderId="0" xfId="0" applyNumberFormat="1" applyFont="1" applyFill="1" applyAlignment="1">
      <alignment vertical="center"/>
    </xf>
    <xf numFmtId="175" fontId="65" fillId="0" borderId="0" xfId="0" applyNumberFormat="1" applyFont="1" applyAlignment="1">
      <alignment vertical="center"/>
    </xf>
    <xf numFmtId="0" fontId="84" fillId="0" borderId="0" xfId="0" applyFont="1"/>
    <xf numFmtId="176" fontId="21" fillId="0" borderId="39" xfId="2" applyNumberFormat="1" applyFont="1" applyBorder="1" applyAlignment="1">
      <alignment horizontal="right" vertical="center"/>
    </xf>
    <xf numFmtId="0" fontId="0" fillId="0" borderId="0" xfId="0"/>
    <xf numFmtId="0" fontId="85" fillId="0" borderId="0" xfId="0" applyFont="1"/>
    <xf numFmtId="0" fontId="62" fillId="0" borderId="155" xfId="0" applyFont="1" applyBorder="1" applyAlignment="1">
      <alignment horizontal="center" vertical="center"/>
    </xf>
    <xf numFmtId="0" fontId="31" fillId="0" borderId="158" xfId="0" applyFont="1" applyBorder="1" applyAlignment="1">
      <alignment vertical="center" wrapText="1"/>
    </xf>
    <xf numFmtId="22" fontId="31" fillId="0" borderId="158" xfId="0" applyNumberFormat="1" applyFont="1" applyBorder="1" applyAlignment="1">
      <alignment horizontal="center" vertical="center" wrapText="1"/>
    </xf>
    <xf numFmtId="0" fontId="60" fillId="0" borderId="158" xfId="0" applyFont="1" applyBorder="1" applyAlignment="1">
      <alignment horizontal="justify" vertical="center" wrapText="1"/>
    </xf>
    <xf numFmtId="0" fontId="31" fillId="0" borderId="158" xfId="0" applyFont="1" applyBorder="1" applyAlignment="1">
      <alignment horizontal="center" vertical="center" wrapText="1"/>
    </xf>
    <xf numFmtId="0" fontId="31" fillId="0" borderId="159" xfId="0" applyFont="1" applyBorder="1" applyAlignment="1">
      <alignment vertical="center" wrapText="1"/>
    </xf>
    <xf numFmtId="22" fontId="31" fillId="0" borderId="159" xfId="0" applyNumberFormat="1" applyFont="1" applyBorder="1" applyAlignment="1">
      <alignment horizontal="center" vertical="center" wrapText="1"/>
    </xf>
    <xf numFmtId="0" fontId="60" fillId="0" borderId="159" xfId="0" applyFont="1" applyBorder="1" applyAlignment="1">
      <alignment horizontal="justify" vertical="center" wrapText="1"/>
    </xf>
    <xf numFmtId="0" fontId="31" fillId="0" borderId="159" xfId="0" applyFont="1" applyBorder="1" applyAlignment="1">
      <alignment horizontal="center" vertical="center" wrapText="1"/>
    </xf>
    <xf numFmtId="166" fontId="65" fillId="7" borderId="0" xfId="0" applyNumberFormat="1" applyFont="1" applyFill="1"/>
    <xf numFmtId="0" fontId="85" fillId="0" borderId="0" xfId="0" applyFont="1" applyAlignment="1">
      <alignment horizontal="center"/>
    </xf>
    <xf numFmtId="175" fontId="85"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4" xfId="0" applyFont="1" applyFill="1" applyBorder="1" applyAlignment="1">
      <alignment vertical="center"/>
    </xf>
    <xf numFmtId="174" fontId="32" fillId="3" borderId="94"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40" xfId="0" applyFont="1" applyFill="1" applyBorder="1" applyAlignment="1">
      <alignment wrapText="1"/>
    </xf>
    <xf numFmtId="0" fontId="86" fillId="0" borderId="96" xfId="0" applyFont="1" applyBorder="1"/>
    <xf numFmtId="174" fontId="86" fillId="0" borderId="96" xfId="0" applyNumberFormat="1" applyFont="1" applyBorder="1"/>
    <xf numFmtId="174" fontId="86" fillId="11" borderId="96" xfId="0" applyNumberFormat="1" applyFont="1" applyFill="1" applyBorder="1"/>
    <xf numFmtId="43" fontId="62" fillId="0" borderId="156" xfId="1" applyFont="1" applyBorder="1" applyAlignment="1">
      <alignment vertical="center" wrapText="1"/>
    </xf>
    <xf numFmtId="0" fontId="62" fillId="0" borderId="156" xfId="0" applyFont="1" applyBorder="1" applyAlignment="1">
      <alignment vertical="center" wrapText="1"/>
    </xf>
    <xf numFmtId="0" fontId="21" fillId="2" borderId="0" xfId="0" applyFont="1" applyFill="1" applyAlignment="1">
      <alignment horizontal="left" vertical="center"/>
    </xf>
    <xf numFmtId="0" fontId="87" fillId="0" borderId="0" xfId="0" applyFont="1" applyAlignment="1">
      <alignment vertical="center"/>
    </xf>
    <xf numFmtId="49" fontId="64" fillId="0" borderId="0" xfId="0" applyNumberFormat="1" applyFont="1" applyAlignment="1">
      <alignment horizontal="right"/>
    </xf>
    <xf numFmtId="1" fontId="64" fillId="0" borderId="0" xfId="0" applyNumberFormat="1" applyFont="1" applyAlignment="1">
      <alignment horizontal="right"/>
    </xf>
    <xf numFmtId="0" fontId="64" fillId="0" borderId="0" xfId="0" applyFont="1" applyAlignment="1">
      <alignment horizontal="right"/>
    </xf>
    <xf numFmtId="1" fontId="30" fillId="0" borderId="0" xfId="0" applyNumberFormat="1" applyFont="1"/>
    <xf numFmtId="1" fontId="30"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2" fillId="8" borderId="125" xfId="0" applyFont="1" applyFill="1" applyBorder="1" applyAlignment="1">
      <alignment vertical="center"/>
    </xf>
    <xf numFmtId="0" fontId="88" fillId="0" borderId="0" xfId="0" applyFont="1"/>
    <xf numFmtId="175" fontId="88" fillId="0" borderId="0" xfId="0" applyNumberFormat="1" applyFont="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8" borderId="34" xfId="0" applyFont="1" applyFill="1" applyBorder="1" applyAlignment="1">
      <alignment horizontal="center" vertical="center" wrapText="1"/>
    </xf>
    <xf numFmtId="0" fontId="36" fillId="8"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8" borderId="23" xfId="1" applyFont="1" applyFill="1" applyBorder="1" applyAlignment="1">
      <alignment horizontal="center" vertical="center"/>
    </xf>
    <xf numFmtId="17" fontId="32" fillId="8" borderId="23" xfId="0" applyNumberFormat="1" applyFont="1" applyFill="1" applyBorder="1" applyAlignment="1">
      <alignment horizontal="center" vertical="center"/>
    </xf>
    <xf numFmtId="0" fontId="32" fillId="8" borderId="23" xfId="0" applyFont="1" applyFill="1" applyBorder="1" applyAlignment="1">
      <alignment horizontal="center" vertical="center"/>
    </xf>
    <xf numFmtId="167" fontId="32" fillId="8" borderId="23" xfId="2" applyNumberFormat="1" applyFont="1" applyFill="1" applyBorder="1" applyAlignment="1">
      <alignment horizontal="center" vertical="center" wrapText="1"/>
    </xf>
    <xf numFmtId="167" fontId="32" fillId="8" borderId="23" xfId="2" applyNumberFormat="1" applyFont="1" applyFill="1" applyBorder="1" applyAlignment="1">
      <alignment horizontal="center" vertical="center"/>
    </xf>
    <xf numFmtId="0" fontId="32" fillId="8" borderId="23" xfId="0" quotePrefix="1" applyFont="1" applyFill="1" applyBorder="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01" xfId="0" applyNumberFormat="1" applyFont="1" applyFill="1" applyBorder="1" applyAlignment="1">
      <alignment horizontal="left" vertical="center" wrapText="1"/>
    </xf>
    <xf numFmtId="0" fontId="77" fillId="2" borderId="0" xfId="0" applyFont="1" applyFill="1" applyAlignment="1">
      <alignment horizontal="left" vertical="center"/>
    </xf>
    <xf numFmtId="43" fontId="62" fillId="0" borderId="155" xfId="1" applyFont="1" applyBorder="1" applyAlignment="1">
      <alignment horizontal="center" vertical="center" wrapText="1"/>
    </xf>
    <xf numFmtId="43" fontId="62" fillId="0" borderId="160" xfId="1" applyFont="1" applyBorder="1" applyAlignment="1">
      <alignment horizontal="center" vertical="center" wrapText="1"/>
    </xf>
    <xf numFmtId="43" fontId="62" fillId="0" borderId="161" xfId="1" applyFont="1" applyBorder="1" applyAlignment="1">
      <alignment horizontal="center" vertical="center" wrapText="1"/>
    </xf>
    <xf numFmtId="43" fontId="36" fillId="8" borderId="85" xfId="1" applyFont="1" applyFill="1" applyBorder="1" applyAlignment="1">
      <alignment horizontal="center" vertical="center" wrapText="1"/>
    </xf>
    <xf numFmtId="43" fontId="36" fillId="8" borderId="14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6"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0" fontId="36" fillId="8" borderId="118" xfId="5" applyFont="1" applyFill="1" applyBorder="1" applyAlignment="1">
      <alignment horizontal="center" vertical="center"/>
    </xf>
    <xf numFmtId="0" fontId="36" fillId="8" borderId="120" xfId="5" applyFont="1" applyFill="1" applyBorder="1" applyAlignment="1">
      <alignment horizontal="center" vertical="center"/>
    </xf>
    <xf numFmtId="0" fontId="36" fillId="8" borderId="122" xfId="5" applyFont="1" applyFill="1" applyBorder="1" applyAlignment="1">
      <alignment horizontal="center" vertical="center"/>
    </xf>
    <xf numFmtId="0" fontId="36" fillId="8" borderId="88" xfId="5" applyFont="1" applyFill="1" applyBorder="1" applyAlignment="1">
      <alignment horizontal="center" vertical="center"/>
    </xf>
    <xf numFmtId="0" fontId="36" fillId="8" borderId="87" xfId="5" applyFont="1" applyFill="1" applyBorder="1" applyAlignment="1">
      <alignment horizontal="center" vertical="center"/>
    </xf>
    <xf numFmtId="0" fontId="36" fillId="8" borderId="91" xfId="5" applyFont="1" applyFill="1" applyBorder="1" applyAlignment="1">
      <alignment horizontal="center" vertical="center"/>
    </xf>
    <xf numFmtId="17" fontId="36" fillId="8" borderId="88" xfId="0" applyNumberFormat="1" applyFont="1" applyFill="1" applyBorder="1" applyAlignment="1">
      <alignment horizontal="center" vertical="center"/>
    </xf>
    <xf numFmtId="0" fontId="36" fillId="8" borderId="87" xfId="0"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88" xfId="5" applyFont="1" applyFill="1" applyBorder="1" applyAlignment="1">
      <alignment horizontal="center" vertical="center" wrapText="1"/>
    </xf>
    <xf numFmtId="0" fontId="36" fillId="8" borderId="124" xfId="5" applyFont="1" applyFill="1" applyBorder="1" applyAlignment="1">
      <alignment horizontal="center" vertical="center"/>
    </xf>
    <xf numFmtId="0" fontId="36" fillId="8"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0" borderId="128" xfId="6" applyFont="1" applyFill="1" applyBorder="1" applyAlignment="1">
      <alignment horizontal="center" vertical="center"/>
    </xf>
    <xf numFmtId="0" fontId="36" fillId="10" borderId="130" xfId="6" applyFont="1" applyFill="1" applyBorder="1" applyAlignment="1">
      <alignment horizontal="center" vertical="center"/>
    </xf>
    <xf numFmtId="0" fontId="36" fillId="10" borderId="134" xfId="6" applyFont="1" applyFill="1" applyBorder="1" applyAlignment="1">
      <alignment horizontal="center" vertical="center"/>
    </xf>
    <xf numFmtId="0" fontId="36" fillId="10" borderId="95" xfId="6" applyFont="1" applyFill="1" applyBorder="1" applyAlignment="1">
      <alignment horizontal="center" vertical="center"/>
    </xf>
    <xf numFmtId="0" fontId="36" fillId="10" borderId="45" xfId="6" applyFont="1" applyFill="1" applyBorder="1" applyAlignment="1">
      <alignment horizontal="center" vertical="center"/>
    </xf>
    <xf numFmtId="0" fontId="36" fillId="10" borderId="135" xfId="6" applyFont="1" applyFill="1" applyBorder="1" applyAlignment="1">
      <alignment horizontal="center" vertical="center"/>
    </xf>
    <xf numFmtId="0" fontId="36" fillId="10" borderId="129" xfId="6" applyFont="1" applyFill="1" applyBorder="1" applyAlignment="1">
      <alignment horizontal="center" vertical="center"/>
    </xf>
    <xf numFmtId="0" fontId="36" fillId="10" borderId="137" xfId="6" applyFont="1" applyFill="1" applyBorder="1" applyAlignment="1">
      <alignment horizontal="center" vertical="center"/>
    </xf>
    <xf numFmtId="0" fontId="36" fillId="10" borderId="132" xfId="6" applyFont="1" applyFill="1" applyBorder="1" applyAlignment="1">
      <alignment horizontal="center" vertical="center"/>
    </xf>
    <xf numFmtId="0" fontId="36" fillId="10" borderId="18" xfId="6" applyFont="1" applyFill="1" applyBorder="1" applyAlignment="1">
      <alignment horizontal="center" vertical="center"/>
    </xf>
    <xf numFmtId="0" fontId="36" fillId="10" borderId="94" xfId="6" applyFont="1" applyFill="1" applyBorder="1" applyAlignment="1">
      <alignment horizontal="center" vertical="center"/>
    </xf>
    <xf numFmtId="0" fontId="36" fillId="10" borderId="138" xfId="6" applyFont="1" applyFill="1" applyBorder="1" applyAlignment="1">
      <alignment horizontal="center" vertical="center"/>
    </xf>
    <xf numFmtId="0" fontId="41" fillId="8" borderId="96" xfId="0" applyFont="1" applyFill="1" applyBorder="1" applyAlignment="1">
      <alignment horizontal="center" vertical="center"/>
    </xf>
    <xf numFmtId="174" fontId="41" fillId="8" borderId="96" xfId="0" applyNumberFormat="1" applyFont="1" applyFill="1" applyBorder="1" applyAlignment="1">
      <alignment horizont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1817.6479766325006</c:v>
                </c:pt>
                <c:pt idx="1">
                  <c:v>2209.7942776950003</c:v>
                </c:pt>
                <c:pt idx="2">
                  <c:v>5.1607714649999998</c:v>
                </c:pt>
                <c:pt idx="3">
                  <c:v>2.3218834200000003</c:v>
                </c:pt>
                <c:pt idx="4">
                  <c:v>20.0795798075</c:v>
                </c:pt>
                <c:pt idx="5">
                  <c:v>147.70153075500002</c:v>
                </c:pt>
                <c:pt idx="6">
                  <c:v>67.23456245749999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2209.7942776950003</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5.1607714649999998</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2.3218834200000003</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20.0795798075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147.70153075500002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67.23456245749999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RER'!$L$31:$L$35</c:f>
              <c:strCache>
                <c:ptCount val="5"/>
                <c:pt idx="0">
                  <c:v>C.E. WAYRA I</c:v>
                </c:pt>
                <c:pt idx="1">
                  <c:v>C.E. TRES HERMANAS</c:v>
                </c:pt>
                <c:pt idx="2">
                  <c:v>C.E. CUPISNIQUE</c:v>
                </c:pt>
                <c:pt idx="3">
                  <c:v>C.E. MARCONA</c:v>
                </c:pt>
                <c:pt idx="4">
                  <c:v>C.E. TALARA</c:v>
                </c:pt>
              </c:strCache>
            </c:strRef>
          </c:cat>
          <c:val>
            <c:numRef>
              <c:f>'6. FP RER'!$O$31:$O$35</c:f>
              <c:numCache>
                <c:formatCode>0.00</c:formatCode>
                <c:ptCount val="5"/>
                <c:pt idx="0">
                  <c:v>53.298124309999999</c:v>
                </c:pt>
                <c:pt idx="1">
                  <c:v>40.208552394999998</c:v>
                </c:pt>
                <c:pt idx="2">
                  <c:v>28.167192072500001</c:v>
                </c:pt>
                <c:pt idx="3">
                  <c:v>13.998350742500001</c:v>
                </c:pt>
                <c:pt idx="4">
                  <c:v>12.029311235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RER'!$L$31:$L$35</c:f>
              <c:strCache>
                <c:ptCount val="5"/>
                <c:pt idx="0">
                  <c:v>C.E. WAYRA I</c:v>
                </c:pt>
                <c:pt idx="1">
                  <c:v>C.E. TRES HERMANAS</c:v>
                </c:pt>
                <c:pt idx="2">
                  <c:v>C.E. CUPISNIQUE</c:v>
                </c:pt>
                <c:pt idx="3">
                  <c:v>C.E. MARCONA</c:v>
                </c:pt>
                <c:pt idx="4">
                  <c:v>C.E. TALARA</c:v>
                </c:pt>
              </c:strCache>
            </c:strRef>
          </c:cat>
          <c:val>
            <c:numRef>
              <c:f>'6. FP RER'!$P$31:$P$35</c:f>
              <c:numCache>
                <c:formatCode>0.00</c:formatCode>
                <c:ptCount val="5"/>
                <c:pt idx="0">
                  <c:v>0.55952511453346765</c:v>
                </c:pt>
                <c:pt idx="1">
                  <c:v>0.57483491157717148</c:v>
                </c:pt>
                <c:pt idx="2">
                  <c:v>0.47048827541424465</c:v>
                </c:pt>
                <c:pt idx="3">
                  <c:v>0.6075673065321181</c:v>
                </c:pt>
                <c:pt idx="4">
                  <c:v>0.54139263497335632</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RER'!$L$36:$L$42</c:f>
              <c:strCache>
                <c:ptCount val="7"/>
                <c:pt idx="0">
                  <c:v>C.S. RUBI</c:v>
                </c:pt>
                <c:pt idx="1">
                  <c:v>C.S. RUBI</c:v>
                </c:pt>
                <c:pt idx="2">
                  <c:v>C.S. INTIPAMPA</c:v>
                </c:pt>
                <c:pt idx="3">
                  <c:v>C.S. PANAMERICANA SOLAR</c:v>
                </c:pt>
                <c:pt idx="4">
                  <c:v>C.S. MOQUEGUA FV</c:v>
                </c:pt>
                <c:pt idx="5">
                  <c:v>C.S. MAJES SOLAR</c:v>
                </c:pt>
                <c:pt idx="6">
                  <c:v>C.S. TACNA SOLAR</c:v>
                </c:pt>
              </c:strCache>
            </c:strRef>
          </c:cat>
          <c:val>
            <c:numRef>
              <c:f>'6. FP RER'!$O$36:$O$42</c:f>
              <c:numCache>
                <c:formatCode>0.00</c:formatCode>
                <c:ptCount val="7"/>
                <c:pt idx="0">
                  <c:v>37.765854772499999</c:v>
                </c:pt>
                <c:pt idx="1">
                  <c:v>37.765854772499999</c:v>
                </c:pt>
                <c:pt idx="2">
                  <c:v>9.361534240000001</c:v>
                </c:pt>
                <c:pt idx="3">
                  <c:v>4.4721122500000003</c:v>
                </c:pt>
                <c:pt idx="4">
                  <c:v>4.1241915774999995</c:v>
                </c:pt>
                <c:pt idx="5">
                  <c:v>3.8522924999999999</c:v>
                </c:pt>
                <c:pt idx="6">
                  <c:v>3.8375719075000001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RER'!$L$36:$L$42</c:f>
              <c:strCache>
                <c:ptCount val="7"/>
                <c:pt idx="0">
                  <c:v>C.S. RUBI</c:v>
                </c:pt>
                <c:pt idx="1">
                  <c:v>C.S. RUBI</c:v>
                </c:pt>
                <c:pt idx="2">
                  <c:v>C.S. INTIPAMPA</c:v>
                </c:pt>
                <c:pt idx="3">
                  <c:v>C.S. PANAMERICANA SOLAR</c:v>
                </c:pt>
                <c:pt idx="4">
                  <c:v>C.S. MOQUEGUA FV</c:v>
                </c:pt>
                <c:pt idx="5">
                  <c:v>C.S. MAJES SOLAR</c:v>
                </c:pt>
                <c:pt idx="6">
                  <c:v>C.S. TACNA SOLAR</c:v>
                </c:pt>
              </c:strCache>
            </c:strRef>
          </c:cat>
          <c:val>
            <c:numRef>
              <c:f>'6. FP RER'!$P$36:$P$42</c:f>
              <c:numCache>
                <c:formatCode>0.00</c:formatCode>
                <c:ptCount val="7"/>
                <c:pt idx="0">
                  <c:v>0.36304385432528152</c:v>
                </c:pt>
                <c:pt idx="1">
                  <c:v>0.36304385432528152</c:v>
                </c:pt>
                <c:pt idx="2">
                  <c:v>0.29192031631991217</c:v>
                </c:pt>
                <c:pt idx="3">
                  <c:v>0.31056335069444446</c:v>
                </c:pt>
                <c:pt idx="4">
                  <c:v>0.35800274110243052</c:v>
                </c:pt>
                <c:pt idx="5">
                  <c:v>0.26752031250000002</c:v>
                </c:pt>
                <c:pt idx="6">
                  <c:v>0.26649804913194447</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RER'!$L$43:$L$46</c:f>
              <c:strCache>
                <c:ptCount val="4"/>
                <c:pt idx="0">
                  <c:v>C.S. REPARTICION</c:v>
                </c:pt>
                <c:pt idx="1">
                  <c:v>C.T. HUAYCOLORO</c:v>
                </c:pt>
                <c:pt idx="2">
                  <c:v>C.T. LA GRINGA</c:v>
                </c:pt>
                <c:pt idx="3">
                  <c:v>C.T. DOÑA CATALINA</c:v>
                </c:pt>
              </c:strCache>
            </c:strRef>
          </c:cat>
          <c:val>
            <c:numRef>
              <c:f>'6. FP RER'!$O$43:$O$46</c:f>
              <c:numCache>
                <c:formatCode>0.00</c:formatCode>
                <c:ptCount val="4"/>
                <c:pt idx="0">
                  <c:v>3.8210052099999996</c:v>
                </c:pt>
                <c:pt idx="1">
                  <c:v>2.8265891850000004</c:v>
                </c:pt>
                <c:pt idx="2">
                  <c:v>1.9036436050000001</c:v>
                </c:pt>
                <c:pt idx="3">
                  <c:v>0.83586089250000006</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RER'!$L$43:$L$46</c:f>
              <c:strCache>
                <c:ptCount val="4"/>
                <c:pt idx="0">
                  <c:v>C.S. REPARTICION</c:v>
                </c:pt>
                <c:pt idx="1">
                  <c:v>C.T. HUAYCOLORO</c:v>
                </c:pt>
                <c:pt idx="2">
                  <c:v>C.T. LA GRINGA</c:v>
                </c:pt>
                <c:pt idx="3">
                  <c:v>C.T. DOÑA CATALINA</c:v>
                </c:pt>
              </c:strCache>
            </c:strRef>
          </c:cat>
          <c:val>
            <c:numRef>
              <c:f>'6. FP RER'!$P$43:$P$46</c:f>
              <c:numCache>
                <c:formatCode>0.00</c:formatCode>
                <c:ptCount val="4"/>
                <c:pt idx="0">
                  <c:v>0.26534758402777775</c:v>
                </c:pt>
                <c:pt idx="1">
                  <c:v>0.92101309384164221</c:v>
                </c:pt>
                <c:pt idx="2">
                  <c:v>0.89513134420858198</c:v>
                </c:pt>
                <c:pt idx="3">
                  <c:v>0.48371579427083344</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RER'!$S$6:$T$46</c:f>
              <c:multiLvlStrCache>
                <c:ptCount val="41"/>
                <c:lvl>
                  <c:pt idx="0">
                    <c:v>C.H. YARUCAYA</c:v>
                  </c:pt>
                  <c:pt idx="1">
                    <c:v>C.H. RENOVANDES H1</c:v>
                  </c:pt>
                  <c:pt idx="2">
                    <c:v>C.H. LA JOYA</c:v>
                  </c:pt>
                  <c:pt idx="3">
                    <c:v>C.H. IMPERIAL</c:v>
                  </c:pt>
                  <c:pt idx="4">
                    <c:v>C.H. CARHUAQUERO IV</c:v>
                  </c:pt>
                  <c:pt idx="5">
                    <c:v>C.H. CANCHAYLLO</c:v>
                  </c:pt>
                  <c:pt idx="6">
                    <c:v>C.H. CAÑA BRAVA</c:v>
                  </c:pt>
                  <c:pt idx="7">
                    <c:v>C.H. HER 1</c:v>
                  </c:pt>
                  <c:pt idx="8">
                    <c:v>C.H. ZAÑA</c:v>
                  </c:pt>
                  <c:pt idx="9">
                    <c:v>C.H. CARHUAC</c:v>
                  </c:pt>
                  <c:pt idx="10">
                    <c:v>C.H. POECHOS II</c:v>
                  </c:pt>
                  <c:pt idx="11">
                    <c:v>C.H. YANAPAMPA</c:v>
                  </c:pt>
                  <c:pt idx="12">
                    <c:v>C.H. RUNATULLO III</c:v>
                  </c:pt>
                  <c:pt idx="13">
                    <c:v>C.H. POTRERO</c:v>
                  </c:pt>
                  <c:pt idx="14">
                    <c:v>C.H. LAS PIZARRAS</c:v>
                  </c:pt>
                  <c:pt idx="15">
                    <c:v>C.H. HUASAHUASI II</c:v>
                  </c:pt>
                  <c:pt idx="16">
                    <c:v>C.H. HUASAHUASI I</c:v>
                  </c:pt>
                  <c:pt idx="17">
                    <c:v>C.H. SANTA CRUZ II</c:v>
                  </c:pt>
                  <c:pt idx="18">
                    <c:v>C.H. SANTA CRUZ I</c:v>
                  </c:pt>
                  <c:pt idx="19">
                    <c:v>C.H. RUNATULLO II</c:v>
                  </c:pt>
                  <c:pt idx="20">
                    <c:v>C.H. RONCADOR</c:v>
                  </c:pt>
                  <c:pt idx="21">
                    <c:v>C.H. ÁNGEL II</c:v>
                  </c:pt>
                  <c:pt idx="22">
                    <c:v>C.H. ÁNGEL III</c:v>
                  </c:pt>
                  <c:pt idx="23">
                    <c:v>C.H. ÁNGEL I</c:v>
                  </c:pt>
                  <c:pt idx="24">
                    <c:v>C.H. PURMACANA</c:v>
                  </c:pt>
                  <c:pt idx="25">
                    <c:v>C.E. MARCONA</c:v>
                  </c:pt>
                  <c:pt idx="26">
                    <c:v>C.E. TRES HERMANAS</c:v>
                  </c:pt>
                  <c:pt idx="27">
                    <c:v>C.E. WAYRA I</c:v>
                  </c:pt>
                  <c:pt idx="28">
                    <c:v>C.E. TALARA</c:v>
                  </c:pt>
                  <c:pt idx="29">
                    <c:v>C.E. CUPISNIQUE</c:v>
                  </c:pt>
                  <c:pt idx="30">
                    <c:v>C.S. MOQUEGUA FV</c:v>
                  </c:pt>
                  <c:pt idx="31">
                    <c:v>C.S. RUBI</c:v>
                  </c:pt>
                  <c:pt idx="32">
                    <c:v>C.S. PANAMERICANA SOLAR</c:v>
                  </c:pt>
                  <c:pt idx="33">
                    <c:v>C.S. TACNA SOLAR</c:v>
                  </c:pt>
                  <c:pt idx="34">
                    <c:v>C.S. INTIPAMPA</c:v>
                  </c:pt>
                  <c:pt idx="35">
                    <c:v>C.S. MAJES SOLAR</c:v>
                  </c:pt>
                  <c:pt idx="36">
                    <c:v>C.S. REPARTICION</c:v>
                  </c:pt>
                  <c:pt idx="37">
                    <c:v>C.T. HUAYCOLORO</c:v>
                  </c:pt>
                  <c:pt idx="38">
                    <c:v>C.T. PARAMONGA</c:v>
                  </c:pt>
                  <c:pt idx="39">
                    <c:v>C.T. DOÑA CATALINA</c:v>
                  </c:pt>
                  <c:pt idx="40">
                    <c:v>C.T. LA GRINGA</c:v>
                  </c:pt>
                </c:lvl>
                <c:lvl>
                  <c:pt idx="0">
                    <c:v>HIDROELÉCTRICAS</c:v>
                  </c:pt>
                  <c:pt idx="25">
                    <c:v>EÓLICAS</c:v>
                  </c:pt>
                  <c:pt idx="30">
                    <c:v>SOLARES</c:v>
                  </c:pt>
                  <c:pt idx="37">
                    <c:v>TERMOELÉCTRICAS</c:v>
                  </c:pt>
                </c:lvl>
              </c:multiLvlStrCache>
            </c:multiLvlStrRef>
          </c:cat>
          <c:val>
            <c:numRef>
              <c:f>'6. FP RER'!$U$6:$U$46</c:f>
              <c:numCache>
                <c:formatCode>0.000</c:formatCode>
                <c:ptCount val="41"/>
                <c:pt idx="0">
                  <c:v>1</c:v>
                </c:pt>
                <c:pt idx="1">
                  <c:v>0.91969316766361509</c:v>
                </c:pt>
                <c:pt idx="2">
                  <c:v>0.83579030249930852</c:v>
                </c:pt>
                <c:pt idx="3">
                  <c:v>0.81093085633953876</c:v>
                </c:pt>
                <c:pt idx="4">
                  <c:v>0.80465221829491052</c:v>
                </c:pt>
                <c:pt idx="5">
                  <c:v>0.74806305732152467</c:v>
                </c:pt>
                <c:pt idx="6">
                  <c:v>0.67869229295469391</c:v>
                </c:pt>
                <c:pt idx="7">
                  <c:v>0.67432120126896899</c:v>
                </c:pt>
                <c:pt idx="8">
                  <c:v>0.66487948972323963</c:v>
                </c:pt>
                <c:pt idx="9">
                  <c:v>0.65770787955967636</c:v>
                </c:pt>
                <c:pt idx="10">
                  <c:v>0.65399430634468769</c:v>
                </c:pt>
                <c:pt idx="11">
                  <c:v>0.65338195887271067</c:v>
                </c:pt>
                <c:pt idx="12">
                  <c:v>0.63910913796891822</c:v>
                </c:pt>
                <c:pt idx="13">
                  <c:v>0.61293802701695299</c:v>
                </c:pt>
                <c:pt idx="14">
                  <c:v>0.60566735279421491</c:v>
                </c:pt>
                <c:pt idx="15">
                  <c:v>0.58804063962719944</c:v>
                </c:pt>
                <c:pt idx="16">
                  <c:v>0.57965833976373315</c:v>
                </c:pt>
                <c:pt idx="17">
                  <c:v>0.5459520451832125</c:v>
                </c:pt>
                <c:pt idx="18">
                  <c:v>0.53318331825068643</c:v>
                </c:pt>
                <c:pt idx="19">
                  <c:v>0.5184324384012623</c:v>
                </c:pt>
                <c:pt idx="20">
                  <c:v>0.49498247190030614</c:v>
                </c:pt>
                <c:pt idx="21">
                  <c:v>0.42543033087634086</c:v>
                </c:pt>
                <c:pt idx="22">
                  <c:v>0.4213830456583898</c:v>
                </c:pt>
                <c:pt idx="23">
                  <c:v>0.37214025846494225</c:v>
                </c:pt>
                <c:pt idx="24">
                  <c:v>0.12770013640984329</c:v>
                </c:pt>
                <c:pt idx="25">
                  <c:v>0.57359810992826632</c:v>
                </c:pt>
                <c:pt idx="26">
                  <c:v>0.55331145985526431</c:v>
                </c:pt>
                <c:pt idx="27">
                  <c:v>0.49761876143535</c:v>
                </c:pt>
                <c:pt idx="28">
                  <c:v>0.43766154553887443</c:v>
                </c:pt>
                <c:pt idx="29">
                  <c:v>0.42640365272004999</c:v>
                </c:pt>
                <c:pt idx="30">
                  <c:v>0.31895291459191843</c:v>
                </c:pt>
                <c:pt idx="31">
                  <c:v>0.30852202255877498</c:v>
                </c:pt>
                <c:pt idx="32">
                  <c:v>0.27637616252670943</c:v>
                </c:pt>
                <c:pt idx="33">
                  <c:v>0.25655436252289376</c:v>
                </c:pt>
                <c:pt idx="34">
                  <c:v>0.24915261302211231</c:v>
                </c:pt>
                <c:pt idx="35">
                  <c:v>0.24655560183913305</c:v>
                </c:pt>
                <c:pt idx="36">
                  <c:v>0.24155314201770448</c:v>
                </c:pt>
                <c:pt idx="37">
                  <c:v>0.9043223541691281</c:v>
                </c:pt>
                <c:pt idx="38">
                  <c:v>0.8461399169921282</c:v>
                </c:pt>
                <c:pt idx="39">
                  <c:v>0.69841772105209643</c:v>
                </c:pt>
                <c:pt idx="40">
                  <c:v>0.67132446988221084</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RER'!$S$6:$T$46</c:f>
              <c:multiLvlStrCache>
                <c:ptCount val="41"/>
                <c:lvl>
                  <c:pt idx="0">
                    <c:v>C.H. YARUCAYA</c:v>
                  </c:pt>
                  <c:pt idx="1">
                    <c:v>C.H. RENOVANDES H1</c:v>
                  </c:pt>
                  <c:pt idx="2">
                    <c:v>C.H. LA JOYA</c:v>
                  </c:pt>
                  <c:pt idx="3">
                    <c:v>C.H. IMPERIAL</c:v>
                  </c:pt>
                  <c:pt idx="4">
                    <c:v>C.H. CARHUAQUERO IV</c:v>
                  </c:pt>
                  <c:pt idx="5">
                    <c:v>C.H. CANCHAYLLO</c:v>
                  </c:pt>
                  <c:pt idx="6">
                    <c:v>C.H. CAÑA BRAVA</c:v>
                  </c:pt>
                  <c:pt idx="7">
                    <c:v>C.H. HER 1</c:v>
                  </c:pt>
                  <c:pt idx="8">
                    <c:v>C.H. ZAÑA</c:v>
                  </c:pt>
                  <c:pt idx="9">
                    <c:v>C.H. CARHUAC</c:v>
                  </c:pt>
                  <c:pt idx="10">
                    <c:v>C.H. POECHOS II</c:v>
                  </c:pt>
                  <c:pt idx="11">
                    <c:v>C.H. YANAPAMPA</c:v>
                  </c:pt>
                  <c:pt idx="12">
                    <c:v>C.H. RUNATULLO III</c:v>
                  </c:pt>
                  <c:pt idx="13">
                    <c:v>C.H. POTRERO</c:v>
                  </c:pt>
                  <c:pt idx="14">
                    <c:v>C.H. LAS PIZARRAS</c:v>
                  </c:pt>
                  <c:pt idx="15">
                    <c:v>C.H. HUASAHUASI II</c:v>
                  </c:pt>
                  <c:pt idx="16">
                    <c:v>C.H. HUASAHUASI I</c:v>
                  </c:pt>
                  <c:pt idx="17">
                    <c:v>C.H. SANTA CRUZ II</c:v>
                  </c:pt>
                  <c:pt idx="18">
                    <c:v>C.H. SANTA CRUZ I</c:v>
                  </c:pt>
                  <c:pt idx="19">
                    <c:v>C.H. RUNATULLO II</c:v>
                  </c:pt>
                  <c:pt idx="20">
                    <c:v>C.H. RONCADOR</c:v>
                  </c:pt>
                  <c:pt idx="21">
                    <c:v>C.H. ÁNGEL II</c:v>
                  </c:pt>
                  <c:pt idx="22">
                    <c:v>C.H. ÁNGEL III</c:v>
                  </c:pt>
                  <c:pt idx="23">
                    <c:v>C.H. ÁNGEL I</c:v>
                  </c:pt>
                  <c:pt idx="24">
                    <c:v>C.H. PURMACANA</c:v>
                  </c:pt>
                  <c:pt idx="25">
                    <c:v>C.E. MARCONA</c:v>
                  </c:pt>
                  <c:pt idx="26">
                    <c:v>C.E. TRES HERMANAS</c:v>
                  </c:pt>
                  <c:pt idx="27">
                    <c:v>C.E. WAYRA I</c:v>
                  </c:pt>
                  <c:pt idx="28">
                    <c:v>C.E. TALARA</c:v>
                  </c:pt>
                  <c:pt idx="29">
                    <c:v>C.E. CUPISNIQUE</c:v>
                  </c:pt>
                  <c:pt idx="30">
                    <c:v>C.S. MOQUEGUA FV</c:v>
                  </c:pt>
                  <c:pt idx="31">
                    <c:v>C.S. RUBI</c:v>
                  </c:pt>
                  <c:pt idx="32">
                    <c:v>C.S. PANAMERICANA SOLAR</c:v>
                  </c:pt>
                  <c:pt idx="33">
                    <c:v>C.S. TACNA SOLAR</c:v>
                  </c:pt>
                  <c:pt idx="34">
                    <c:v>C.S. INTIPAMPA</c:v>
                  </c:pt>
                  <c:pt idx="35">
                    <c:v>C.S. MAJES SOLAR</c:v>
                  </c:pt>
                  <c:pt idx="36">
                    <c:v>C.S. REPARTICION</c:v>
                  </c:pt>
                  <c:pt idx="37">
                    <c:v>C.T. HUAYCOLORO</c:v>
                  </c:pt>
                  <c:pt idx="38">
                    <c:v>C.T. PARAMONGA</c:v>
                  </c:pt>
                  <c:pt idx="39">
                    <c:v>C.T. DOÑA CATALINA</c:v>
                  </c:pt>
                  <c:pt idx="40">
                    <c:v>C.T. LA GRINGA</c:v>
                  </c:pt>
                </c:lvl>
                <c:lvl>
                  <c:pt idx="0">
                    <c:v>HIDROELÉCTRICAS</c:v>
                  </c:pt>
                  <c:pt idx="25">
                    <c:v>EÓLICAS</c:v>
                  </c:pt>
                  <c:pt idx="30">
                    <c:v>SOLARES</c:v>
                  </c:pt>
                  <c:pt idx="37">
                    <c:v>TERMOELÉCTRICAS</c:v>
                  </c:pt>
                </c:lvl>
              </c:multiLvlStrCache>
            </c:multiLvlStrRef>
          </c:cat>
          <c:val>
            <c:numRef>
              <c:f>'6. FP RER'!$V$6:$V$46</c:f>
              <c:numCache>
                <c:formatCode>0.000</c:formatCode>
                <c:ptCount val="41"/>
                <c:pt idx="0">
                  <c:v>1.0030220009920636</c:v>
                </c:pt>
                <c:pt idx="1">
                  <c:v>0.9274880959401709</c:v>
                </c:pt>
                <c:pt idx="2">
                  <c:v>0.79297419092904087</c:v>
                </c:pt>
                <c:pt idx="3">
                  <c:v>0.71783875391342589</c:v>
                </c:pt>
                <c:pt idx="4">
                  <c:v>0.8033628646492077</c:v>
                </c:pt>
                <c:pt idx="5">
                  <c:v>0.76831971200171956</c:v>
                </c:pt>
                <c:pt idx="6">
                  <c:v>0.58920329017567774</c:v>
                </c:pt>
                <c:pt idx="7">
                  <c:v>0.60700272042410719</c:v>
                </c:pt>
                <c:pt idx="10">
                  <c:v>0.64635739583102003</c:v>
                </c:pt>
                <c:pt idx="11">
                  <c:v>0.73506635754606375</c:v>
                </c:pt>
                <c:pt idx="12">
                  <c:v>0.72224786794525664</c:v>
                </c:pt>
                <c:pt idx="13">
                  <c:v>0.53640348328562837</c:v>
                </c:pt>
                <c:pt idx="15">
                  <c:v>0.64192518421625988</c:v>
                </c:pt>
                <c:pt idx="16">
                  <c:v>0.63082701531054963</c:v>
                </c:pt>
                <c:pt idx="17">
                  <c:v>0.52568299519378792</c:v>
                </c:pt>
                <c:pt idx="18">
                  <c:v>0.5044610853679552</c:v>
                </c:pt>
                <c:pt idx="20">
                  <c:v>0.80489530188641167</c:v>
                </c:pt>
                <c:pt idx="21">
                  <c:v>0.31301159554940677</c:v>
                </c:pt>
                <c:pt idx="22">
                  <c:v>0.3107486497990038</c:v>
                </c:pt>
                <c:pt idx="23">
                  <c:v>0.24204189918154759</c:v>
                </c:pt>
                <c:pt idx="24">
                  <c:v>0.16512139710250859</c:v>
                </c:pt>
                <c:pt idx="25">
                  <c:v>0.16512139710250859</c:v>
                </c:pt>
                <c:pt idx="26">
                  <c:v>0.54278751066726483</c:v>
                </c:pt>
                <c:pt idx="27">
                  <c:v>0.51381918585472586</c:v>
                </c:pt>
                <c:pt idx="28">
                  <c:v>0.43026682119839738</c:v>
                </c:pt>
                <c:pt idx="29">
                  <c:v>0.37654029466474598</c:v>
                </c:pt>
                <c:pt idx="30">
                  <c:v>0.32481071979452841</c:v>
                </c:pt>
                <c:pt idx="31">
                  <c:v>0.30661076948650223</c:v>
                </c:pt>
                <c:pt idx="32">
                  <c:v>0.28205015766178271</c:v>
                </c:pt>
                <c:pt idx="33">
                  <c:v>0.26449013991910869</c:v>
                </c:pt>
                <c:pt idx="34">
                  <c:v>0.24386285951745865</c:v>
                </c:pt>
                <c:pt idx="35">
                  <c:v>0.24516076055021369</c:v>
                </c:pt>
                <c:pt idx="36">
                  <c:v>0.22493853208943834</c:v>
                </c:pt>
                <c:pt idx="37">
                  <c:v>0.8464303342714633</c:v>
                </c:pt>
                <c:pt idx="38">
                  <c:v>0.79525250739345632</c:v>
                </c:pt>
                <c:pt idx="39">
                  <c:v>0.82567104640151534</c:v>
                </c:pt>
                <c:pt idx="40">
                  <c:v>0.42768907219098928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empresa'!$L$5:$L$60</c:f>
              <c:strCache>
                <c:ptCount val="56"/>
                <c:pt idx="0">
                  <c:v>HYDRO PATAPO</c:v>
                </c:pt>
                <c:pt idx="1">
                  <c:v>SHOUGESA</c:v>
                </c:pt>
                <c:pt idx="2">
                  <c:v>CERRO VERDE</c:v>
                </c:pt>
                <c:pt idx="3">
                  <c:v>AGROAURORA</c:v>
                </c:pt>
                <c:pt idx="4">
                  <c:v>PLANTA  ETEN</c:v>
                </c:pt>
                <c:pt idx="5">
                  <c:v>IYEPSA</c:v>
                </c:pt>
                <c:pt idx="6">
                  <c:v>ELECTRICA SANTA ROSA / ATRIA</c:v>
                </c:pt>
                <c:pt idx="7">
                  <c:v>SAMAY I</c:v>
                </c:pt>
                <c:pt idx="8">
                  <c:v>MAJA ENERGIA</c:v>
                </c:pt>
                <c:pt idx="9">
                  <c:v>RIO DOBLE</c:v>
                </c:pt>
                <c:pt idx="10">
                  <c:v>ELECTRICA YANAPAMPA</c:v>
                </c:pt>
                <c:pt idx="11">
                  <c:v>AGUA AZUL</c:v>
                </c:pt>
                <c:pt idx="12">
                  <c:v>HIDROCAÑETE</c:v>
                </c:pt>
                <c:pt idx="13">
                  <c:v>ELECTRO ZAÑA</c:v>
                </c:pt>
                <c:pt idx="14">
                  <c:v>EGECSAC</c:v>
                </c:pt>
                <c:pt idx="15">
                  <c:v>GTS REPARTICION</c:v>
                </c:pt>
                <c:pt idx="16">
                  <c:v>TACNA SOLAR</c:v>
                </c:pt>
                <c:pt idx="17">
                  <c:v>GTS MAJES</c:v>
                </c:pt>
                <c:pt idx="18">
                  <c:v>MOQUEGUA FV</c:v>
                </c:pt>
                <c:pt idx="19">
                  <c:v>PANAMERICANA SOLAR</c:v>
                </c:pt>
                <c:pt idx="20">
                  <c:v>SAN JACINTO</c:v>
                </c:pt>
                <c:pt idx="21">
                  <c:v>PETRAMAS</c:v>
                </c:pt>
                <c:pt idx="22">
                  <c:v>HIDROMARAÑON/ CELEPSA RENOVABLES</c:v>
                </c:pt>
                <c:pt idx="23">
                  <c:v>EGESUR</c:v>
                </c:pt>
                <c:pt idx="24">
                  <c:v>ANDEAN POWER</c:v>
                </c:pt>
                <c:pt idx="25">
                  <c:v>RIO BAÑOS</c:v>
                </c:pt>
                <c:pt idx="26">
                  <c:v>AIPSA</c:v>
                </c:pt>
                <c:pt idx="27">
                  <c:v>HUAURA POWER</c:v>
                </c:pt>
                <c:pt idx="28">
                  <c:v>EMGE JUNÍN / SANTA CRUZ</c:v>
                </c:pt>
                <c:pt idx="29">
                  <c:v>HIDROELECTRICA HUANCHOR</c:v>
                </c:pt>
                <c:pt idx="30">
                  <c:v>SANTA ANA</c:v>
                </c:pt>
                <c:pt idx="31">
                  <c:v>P.E. MARCONA</c:v>
                </c:pt>
                <c:pt idx="32">
                  <c:v>GEPSA</c:v>
                </c:pt>
                <c:pt idx="33">
                  <c:v>SINERSA</c:v>
                </c:pt>
                <c:pt idx="34">
                  <c:v>SDF ENERGIA</c:v>
                </c:pt>
                <c:pt idx="35">
                  <c:v>CHINANGO</c:v>
                </c:pt>
                <c:pt idx="36">
                  <c:v>EMGE HUANZA</c:v>
                </c:pt>
                <c:pt idx="37">
                  <c:v>INLAND</c:v>
                </c:pt>
                <c:pt idx="38">
                  <c:v>ENERGÍA EÓLICA</c:v>
                </c:pt>
                <c:pt idx="39">
                  <c:v>P.E. TRES HERMANAS</c:v>
                </c:pt>
                <c:pt idx="40">
                  <c:v>SAN GABAN</c:v>
                </c:pt>
                <c:pt idx="41">
                  <c:v>EMGE HUALLAGA</c:v>
                </c:pt>
                <c:pt idx="42">
                  <c:v>TERMOSELVA</c:v>
                </c:pt>
                <c:pt idx="43">
                  <c:v>CELEPSA</c:v>
                </c:pt>
                <c:pt idx="44">
                  <c:v>ENEL GENERACION PIURA</c:v>
                </c:pt>
                <c:pt idx="45">
                  <c:v>EGEMSA</c:v>
                </c:pt>
                <c:pt idx="46">
                  <c:v>EGASA</c:v>
                </c:pt>
                <c:pt idx="47">
                  <c:v>ORAZUL ENERGY PERÚ</c:v>
                </c:pt>
                <c:pt idx="48">
                  <c:v>ENEL GREEN POWER PERU</c:v>
                </c:pt>
                <c:pt idx="49">
                  <c:v>STATKRAFT</c:v>
                </c:pt>
                <c:pt idx="50">
                  <c:v>TERMOCHILCA</c:v>
                </c:pt>
                <c:pt idx="51">
                  <c:v>FENIX POWER</c:v>
                </c:pt>
                <c:pt idx="52">
                  <c:v>ELECTROPERU</c:v>
                </c:pt>
                <c:pt idx="53">
                  <c:v>ENEL GENERACION PERU</c:v>
                </c:pt>
                <c:pt idx="54">
                  <c:v>ENGIE</c:v>
                </c:pt>
                <c:pt idx="55">
                  <c:v>KALLPA</c:v>
                </c:pt>
              </c:strCache>
            </c:strRef>
          </c:cat>
          <c:val>
            <c:numRef>
              <c:f>'7. Generacion empresa'!$M$5:$M$60</c:f>
              <c:numCache>
                <c:formatCode>General</c:formatCode>
                <c:ptCount val="56"/>
                <c:pt idx="0">
                  <c:v>0</c:v>
                </c:pt>
                <c:pt idx="1">
                  <c:v>0</c:v>
                </c:pt>
                <c:pt idx="2">
                  <c:v>0</c:v>
                </c:pt>
                <c:pt idx="3">
                  <c:v>0</c:v>
                </c:pt>
                <c:pt idx="4">
                  <c:v>2.8826350000000001E-2</c:v>
                </c:pt>
                <c:pt idx="5">
                  <c:v>5.15941725E-2</c:v>
                </c:pt>
                <c:pt idx="6">
                  <c:v>0.15982693750000002</c:v>
                </c:pt>
                <c:pt idx="7">
                  <c:v>0.39760923749999999</c:v>
                </c:pt>
                <c:pt idx="8">
                  <c:v>0.6625598425</c:v>
                </c:pt>
                <c:pt idx="9">
                  <c:v>0.99366155749999996</c:v>
                </c:pt>
                <c:pt idx="10">
                  <c:v>1.38822505</c:v>
                </c:pt>
                <c:pt idx="11">
                  <c:v>2.2496731324999999</c:v>
                </c:pt>
                <c:pt idx="12">
                  <c:v>2.4851999999999999</c:v>
                </c:pt>
                <c:pt idx="13">
                  <c:v>2.99821523</c:v>
                </c:pt>
                <c:pt idx="14">
                  <c:v>3.2224154575000004</c:v>
                </c:pt>
                <c:pt idx="15">
                  <c:v>3.8210052099999996</c:v>
                </c:pt>
                <c:pt idx="16">
                  <c:v>3.8375719075000001</c:v>
                </c:pt>
                <c:pt idx="17">
                  <c:v>3.8522924999999999</c:v>
                </c:pt>
                <c:pt idx="18">
                  <c:v>4.1241915774999995</c:v>
                </c:pt>
                <c:pt idx="19">
                  <c:v>4.4721122500000003</c:v>
                </c:pt>
                <c:pt idx="20">
                  <c:v>4.6590728674999999</c:v>
                </c:pt>
                <c:pt idx="21">
                  <c:v>5.5660936825</c:v>
                </c:pt>
                <c:pt idx="22">
                  <c:v>7.8163281675</c:v>
                </c:pt>
                <c:pt idx="23">
                  <c:v>8.6809993575000011</c:v>
                </c:pt>
                <c:pt idx="24">
                  <c:v>8.9863658925000003</c:v>
                </c:pt>
                <c:pt idx="25">
                  <c:v>9.5471700024999997</c:v>
                </c:pt>
                <c:pt idx="26">
                  <c:v>9.854413257500001</c:v>
                </c:pt>
                <c:pt idx="27">
                  <c:v>10.729280215000001</c:v>
                </c:pt>
                <c:pt idx="28">
                  <c:v>11.493701147499999</c:v>
                </c:pt>
                <c:pt idx="29">
                  <c:v>11.708158040000001</c:v>
                </c:pt>
                <c:pt idx="30">
                  <c:v>12.529277952500001</c:v>
                </c:pt>
                <c:pt idx="31">
                  <c:v>13.998350742500001</c:v>
                </c:pt>
                <c:pt idx="32">
                  <c:v>15.076537867499999</c:v>
                </c:pt>
                <c:pt idx="33">
                  <c:v>17.389975890000002</c:v>
                </c:pt>
                <c:pt idx="34">
                  <c:v>20.6531884525</c:v>
                </c:pt>
                <c:pt idx="35">
                  <c:v>35.761432582499999</c:v>
                </c:pt>
                <c:pt idx="36">
                  <c:v>36.4745207725</c:v>
                </c:pt>
                <c:pt idx="37">
                  <c:v>37.214572662499997</c:v>
                </c:pt>
                <c:pt idx="38">
                  <c:v>40.196503307500002</c:v>
                </c:pt>
                <c:pt idx="39">
                  <c:v>40.208552394999998</c:v>
                </c:pt>
                <c:pt idx="40">
                  <c:v>48.571564442499998</c:v>
                </c:pt>
                <c:pt idx="41">
                  <c:v>49.993240772500002</c:v>
                </c:pt>
                <c:pt idx="42">
                  <c:v>50.505097482499998</c:v>
                </c:pt>
                <c:pt idx="43">
                  <c:v>57.352166005000001</c:v>
                </c:pt>
                <c:pt idx="44">
                  <c:v>63.313720462500001</c:v>
                </c:pt>
                <c:pt idx="45">
                  <c:v>68.187194457499999</c:v>
                </c:pt>
                <c:pt idx="46">
                  <c:v>70.907866850000019</c:v>
                </c:pt>
                <c:pt idx="47">
                  <c:v>81.856646697499997</c:v>
                </c:pt>
                <c:pt idx="48">
                  <c:v>91.063979082499998</c:v>
                </c:pt>
                <c:pt idx="49">
                  <c:v>133.6053017575</c:v>
                </c:pt>
                <c:pt idx="50">
                  <c:v>163.46945026500001</c:v>
                </c:pt>
                <c:pt idx="51">
                  <c:v>378.10918749249998</c:v>
                </c:pt>
                <c:pt idx="52">
                  <c:v>566.85764856000003</c:v>
                </c:pt>
                <c:pt idx="53">
                  <c:v>574.84154991249989</c:v>
                </c:pt>
                <c:pt idx="54">
                  <c:v>656.41463686750001</c:v>
                </c:pt>
                <c:pt idx="55">
                  <c:v>821.60185545749994</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empresa'!$L$5:$L$60</c:f>
              <c:strCache>
                <c:ptCount val="56"/>
                <c:pt idx="0">
                  <c:v>HYDRO PATAPO</c:v>
                </c:pt>
                <c:pt idx="1">
                  <c:v>SHOUGESA</c:v>
                </c:pt>
                <c:pt idx="2">
                  <c:v>CERRO VERDE</c:v>
                </c:pt>
                <c:pt idx="3">
                  <c:v>AGROAURORA</c:v>
                </c:pt>
                <c:pt idx="4">
                  <c:v>PLANTA  ETEN</c:v>
                </c:pt>
                <c:pt idx="5">
                  <c:v>IYEPSA</c:v>
                </c:pt>
                <c:pt idx="6">
                  <c:v>ELECTRICA SANTA ROSA / ATRIA</c:v>
                </c:pt>
                <c:pt idx="7">
                  <c:v>SAMAY I</c:v>
                </c:pt>
                <c:pt idx="8">
                  <c:v>MAJA ENERGIA</c:v>
                </c:pt>
                <c:pt idx="9">
                  <c:v>RIO DOBLE</c:v>
                </c:pt>
                <c:pt idx="10">
                  <c:v>ELECTRICA YANAPAMPA</c:v>
                </c:pt>
                <c:pt idx="11">
                  <c:v>AGUA AZUL</c:v>
                </c:pt>
                <c:pt idx="12">
                  <c:v>HIDROCAÑETE</c:v>
                </c:pt>
                <c:pt idx="13">
                  <c:v>ELECTRO ZAÑA</c:v>
                </c:pt>
                <c:pt idx="14">
                  <c:v>EGECSAC</c:v>
                </c:pt>
                <c:pt idx="15">
                  <c:v>GTS REPARTICION</c:v>
                </c:pt>
                <c:pt idx="16">
                  <c:v>TACNA SOLAR</c:v>
                </c:pt>
                <c:pt idx="17">
                  <c:v>GTS MAJES</c:v>
                </c:pt>
                <c:pt idx="18">
                  <c:v>MOQUEGUA FV</c:v>
                </c:pt>
                <c:pt idx="19">
                  <c:v>PANAMERICANA SOLAR</c:v>
                </c:pt>
                <c:pt idx="20">
                  <c:v>SAN JACINTO</c:v>
                </c:pt>
                <c:pt idx="21">
                  <c:v>PETRAMAS</c:v>
                </c:pt>
                <c:pt idx="22">
                  <c:v>HIDROMARAÑON/ CELEPSA RENOVABLES</c:v>
                </c:pt>
                <c:pt idx="23">
                  <c:v>EGESUR</c:v>
                </c:pt>
                <c:pt idx="24">
                  <c:v>ANDEAN POWER</c:v>
                </c:pt>
                <c:pt idx="25">
                  <c:v>RIO BAÑOS</c:v>
                </c:pt>
                <c:pt idx="26">
                  <c:v>AIPSA</c:v>
                </c:pt>
                <c:pt idx="27">
                  <c:v>HUAURA POWER</c:v>
                </c:pt>
                <c:pt idx="28">
                  <c:v>EMGE JUNÍN / SANTA CRUZ</c:v>
                </c:pt>
                <c:pt idx="29">
                  <c:v>HIDROELECTRICA HUANCHOR</c:v>
                </c:pt>
                <c:pt idx="30">
                  <c:v>SANTA ANA</c:v>
                </c:pt>
                <c:pt idx="31">
                  <c:v>P.E. MARCONA</c:v>
                </c:pt>
                <c:pt idx="32">
                  <c:v>GEPSA</c:v>
                </c:pt>
                <c:pt idx="33">
                  <c:v>SINERSA</c:v>
                </c:pt>
                <c:pt idx="34">
                  <c:v>SDF ENERGIA</c:v>
                </c:pt>
                <c:pt idx="35">
                  <c:v>CHINANGO</c:v>
                </c:pt>
                <c:pt idx="36">
                  <c:v>EMGE HUANZA</c:v>
                </c:pt>
                <c:pt idx="37">
                  <c:v>INLAND</c:v>
                </c:pt>
                <c:pt idx="38">
                  <c:v>ENERGÍA EÓLICA</c:v>
                </c:pt>
                <c:pt idx="39">
                  <c:v>P.E. TRES HERMANAS</c:v>
                </c:pt>
                <c:pt idx="40">
                  <c:v>SAN GABAN</c:v>
                </c:pt>
                <c:pt idx="41">
                  <c:v>EMGE HUALLAGA</c:v>
                </c:pt>
                <c:pt idx="42">
                  <c:v>TERMOSELVA</c:v>
                </c:pt>
                <c:pt idx="43">
                  <c:v>CELEPSA</c:v>
                </c:pt>
                <c:pt idx="44">
                  <c:v>ENEL GENERACION PIURA</c:v>
                </c:pt>
                <c:pt idx="45">
                  <c:v>EGEMSA</c:v>
                </c:pt>
                <c:pt idx="46">
                  <c:v>EGASA</c:v>
                </c:pt>
                <c:pt idx="47">
                  <c:v>ORAZUL ENERGY PERÚ</c:v>
                </c:pt>
                <c:pt idx="48">
                  <c:v>ENEL GREEN POWER PERU</c:v>
                </c:pt>
                <c:pt idx="49">
                  <c:v>STATKRAFT</c:v>
                </c:pt>
                <c:pt idx="50">
                  <c:v>TERMOCHILCA</c:v>
                </c:pt>
                <c:pt idx="51">
                  <c:v>FENIX POWER</c:v>
                </c:pt>
                <c:pt idx="52">
                  <c:v>ELECTROPERU</c:v>
                </c:pt>
                <c:pt idx="53">
                  <c:v>ENEL GENERACION PERU</c:v>
                </c:pt>
                <c:pt idx="54">
                  <c:v>ENGIE</c:v>
                </c:pt>
                <c:pt idx="55">
                  <c:v>KALLPA</c:v>
                </c:pt>
              </c:strCache>
            </c:strRef>
          </c:cat>
          <c:val>
            <c:numRef>
              <c:f>'7. Generacion empresa'!$N$5:$N$60</c:f>
              <c:numCache>
                <c:formatCode>General</c:formatCode>
                <c:ptCount val="56"/>
                <c:pt idx="0">
                  <c:v>1.302E-3</c:v>
                </c:pt>
                <c:pt idx="1">
                  <c:v>0</c:v>
                </c:pt>
                <c:pt idx="2">
                  <c:v>2E-8</c:v>
                </c:pt>
                <c:pt idx="3">
                  <c:v>0</c:v>
                </c:pt>
                <c:pt idx="4">
                  <c:v>2.2426149999999999E-3</c:v>
                </c:pt>
                <c:pt idx="5">
                  <c:v>0.12731671249999998</c:v>
                </c:pt>
                <c:pt idx="6">
                  <c:v>0.10566344750000001</c:v>
                </c:pt>
                <c:pt idx="7">
                  <c:v>0.40214331249999996</c:v>
                </c:pt>
                <c:pt idx="8">
                  <c:v>1.0513025</c:v>
                </c:pt>
                <c:pt idx="9">
                  <c:v>1.7073725375</c:v>
                </c:pt>
                <c:pt idx="10">
                  <c:v>1.288954275</c:v>
                </c:pt>
                <c:pt idx="11">
                  <c:v>1.3720825024999999</c:v>
                </c:pt>
                <c:pt idx="12">
                  <c:v>2.2961</c:v>
                </c:pt>
                <c:pt idx="14">
                  <c:v>2.7998043450000001</c:v>
                </c:pt>
                <c:pt idx="15">
                  <c:v>3.9743101224999999</c:v>
                </c:pt>
                <c:pt idx="16">
                  <c:v>4.4811652224999996</c:v>
                </c:pt>
                <c:pt idx="17">
                  <c:v>4.0318943825</c:v>
                </c:pt>
                <c:pt idx="18">
                  <c:v>4.5598398200000005</c:v>
                </c:pt>
                <c:pt idx="19">
                  <c:v>4.9280429450000005</c:v>
                </c:pt>
                <c:pt idx="21">
                  <c:v>5.1015065500000008</c:v>
                </c:pt>
                <c:pt idx="22">
                  <c:v>9.0402914800000005</c:v>
                </c:pt>
                <c:pt idx="23">
                  <c:v>23.673690965000002</c:v>
                </c:pt>
                <c:pt idx="26">
                  <c:v>8.4465523725000011</c:v>
                </c:pt>
                <c:pt idx="27">
                  <c:v>11.132157489999999</c:v>
                </c:pt>
                <c:pt idx="28">
                  <c:v>13.760345370000001</c:v>
                </c:pt>
                <c:pt idx="29">
                  <c:v>12.488337000000001</c:v>
                </c:pt>
                <c:pt idx="30">
                  <c:v>12.828282440000001</c:v>
                </c:pt>
                <c:pt idx="31">
                  <c:v>13.180229862500001</c:v>
                </c:pt>
                <c:pt idx="32">
                  <c:v>17.061748242499998</c:v>
                </c:pt>
                <c:pt idx="33">
                  <c:v>3.4331638524999999</c:v>
                </c:pt>
                <c:pt idx="34">
                  <c:v>20.172410259999999</c:v>
                </c:pt>
                <c:pt idx="35">
                  <c:v>52.429864202499999</c:v>
                </c:pt>
                <c:pt idx="36">
                  <c:v>40.684881500000003</c:v>
                </c:pt>
                <c:pt idx="37">
                  <c:v>37.008764194999998</c:v>
                </c:pt>
                <c:pt idx="38">
                  <c:v>38.924994017499998</c:v>
                </c:pt>
                <c:pt idx="39">
                  <c:v>39.327510820000001</c:v>
                </c:pt>
                <c:pt idx="40">
                  <c:v>47.85234011</c:v>
                </c:pt>
                <c:pt idx="41">
                  <c:v>50.138634234999998</c:v>
                </c:pt>
                <c:pt idx="42">
                  <c:v>93.527719640000001</c:v>
                </c:pt>
                <c:pt idx="43">
                  <c:v>50.394623122499993</c:v>
                </c:pt>
                <c:pt idx="44">
                  <c:v>64.839849642499999</c:v>
                </c:pt>
                <c:pt idx="45">
                  <c:v>69.465119695000013</c:v>
                </c:pt>
                <c:pt idx="46">
                  <c:v>70.811768407499997</c:v>
                </c:pt>
                <c:pt idx="47">
                  <c:v>65.488063177499996</c:v>
                </c:pt>
                <c:pt idx="48">
                  <c:v>89.929428784999999</c:v>
                </c:pt>
                <c:pt idx="49">
                  <c:v>125.84359294000001</c:v>
                </c:pt>
                <c:pt idx="50">
                  <c:v>210.44338141999998</c:v>
                </c:pt>
                <c:pt idx="51">
                  <c:v>397.68801867999997</c:v>
                </c:pt>
                <c:pt idx="52">
                  <c:v>533.19888551999998</c:v>
                </c:pt>
                <c:pt idx="53">
                  <c:v>556.10075069250001</c:v>
                </c:pt>
                <c:pt idx="54">
                  <c:v>673.0898931349999</c:v>
                </c:pt>
                <c:pt idx="55">
                  <c:v>652.72241572500002</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4580.6239199999991</c:v>
                </c:pt>
                <c:pt idx="1">
                  <c:v>4457.8647499999988</c:v>
                </c:pt>
                <c:pt idx="2">
                  <c:v>4181.7234999999982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2106.5043700000006</c:v>
                </c:pt>
                <c:pt idx="1">
                  <c:v>1943.7948299999998</c:v>
                </c:pt>
                <c:pt idx="2">
                  <c:v>2286.1302900000001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303.54068999999998</c:v>
                </c:pt>
                <c:pt idx="1">
                  <c:v>309.01528000000002</c:v>
                </c:pt>
                <c:pt idx="2">
                  <c:v>91.209550000000007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Empresa'!$L$7:$L$62</c:f>
              <c:strCache>
                <c:ptCount val="56"/>
                <c:pt idx="0">
                  <c:v>AGROAURORA</c:v>
                </c:pt>
                <c:pt idx="1">
                  <c:v>CERRO VERDE</c:v>
                </c:pt>
                <c:pt idx="2">
                  <c:v>GTS MAJES</c:v>
                </c:pt>
                <c:pt idx="3">
                  <c:v>GTS REPARTICION</c:v>
                </c:pt>
                <c:pt idx="4">
                  <c:v>HYDRO PATAPO</c:v>
                </c:pt>
                <c:pt idx="5">
                  <c:v>IYEPSA</c:v>
                </c:pt>
                <c:pt idx="6">
                  <c:v>MOQUEGUA FV</c:v>
                </c:pt>
                <c:pt idx="7">
                  <c:v>PANAMERICANA SOLAR</c:v>
                </c:pt>
                <c:pt idx="8">
                  <c:v>PLANTA  ETEN</c:v>
                </c:pt>
                <c:pt idx="9">
                  <c:v>RIO DOBLE</c:v>
                </c:pt>
                <c:pt idx="10">
                  <c:v>SAMAY I</c:v>
                </c:pt>
                <c:pt idx="11">
                  <c:v>SHOUGESA</c:v>
                </c:pt>
                <c:pt idx="12">
                  <c:v>TACNA SOLAR</c:v>
                </c:pt>
                <c:pt idx="13">
                  <c:v>TERMOCHILCA</c:v>
                </c:pt>
                <c:pt idx="14">
                  <c:v>ELECTRICA SANTA ROSA / ATRIA</c:v>
                </c:pt>
                <c:pt idx="15">
                  <c:v>MAJA ENERGIA</c:v>
                </c:pt>
                <c:pt idx="16">
                  <c:v>ELECTRICA YANAPAMPA</c:v>
                </c:pt>
                <c:pt idx="17">
                  <c:v>AGUA AZUL</c:v>
                </c:pt>
                <c:pt idx="18">
                  <c:v>ELECTRO ZAÑA</c:v>
                </c:pt>
                <c:pt idx="19">
                  <c:v>HIDROCAÑETE</c:v>
                </c:pt>
                <c:pt idx="20">
                  <c:v>EGECSAC</c:v>
                </c:pt>
                <c:pt idx="21">
                  <c:v>PETRAMAS</c:v>
                </c:pt>
                <c:pt idx="22">
                  <c:v>SAN JACINTO</c:v>
                </c:pt>
                <c:pt idx="23">
                  <c:v>HIDROMARAÑON/ CELEPSA RENOVABLES</c:v>
                </c:pt>
                <c:pt idx="24">
                  <c:v>RIO BAÑOS</c:v>
                </c:pt>
                <c:pt idx="25">
                  <c:v>HUAURA POWER</c:v>
                </c:pt>
                <c:pt idx="26">
                  <c:v>EMGE JUNÍN / SANTA CRUZ</c:v>
                </c:pt>
                <c:pt idx="27">
                  <c:v>SANTA ANA</c:v>
                </c:pt>
                <c:pt idx="28">
                  <c:v>HIDROELECTRICA HUANCHOR</c:v>
                </c:pt>
                <c:pt idx="29">
                  <c:v>AIPSA</c:v>
                </c:pt>
                <c:pt idx="30">
                  <c:v>GEPSA</c:v>
                </c:pt>
                <c:pt idx="31">
                  <c:v>ANDEAN POWER</c:v>
                </c:pt>
                <c:pt idx="32">
                  <c:v>SINERSA</c:v>
                </c:pt>
                <c:pt idx="33">
                  <c:v>EGESUR</c:v>
                </c:pt>
                <c:pt idx="34">
                  <c:v>SDF ENERGIA</c:v>
                </c:pt>
                <c:pt idx="35">
                  <c:v>P.E. MARCONA</c:v>
                </c:pt>
                <c:pt idx="36">
                  <c:v>INLAND</c:v>
                </c:pt>
                <c:pt idx="37">
                  <c:v>CELEPSA</c:v>
                </c:pt>
                <c:pt idx="38">
                  <c:v>SAN GABAN</c:v>
                </c:pt>
                <c:pt idx="39">
                  <c:v>EMGE HUANZA</c:v>
                </c:pt>
                <c:pt idx="40">
                  <c:v>CHINANGO</c:v>
                </c:pt>
                <c:pt idx="41">
                  <c:v>P.E. TRES HERMANAS</c:v>
                </c:pt>
                <c:pt idx="42">
                  <c:v>ENEL GENERACION PIURA</c:v>
                </c:pt>
                <c:pt idx="43">
                  <c:v>EGEMSA</c:v>
                </c:pt>
                <c:pt idx="44">
                  <c:v>ENERGÍA EÓLICA</c:v>
                </c:pt>
                <c:pt idx="45">
                  <c:v>ORAZUL ENERGY PERÚ</c:v>
                </c:pt>
                <c:pt idx="46">
                  <c:v>TERMOSELVA</c:v>
                </c:pt>
                <c:pt idx="47">
                  <c:v>ENEL GREEN POWER PERU</c:v>
                </c:pt>
                <c:pt idx="48">
                  <c:v>EMGE HUALLAGA</c:v>
                </c:pt>
                <c:pt idx="49">
                  <c:v>EGASA</c:v>
                </c:pt>
                <c:pt idx="50">
                  <c:v>STATKRAFT</c:v>
                </c:pt>
                <c:pt idx="51">
                  <c:v>FENIX POWER</c:v>
                </c:pt>
                <c:pt idx="52">
                  <c:v>ELECTROPERU</c:v>
                </c:pt>
                <c:pt idx="53">
                  <c:v>ENGIE</c:v>
                </c:pt>
                <c:pt idx="54">
                  <c:v>ENEL GENERACION PERU</c:v>
                </c:pt>
                <c:pt idx="55">
                  <c:v>KALLPA</c:v>
                </c:pt>
              </c:strCache>
            </c:strRef>
          </c:cat>
          <c:val>
            <c:numRef>
              <c:f>'9. Pot. Empresa'!$M$7:$M$62</c:f>
              <c:numCache>
                <c:formatCode>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0.36243999999999998</c:v>
                </c:pt>
                <c:pt idx="15">
                  <c:v>0.57440000000000002</c:v>
                </c:pt>
                <c:pt idx="16">
                  <c:v>1.82311</c:v>
                </c:pt>
                <c:pt idx="17">
                  <c:v>3.09171</c:v>
                </c:pt>
                <c:pt idx="18">
                  <c:v>3.5722200000000002</c:v>
                </c:pt>
                <c:pt idx="19">
                  <c:v>3.6</c:v>
                </c:pt>
                <c:pt idx="20">
                  <c:v>4.79976</c:v>
                </c:pt>
                <c:pt idx="21">
                  <c:v>5.5581700000000005</c:v>
                </c:pt>
                <c:pt idx="22">
                  <c:v>7.8780000000000001</c:v>
                </c:pt>
                <c:pt idx="23">
                  <c:v>9.7369200000000014</c:v>
                </c:pt>
                <c:pt idx="24">
                  <c:v>12.04551</c:v>
                </c:pt>
                <c:pt idx="25">
                  <c:v>14.03251</c:v>
                </c:pt>
                <c:pt idx="26">
                  <c:v>14.119540000000001</c:v>
                </c:pt>
                <c:pt idx="27">
                  <c:v>15.5678</c:v>
                </c:pt>
                <c:pt idx="28">
                  <c:v>16.727219999999999</c:v>
                </c:pt>
                <c:pt idx="29">
                  <c:v>18.3766</c:v>
                </c:pt>
                <c:pt idx="30">
                  <c:v>19.562089999999998</c:v>
                </c:pt>
                <c:pt idx="31">
                  <c:v>20.067729999999997</c:v>
                </c:pt>
                <c:pt idx="32">
                  <c:v>24.336960000000001</c:v>
                </c:pt>
                <c:pt idx="33">
                  <c:v>25.2</c:v>
                </c:pt>
                <c:pt idx="34">
                  <c:v>28.671240000000001</c:v>
                </c:pt>
                <c:pt idx="35">
                  <c:v>30.129280000000001</c:v>
                </c:pt>
                <c:pt idx="36">
                  <c:v>52.570030000000003</c:v>
                </c:pt>
                <c:pt idx="37">
                  <c:v>63.062710000000003</c:v>
                </c:pt>
                <c:pt idx="38">
                  <c:v>78.869540000000001</c:v>
                </c:pt>
                <c:pt idx="39">
                  <c:v>80.44398000000001</c:v>
                </c:pt>
                <c:pt idx="40">
                  <c:v>84.324579999999997</c:v>
                </c:pt>
                <c:pt idx="41">
                  <c:v>89.100359999999995</c:v>
                </c:pt>
                <c:pt idx="42">
                  <c:v>91.44923</c:v>
                </c:pt>
                <c:pt idx="43">
                  <c:v>95.751440000000002</c:v>
                </c:pt>
                <c:pt idx="44">
                  <c:v>103.18609000000001</c:v>
                </c:pt>
                <c:pt idx="45">
                  <c:v>108.10722999999999</c:v>
                </c:pt>
                <c:pt idx="46">
                  <c:v>121.80193</c:v>
                </c:pt>
                <c:pt idx="47">
                  <c:v>126.6623</c:v>
                </c:pt>
                <c:pt idx="48">
                  <c:v>156.12141</c:v>
                </c:pt>
                <c:pt idx="49">
                  <c:v>166.40378000000001</c:v>
                </c:pt>
                <c:pt idx="50">
                  <c:v>200.05469000000002</c:v>
                </c:pt>
                <c:pt idx="51">
                  <c:v>540.20402000000001</c:v>
                </c:pt>
                <c:pt idx="52">
                  <c:v>857.92943999999989</c:v>
                </c:pt>
                <c:pt idx="53">
                  <c:v>965.11921999999993</c:v>
                </c:pt>
                <c:pt idx="54">
                  <c:v>1048.7188299999998</c:v>
                </c:pt>
                <c:pt idx="55">
                  <c:v>1362.5624000000003</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Empresa'!$L$7:$L$62</c:f>
              <c:strCache>
                <c:ptCount val="56"/>
                <c:pt idx="0">
                  <c:v>AGROAURORA</c:v>
                </c:pt>
                <c:pt idx="1">
                  <c:v>CERRO VERDE</c:v>
                </c:pt>
                <c:pt idx="2">
                  <c:v>GTS MAJES</c:v>
                </c:pt>
                <c:pt idx="3">
                  <c:v>GTS REPARTICION</c:v>
                </c:pt>
                <c:pt idx="4">
                  <c:v>HYDRO PATAPO</c:v>
                </c:pt>
                <c:pt idx="5">
                  <c:v>IYEPSA</c:v>
                </c:pt>
                <c:pt idx="6">
                  <c:v>MOQUEGUA FV</c:v>
                </c:pt>
                <c:pt idx="7">
                  <c:v>PANAMERICANA SOLAR</c:v>
                </c:pt>
                <c:pt idx="8">
                  <c:v>PLANTA  ETEN</c:v>
                </c:pt>
                <c:pt idx="9">
                  <c:v>RIO DOBLE</c:v>
                </c:pt>
                <c:pt idx="10">
                  <c:v>SAMAY I</c:v>
                </c:pt>
                <c:pt idx="11">
                  <c:v>SHOUGESA</c:v>
                </c:pt>
                <c:pt idx="12">
                  <c:v>TACNA SOLAR</c:v>
                </c:pt>
                <c:pt idx="13">
                  <c:v>TERMOCHILCA</c:v>
                </c:pt>
                <c:pt idx="14">
                  <c:v>ELECTRICA SANTA ROSA / ATRIA</c:v>
                </c:pt>
                <c:pt idx="15">
                  <c:v>MAJA ENERGIA</c:v>
                </c:pt>
                <c:pt idx="16">
                  <c:v>ELECTRICA YANAPAMPA</c:v>
                </c:pt>
                <c:pt idx="17">
                  <c:v>AGUA AZUL</c:v>
                </c:pt>
                <c:pt idx="18">
                  <c:v>ELECTRO ZAÑA</c:v>
                </c:pt>
                <c:pt idx="19">
                  <c:v>HIDROCAÑETE</c:v>
                </c:pt>
                <c:pt idx="20">
                  <c:v>EGECSAC</c:v>
                </c:pt>
                <c:pt idx="21">
                  <c:v>PETRAMAS</c:v>
                </c:pt>
                <c:pt idx="22">
                  <c:v>SAN JACINTO</c:v>
                </c:pt>
                <c:pt idx="23">
                  <c:v>HIDROMARAÑON/ CELEPSA RENOVABLES</c:v>
                </c:pt>
                <c:pt idx="24">
                  <c:v>RIO BAÑOS</c:v>
                </c:pt>
                <c:pt idx="25">
                  <c:v>HUAURA POWER</c:v>
                </c:pt>
                <c:pt idx="26">
                  <c:v>EMGE JUNÍN / SANTA CRUZ</c:v>
                </c:pt>
                <c:pt idx="27">
                  <c:v>SANTA ANA</c:v>
                </c:pt>
                <c:pt idx="28">
                  <c:v>HIDROELECTRICA HUANCHOR</c:v>
                </c:pt>
                <c:pt idx="29">
                  <c:v>AIPSA</c:v>
                </c:pt>
                <c:pt idx="30">
                  <c:v>GEPSA</c:v>
                </c:pt>
                <c:pt idx="31">
                  <c:v>ANDEAN POWER</c:v>
                </c:pt>
                <c:pt idx="32">
                  <c:v>SINERSA</c:v>
                </c:pt>
                <c:pt idx="33">
                  <c:v>EGESUR</c:v>
                </c:pt>
                <c:pt idx="34">
                  <c:v>SDF ENERGIA</c:v>
                </c:pt>
                <c:pt idx="35">
                  <c:v>P.E. MARCONA</c:v>
                </c:pt>
                <c:pt idx="36">
                  <c:v>INLAND</c:v>
                </c:pt>
                <c:pt idx="37">
                  <c:v>CELEPSA</c:v>
                </c:pt>
                <c:pt idx="38">
                  <c:v>SAN GABAN</c:v>
                </c:pt>
                <c:pt idx="39">
                  <c:v>EMGE HUANZA</c:v>
                </c:pt>
                <c:pt idx="40">
                  <c:v>CHINANGO</c:v>
                </c:pt>
                <c:pt idx="41">
                  <c:v>P.E. TRES HERMANAS</c:v>
                </c:pt>
                <c:pt idx="42">
                  <c:v>ENEL GENERACION PIURA</c:v>
                </c:pt>
                <c:pt idx="43">
                  <c:v>EGEMSA</c:v>
                </c:pt>
                <c:pt idx="44">
                  <c:v>ENERGÍA EÓLICA</c:v>
                </c:pt>
                <c:pt idx="45">
                  <c:v>ORAZUL ENERGY PERÚ</c:v>
                </c:pt>
                <c:pt idx="46">
                  <c:v>TERMOSELVA</c:v>
                </c:pt>
                <c:pt idx="47">
                  <c:v>ENEL GREEN POWER PERU</c:v>
                </c:pt>
                <c:pt idx="48">
                  <c:v>EMGE HUALLAGA</c:v>
                </c:pt>
                <c:pt idx="49">
                  <c:v>EGASA</c:v>
                </c:pt>
                <c:pt idx="50">
                  <c:v>STATKRAFT</c:v>
                </c:pt>
                <c:pt idx="51">
                  <c:v>FENIX POWER</c:v>
                </c:pt>
                <c:pt idx="52">
                  <c:v>ELECTROPERU</c:v>
                </c:pt>
                <c:pt idx="53">
                  <c:v>ENGIE</c:v>
                </c:pt>
                <c:pt idx="54">
                  <c:v>ENEL GENERACION PERU</c:v>
                </c:pt>
                <c:pt idx="55">
                  <c:v>KALLPA</c:v>
                </c:pt>
              </c:strCache>
            </c:strRef>
          </c:cat>
          <c:val>
            <c:numRef>
              <c:f>'9. Pot. Empresa'!$N$7:$N$62</c:f>
              <c:numCache>
                <c:formatCode>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293.75164000000001</c:v>
                </c:pt>
                <c:pt idx="14">
                  <c:v>0</c:v>
                </c:pt>
                <c:pt idx="15">
                  <c:v>1.3140000000000001</c:v>
                </c:pt>
                <c:pt idx="16">
                  <c:v>0</c:v>
                </c:pt>
                <c:pt idx="17">
                  <c:v>0</c:v>
                </c:pt>
                <c:pt idx="19">
                  <c:v>3.2</c:v>
                </c:pt>
                <c:pt idx="20">
                  <c:v>1.70146</c:v>
                </c:pt>
                <c:pt idx="21">
                  <c:v>8.0169999999999995</c:v>
                </c:pt>
                <c:pt idx="23">
                  <c:v>18.52233</c:v>
                </c:pt>
                <c:pt idx="25">
                  <c:v>16.865650000000002</c:v>
                </c:pt>
                <c:pt idx="26">
                  <c:v>25.129190000000001</c:v>
                </c:pt>
                <c:pt idx="27">
                  <c:v>19.992550000000001</c:v>
                </c:pt>
                <c:pt idx="28">
                  <c:v>17.507999999999999</c:v>
                </c:pt>
                <c:pt idx="29">
                  <c:v>13.7403</c:v>
                </c:pt>
                <c:pt idx="30">
                  <c:v>20.758320000000001</c:v>
                </c:pt>
                <c:pt idx="32">
                  <c:v>3.8841299999999999</c:v>
                </c:pt>
                <c:pt idx="33">
                  <c:v>41.58867</c:v>
                </c:pt>
                <c:pt idx="34">
                  <c:v>28.01699</c:v>
                </c:pt>
                <c:pt idx="35">
                  <c:v>7.48719</c:v>
                </c:pt>
                <c:pt idx="36">
                  <c:v>56.733849999999997</c:v>
                </c:pt>
                <c:pt idx="37">
                  <c:v>206.23223999999999</c:v>
                </c:pt>
                <c:pt idx="38">
                  <c:v>90.594169999999991</c:v>
                </c:pt>
                <c:pt idx="39">
                  <c:v>94.41113</c:v>
                </c:pt>
                <c:pt idx="40">
                  <c:v>166.84458000000001</c:v>
                </c:pt>
                <c:pt idx="41">
                  <c:v>27.201519999999999</c:v>
                </c:pt>
                <c:pt idx="42">
                  <c:v>91.824759999999998</c:v>
                </c:pt>
                <c:pt idx="43">
                  <c:v>112.90755</c:v>
                </c:pt>
                <c:pt idx="44">
                  <c:v>60.201239999999999</c:v>
                </c:pt>
                <c:pt idx="45">
                  <c:v>106.45755</c:v>
                </c:pt>
                <c:pt idx="46">
                  <c:v>164.32933</c:v>
                </c:pt>
                <c:pt idx="47">
                  <c:v>36.500799999999998</c:v>
                </c:pt>
                <c:pt idx="48">
                  <c:v>161.04167000000001</c:v>
                </c:pt>
                <c:pt idx="49">
                  <c:v>150.21046000000001</c:v>
                </c:pt>
                <c:pt idx="50">
                  <c:v>231.81532000000004</c:v>
                </c:pt>
                <c:pt idx="51">
                  <c:v>548.98491999999999</c:v>
                </c:pt>
                <c:pt idx="52">
                  <c:v>792.13103999999987</c:v>
                </c:pt>
                <c:pt idx="53">
                  <c:v>986.46439999999996</c:v>
                </c:pt>
                <c:pt idx="54">
                  <c:v>800.90036000000009</c:v>
                </c:pt>
                <c:pt idx="55">
                  <c:v>1146.93066</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val>
            <c:numRef>
              <c:f>'10. Volúmenes'!$Q$12:$Q$63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formatCode="0.0">
                  <c:v>224.15199279999999</c:v>
                </c:pt>
                <c:pt idx="18" formatCode="0.0">
                  <c:v>224.378006</c:v>
                </c:pt>
                <c:pt idx="19" formatCode="0.0">
                  <c:v>224.60401920000001</c:v>
                </c:pt>
                <c:pt idx="20" formatCode="0.0">
                  <c:v>223.4909973</c:v>
                </c:pt>
                <c:pt idx="21" formatCode="0.0">
                  <c:v>222.62600710000001</c:v>
                </c:pt>
                <c:pt idx="22" formatCode="0.0">
                  <c:v>221.62399289999999</c:v>
                </c:pt>
                <c:pt idx="23" formatCode="0.0">
                  <c:v>218.3840027</c:v>
                </c:pt>
                <c:pt idx="24" formatCode="0.0">
                  <c:v>215.08099369999999</c:v>
                </c:pt>
                <c:pt idx="25" formatCode="0.0">
                  <c:v>210.41900630000001</c:v>
                </c:pt>
                <c:pt idx="26" formatCode="0.0">
                  <c:v>204.23</c:v>
                </c:pt>
                <c:pt idx="27" formatCode="0.0">
                  <c:v>201.1309967</c:v>
                </c:pt>
                <c:pt idx="28" formatCode="0.0">
                  <c:v>196.16000366210901</c:v>
                </c:pt>
                <c:pt idx="29" formatCode="0.0">
                  <c:v>193.86</c:v>
                </c:pt>
                <c:pt idx="30" formatCode="0.0">
                  <c:v>186.24800110000001</c:v>
                </c:pt>
                <c:pt idx="31" formatCode="General">
                  <c:v>182.40899659999999</c:v>
                </c:pt>
                <c:pt idx="32" formatCode="General">
                  <c:v>178.6940002</c:v>
                </c:pt>
                <c:pt idx="33" formatCode="General">
                  <c:v>173.61300660000001</c:v>
                </c:pt>
                <c:pt idx="34" formatCode="General">
                  <c:v>170.0189972</c:v>
                </c:pt>
                <c:pt idx="35" formatCode="General">
                  <c:v>166.0690002</c:v>
                </c:pt>
                <c:pt idx="36" formatCode="General">
                  <c:v>159.17399599999999</c:v>
                </c:pt>
                <c:pt idx="37" formatCode="General">
                  <c:v>157.84</c:v>
                </c:pt>
                <c:pt idx="38" formatCode="General">
                  <c:v>156.28199768066401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0"/>
          <c:order val="2"/>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2019</c:v>
                </c:pt>
              </c:strCache>
            </c:strRef>
          </c:tx>
          <c:spPr>
            <a:ln w="6350"/>
          </c:spPr>
          <c:val>
            <c:numRef>
              <c:f>'11. Volúmenes'!$R$6:$R$57</c:f>
              <c:numCache>
                <c:formatCode>General</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formatCode="0.000">
                  <c:v>315.3340149</c:v>
                </c:pt>
                <c:pt idx="20" formatCode="0.000">
                  <c:v>311.78100590000003</c:v>
                </c:pt>
                <c:pt idx="21" formatCode="0.000">
                  <c:v>310.60000609999997</c:v>
                </c:pt>
                <c:pt idx="22" formatCode="0.000">
                  <c:v>307.06500240000003</c:v>
                </c:pt>
                <c:pt idx="23" formatCode="0.000">
                  <c:v>302.9590149</c:v>
                </c:pt>
                <c:pt idx="24" formatCode="0.000">
                  <c:v>300.0379944</c:v>
                </c:pt>
                <c:pt idx="25" formatCode="0.000">
                  <c:v>296.06698610000001</c:v>
                </c:pt>
                <c:pt idx="26" formatCode="0.000">
                  <c:v>275.89</c:v>
                </c:pt>
                <c:pt idx="27" formatCode="0.000">
                  <c:v>248.58200070000001</c:v>
                </c:pt>
                <c:pt idx="28" formatCode="0.000">
                  <c:v>238.787994384765</c:v>
                </c:pt>
                <c:pt idx="29" formatCode="0.000">
                  <c:v>229.12</c:v>
                </c:pt>
                <c:pt idx="30" formatCode="0.00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0"/>
          <c:order val="2"/>
          <c:tx>
            <c:v>2018</c:v>
          </c:tx>
          <c:spPr>
            <a:ln w="19050"/>
          </c:spPr>
          <c:marker>
            <c:symbol val="circle"/>
            <c:size val="5"/>
            <c:spPr>
              <a:solidFill>
                <a:srgbClr val="0077A5"/>
              </a:solidFill>
              <a:ln w="9525">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2019</c:v>
                </c:pt>
              </c:strCache>
            </c:strRef>
          </c:tx>
          <c:spPr>
            <a:ln w="6350"/>
          </c:spP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Volúmenes'!$W$6:$W$57</c:f>
              <c:numCache>
                <c:formatCode>General</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3"/>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1656.4380512150008</c:v>
                </c:pt>
                <c:pt idx="1">
                  <c:v>2253.6528189324995</c:v>
                </c:pt>
                <c:pt idx="2">
                  <c:v>0</c:v>
                </c:pt>
                <c:pt idx="3">
                  <c:v>6.3454784125000003</c:v>
                </c:pt>
                <c:pt idx="4">
                  <c:v>13.548058922500001</c:v>
                </c:pt>
                <c:pt idx="5">
                  <c:v>141.62182448750002</c:v>
                </c:pt>
                <c:pt idx="6">
                  <c:v>71.752520337500002</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2209.7942776950003</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5.1607714649999998</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2.3218834200000003</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20.0795798075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147.70153075500002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67.23456245749999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lvl>
                <c:lvl>
                  <c:pt idx="0">
                    <c:v>2016</c:v>
                  </c:pt>
                  <c:pt idx="52">
                    <c:v>2017</c:v>
                  </c:pt>
                  <c:pt idx="104">
                    <c:v>2018</c:v>
                  </c:pt>
                  <c:pt idx="156">
                    <c:v>2019</c:v>
                  </c:pt>
                </c:lvl>
              </c:multiLvlStrCache>
            </c:multiLvlStrRef>
          </c:cat>
          <c:val>
            <c:numRef>
              <c:f>'12.Caudales'!$N$4:$N$199</c:f>
              <c:numCache>
                <c:formatCode>0.0</c:formatCode>
                <c:ptCount val="196"/>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c:v>60.27571428571428</c:v>
                </c:pt>
                <c:pt idx="153">
                  <c:v>46.701999664285715</c:v>
                </c:pt>
                <c:pt idx="154">
                  <c:v>68.7</c:v>
                </c:pt>
                <c:pt idx="155">
                  <c:v>97.347143448571416</c:v>
                </c:pt>
                <c:pt idx="156">
                  <c:v>78.298570904285711</c:v>
                </c:pt>
                <c:pt idx="157">
                  <c:v>95.081715179999989</c:v>
                </c:pt>
                <c:pt idx="158">
                  <c:v>95.65</c:v>
                </c:pt>
                <c:pt idx="159">
                  <c:v>109.29957036285714</c:v>
                </c:pt>
                <c:pt idx="160">
                  <c:v>149.65083311999999</c:v>
                </c:pt>
                <c:pt idx="161">
                  <c:v>136.57714285714286</c:v>
                </c:pt>
                <c:pt idx="162">
                  <c:v>224.71071514285714</c:v>
                </c:pt>
                <c:pt idx="163">
                  <c:v>198.04342652857142</c:v>
                </c:pt>
                <c:pt idx="164">
                  <c:v>191.0112849857143</c:v>
                </c:pt>
                <c:pt idx="165">
                  <c:v>215.64014109999999</c:v>
                </c:pt>
                <c:pt idx="166">
                  <c:v>236.76099940708642</c:v>
                </c:pt>
                <c:pt idx="167">
                  <c:v>250.8679761904763</c:v>
                </c:pt>
                <c:pt idx="168">
                  <c:v>301.45971681428574</c:v>
                </c:pt>
                <c:pt idx="169">
                  <c:v>253.08542525714284</c:v>
                </c:pt>
                <c:pt idx="170">
                  <c:v>253.08542525714284</c:v>
                </c:pt>
                <c:pt idx="171">
                  <c:v>141.0458592</c:v>
                </c:pt>
                <c:pt idx="172">
                  <c:v>123.86656951428571</c:v>
                </c:pt>
                <c:pt idx="173">
                  <c:v>85.173857551428583</c:v>
                </c:pt>
                <c:pt idx="174">
                  <c:v>71.224285714285699</c:v>
                </c:pt>
                <c:pt idx="175">
                  <c:v>76.857142859999996</c:v>
                </c:pt>
                <c:pt idx="176">
                  <c:v>47.97114345</c:v>
                </c:pt>
                <c:pt idx="177">
                  <c:v>37.624285945285713</c:v>
                </c:pt>
                <c:pt idx="178">
                  <c:v>37.806285858571421</c:v>
                </c:pt>
                <c:pt idx="179">
                  <c:v>35.468714032857143</c:v>
                </c:pt>
                <c:pt idx="180">
                  <c:v>33.200142724285719</c:v>
                </c:pt>
                <c:pt idx="181">
                  <c:v>28.376285825714287</c:v>
                </c:pt>
                <c:pt idx="182">
                  <c:v>28.47</c:v>
                </c:pt>
                <c:pt idx="183">
                  <c:v>28.920333226666667</c:v>
                </c:pt>
                <c:pt idx="184">
                  <c:v>24.422333717346149</c:v>
                </c:pt>
                <c:pt idx="185">
                  <c:v>24.086666666666662</c:v>
                </c:pt>
                <c:pt idx="186">
                  <c:v>22.471285411428575</c:v>
                </c:pt>
                <c:pt idx="187">
                  <c:v>25.212714058571429</c:v>
                </c:pt>
                <c:pt idx="188">
                  <c:v>28.061000278571431</c:v>
                </c:pt>
                <c:pt idx="189">
                  <c:v>28.455856868571431</c:v>
                </c:pt>
                <c:pt idx="190">
                  <c:v>26.646000226666668</c:v>
                </c:pt>
                <c:pt idx="191">
                  <c:v>27.720570974285714</c:v>
                </c:pt>
                <c:pt idx="192">
                  <c:v>27.967571258571429</c:v>
                </c:pt>
                <c:pt idx="193">
                  <c:v>31.354000000000003</c:v>
                </c:pt>
                <c:pt idx="194">
                  <c:v>37.146399307250938</c:v>
                </c:pt>
                <c:pt idx="195">
                  <c:v>29.934999783333328</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lvl>
                <c:lvl>
                  <c:pt idx="0">
                    <c:v>2016</c:v>
                  </c:pt>
                  <c:pt idx="52">
                    <c:v>2017</c:v>
                  </c:pt>
                  <c:pt idx="104">
                    <c:v>2018</c:v>
                  </c:pt>
                  <c:pt idx="156">
                    <c:v>2019</c:v>
                  </c:pt>
                </c:lvl>
              </c:multiLvlStrCache>
            </c:multiLvlStrRef>
          </c:cat>
          <c:val>
            <c:numRef>
              <c:f>'12.Caudales'!$O$4:$O$199</c:f>
              <c:numCache>
                <c:formatCode>0.0</c:formatCode>
                <c:ptCount val="196"/>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c:v>17.955714285714286</c:v>
                </c:pt>
                <c:pt idx="153">
                  <c:v>13.432571411428571</c:v>
                </c:pt>
                <c:pt idx="154">
                  <c:v>39.414285714285711</c:v>
                </c:pt>
                <c:pt idx="155">
                  <c:v>65.679429182857149</c:v>
                </c:pt>
                <c:pt idx="156">
                  <c:v>21.927143370000003</c:v>
                </c:pt>
                <c:pt idx="157">
                  <c:v>22.397999900000002</c:v>
                </c:pt>
                <c:pt idx="158">
                  <c:v>17.61</c:v>
                </c:pt>
                <c:pt idx="159">
                  <c:v>17.638000354285712</c:v>
                </c:pt>
                <c:pt idx="160">
                  <c:v>19.218833289999999</c:v>
                </c:pt>
                <c:pt idx="161">
                  <c:v>57.185714285714276</c:v>
                </c:pt>
                <c:pt idx="162">
                  <c:v>118.06042697857141</c:v>
                </c:pt>
                <c:pt idx="163">
                  <c:v>106.29885756428571</c:v>
                </c:pt>
                <c:pt idx="164">
                  <c:v>142.12385776285717</c:v>
                </c:pt>
                <c:pt idx="165">
                  <c:v>164.59685624285717</c:v>
                </c:pt>
                <c:pt idx="166">
                  <c:v>121.6507121494835</c:v>
                </c:pt>
                <c:pt idx="167">
                  <c:v>166.63136904761905</c:v>
                </c:pt>
                <c:pt idx="168">
                  <c:v>180.07000078571429</c:v>
                </c:pt>
                <c:pt idx="169">
                  <c:v>143.43971579999999</c:v>
                </c:pt>
                <c:pt idx="170">
                  <c:v>152.6561442857143</c:v>
                </c:pt>
                <c:pt idx="171">
                  <c:v>83.844285145714295</c:v>
                </c:pt>
                <c:pt idx="172">
                  <c:v>125.28814153857142</c:v>
                </c:pt>
                <c:pt idx="173">
                  <c:v>66.347143447142855</c:v>
                </c:pt>
                <c:pt idx="174">
                  <c:v>42.216071428571425</c:v>
                </c:pt>
                <c:pt idx="175">
                  <c:v>58.324429100000003</c:v>
                </c:pt>
                <c:pt idx="176">
                  <c:v>34.032571519999998</c:v>
                </c:pt>
                <c:pt idx="177">
                  <c:v>40.524285998571429</c:v>
                </c:pt>
                <c:pt idx="178">
                  <c:v>25.010571342857141</c:v>
                </c:pt>
                <c:pt idx="179">
                  <c:v>18.242713997857145</c:v>
                </c:pt>
                <c:pt idx="180">
                  <c:v>16.013142995714286</c:v>
                </c:pt>
                <c:pt idx="181">
                  <c:v>12.961571557142857</c:v>
                </c:pt>
                <c:pt idx="182">
                  <c:v>11.39</c:v>
                </c:pt>
                <c:pt idx="183">
                  <c:v>11.405166626666668</c:v>
                </c:pt>
                <c:pt idx="184">
                  <c:v>10.173999945322651</c:v>
                </c:pt>
                <c:pt idx="185">
                  <c:v>9.1716666666666669</c:v>
                </c:pt>
                <c:pt idx="186">
                  <c:v>8.5915715354285727</c:v>
                </c:pt>
                <c:pt idx="187">
                  <c:v>6.6260000637142857</c:v>
                </c:pt>
                <c:pt idx="188">
                  <c:v>5.9311428751428581</c:v>
                </c:pt>
                <c:pt idx="189">
                  <c:v>5.2604285648571434</c:v>
                </c:pt>
                <c:pt idx="190">
                  <c:v>4.7316666444999997</c:v>
                </c:pt>
                <c:pt idx="191">
                  <c:v>4.5542856622857144</c:v>
                </c:pt>
                <c:pt idx="192">
                  <c:v>4.1919999124285718</c:v>
                </c:pt>
                <c:pt idx="193">
                  <c:v>4.1759999999999993</c:v>
                </c:pt>
                <c:pt idx="194">
                  <c:v>4.8932001113891559</c:v>
                </c:pt>
                <c:pt idx="195">
                  <c:v>5.3130000431666664</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pt idx="195">
                    <c:v>40</c:v>
                  </c:pt>
                </c:lvl>
                <c:lvl>
                  <c:pt idx="0">
                    <c:v>2016</c:v>
                  </c:pt>
                  <c:pt idx="52">
                    <c:v>2017</c:v>
                  </c:pt>
                  <c:pt idx="104">
                    <c:v>2018</c:v>
                  </c:pt>
                  <c:pt idx="156">
                    <c:v>2019</c:v>
                  </c:pt>
                </c:lvl>
              </c:multiLvlStrCache>
            </c:multiLvlStrRef>
          </c:cat>
          <c:val>
            <c:numRef>
              <c:f>'12.Caudales'!$M$4:$M$199</c:f>
              <c:numCache>
                <c:formatCode>0.0</c:formatCode>
                <c:ptCount val="196"/>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c:v>22.62857142857143</c:v>
                </c:pt>
                <c:pt idx="153">
                  <c:v>17.776714461428572</c:v>
                </c:pt>
                <c:pt idx="154">
                  <c:v>34.085714285714282</c:v>
                </c:pt>
                <c:pt idx="155">
                  <c:v>52.094142914285719</c:v>
                </c:pt>
                <c:pt idx="156">
                  <c:v>27.79999951142857</c:v>
                </c:pt>
                <c:pt idx="157">
                  <c:v>28.678571428571427</c:v>
                </c:pt>
                <c:pt idx="158">
                  <c:v>44.51</c:v>
                </c:pt>
                <c:pt idx="159">
                  <c:v>73.323141914285699</c:v>
                </c:pt>
                <c:pt idx="160">
                  <c:v>103.17716724333333</c:v>
                </c:pt>
                <c:pt idx="161">
                  <c:v>79.165714285714287</c:v>
                </c:pt>
                <c:pt idx="162">
                  <c:v>120.02256992142858</c:v>
                </c:pt>
                <c:pt idx="163">
                  <c:v>97.560142514285715</c:v>
                </c:pt>
                <c:pt idx="164">
                  <c:v>97.560142514285715</c:v>
                </c:pt>
                <c:pt idx="165">
                  <c:v>97.497286117142863</c:v>
                </c:pt>
                <c:pt idx="166">
                  <c:v>98.21585736955906</c:v>
                </c:pt>
                <c:pt idx="167">
                  <c:v>91.857713972857141</c:v>
                </c:pt>
                <c:pt idx="168">
                  <c:v>100.0137132957143</c:v>
                </c:pt>
                <c:pt idx="169">
                  <c:v>84.272714885714294</c:v>
                </c:pt>
                <c:pt idx="170">
                  <c:v>61.074856892857142</c:v>
                </c:pt>
                <c:pt idx="171">
                  <c:v>47.843714031428576</c:v>
                </c:pt>
                <c:pt idx="172">
                  <c:v>50.907143728571427</c:v>
                </c:pt>
                <c:pt idx="173">
                  <c:v>39.120999471428568</c:v>
                </c:pt>
                <c:pt idx="174">
                  <c:v>35.410856791428571</c:v>
                </c:pt>
                <c:pt idx="175">
                  <c:v>32.405142920000003</c:v>
                </c:pt>
                <c:pt idx="176">
                  <c:v>26.58385740142857</c:v>
                </c:pt>
                <c:pt idx="177">
                  <c:v>19.653714315714286</c:v>
                </c:pt>
                <c:pt idx="178">
                  <c:v>16.50400011857143</c:v>
                </c:pt>
                <c:pt idx="179">
                  <c:v>14.890428544285713</c:v>
                </c:pt>
                <c:pt idx="180">
                  <c:v>15.340000017142858</c:v>
                </c:pt>
                <c:pt idx="181">
                  <c:v>15.521142687142857</c:v>
                </c:pt>
                <c:pt idx="182">
                  <c:v>15.32</c:v>
                </c:pt>
                <c:pt idx="183">
                  <c:v>14.809428488571427</c:v>
                </c:pt>
                <c:pt idx="184">
                  <c:v>13.666428565978956</c:v>
                </c:pt>
                <c:pt idx="185">
                  <c:v>13.392857142857142</c:v>
                </c:pt>
                <c:pt idx="186">
                  <c:v>13.098428589999999</c:v>
                </c:pt>
                <c:pt idx="187">
                  <c:v>12.228285654285713</c:v>
                </c:pt>
                <c:pt idx="188">
                  <c:v>12.838714327142856</c:v>
                </c:pt>
                <c:pt idx="189">
                  <c:v>12.37928554</c:v>
                </c:pt>
                <c:pt idx="190">
                  <c:v>11.92371409142857</c:v>
                </c:pt>
                <c:pt idx="191">
                  <c:v>10.731857162857143</c:v>
                </c:pt>
                <c:pt idx="192">
                  <c:v>11.481428825714286</c:v>
                </c:pt>
                <c:pt idx="193">
                  <c:v>12.217142857142859</c:v>
                </c:pt>
                <c:pt idx="194">
                  <c:v>15.0261430740356</c:v>
                </c:pt>
                <c:pt idx="195">
                  <c:v>13.292000225714288</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lvl>
                <c:lvl>
                  <c:pt idx="0">
                    <c:v>2016</c:v>
                  </c:pt>
                  <c:pt idx="52">
                    <c:v>2017</c:v>
                  </c:pt>
                  <c:pt idx="104">
                    <c:v>2018</c:v>
                  </c:pt>
                  <c:pt idx="156">
                    <c:v>2019</c:v>
                  </c:pt>
                </c:lvl>
              </c:multiLvlStrCache>
            </c:multiLvlStrRef>
          </c:cat>
          <c:val>
            <c:numRef>
              <c:f>'13.Caudales'!$Q$4:$Q$199</c:f>
              <c:numCache>
                <c:formatCode>0.0</c:formatCode>
                <c:ptCount val="196"/>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pt idx="160">
                  <c:v>30.592286245714288</c:v>
                </c:pt>
                <c:pt idx="161">
                  <c:v>20.372857142857146</c:v>
                </c:pt>
                <c:pt idx="162">
                  <c:v>28.837571554285717</c:v>
                </c:pt>
                <c:pt idx="163">
                  <c:v>20.077857700000003</c:v>
                </c:pt>
                <c:pt idx="164">
                  <c:v>26.317999977142858</c:v>
                </c:pt>
                <c:pt idx="165">
                  <c:v>27.959571565714288</c:v>
                </c:pt>
                <c:pt idx="166">
                  <c:v>27.959571565714288</c:v>
                </c:pt>
                <c:pt idx="167">
                  <c:v>28.476714270455457</c:v>
                </c:pt>
                <c:pt idx="168">
                  <c:v>24.844714028571435</c:v>
                </c:pt>
                <c:pt idx="169">
                  <c:v>29.483285902857141</c:v>
                </c:pt>
                <c:pt idx="170">
                  <c:v>20.040428705714284</c:v>
                </c:pt>
                <c:pt idx="171">
                  <c:v>16.072142737142858</c:v>
                </c:pt>
                <c:pt idx="172">
                  <c:v>15.383999960000001</c:v>
                </c:pt>
                <c:pt idx="173">
                  <c:v>16.026142665714286</c:v>
                </c:pt>
                <c:pt idx="174">
                  <c:v>14.769714355714287</c:v>
                </c:pt>
                <c:pt idx="175">
                  <c:v>13.81242861</c:v>
                </c:pt>
                <c:pt idx="176">
                  <c:v>12.849714414285714</c:v>
                </c:pt>
                <c:pt idx="177">
                  <c:v>12.105428559999998</c:v>
                </c:pt>
                <c:pt idx="178">
                  <c:v>11.272714207142856</c:v>
                </c:pt>
                <c:pt idx="179">
                  <c:v>10.867999894285715</c:v>
                </c:pt>
                <c:pt idx="180">
                  <c:v>10.167285918857143</c:v>
                </c:pt>
                <c:pt idx="181">
                  <c:v>9.3535717554285718</c:v>
                </c:pt>
                <c:pt idx="182">
                  <c:v>8.86</c:v>
                </c:pt>
                <c:pt idx="183">
                  <c:v>8.9135712215714289</c:v>
                </c:pt>
                <c:pt idx="184">
                  <c:v>9.1244284766060932</c:v>
                </c:pt>
                <c:pt idx="185">
                  <c:v>8.5528571428571407</c:v>
                </c:pt>
                <c:pt idx="186">
                  <c:v>8.6655714172857152</c:v>
                </c:pt>
                <c:pt idx="187">
                  <c:v>8.8231430052857132</c:v>
                </c:pt>
                <c:pt idx="188">
                  <c:v>7.5077142715714285</c:v>
                </c:pt>
                <c:pt idx="189">
                  <c:v>7.6147142817142859</c:v>
                </c:pt>
                <c:pt idx="190">
                  <c:v>8.7815715245714294</c:v>
                </c:pt>
                <c:pt idx="191">
                  <c:v>8.2851428302857144</c:v>
                </c:pt>
                <c:pt idx="192">
                  <c:v>7.6475714954285712</c:v>
                </c:pt>
                <c:pt idx="193">
                  <c:v>7.6971428571428575</c:v>
                </c:pt>
                <c:pt idx="194">
                  <c:v>7.6702859061104887</c:v>
                </c:pt>
                <c:pt idx="195">
                  <c:v>6.5494285314285721</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lvl>
                <c:lvl>
                  <c:pt idx="0">
                    <c:v>2016</c:v>
                  </c:pt>
                  <c:pt idx="52">
                    <c:v>2017</c:v>
                  </c:pt>
                  <c:pt idx="104">
                    <c:v>2018</c:v>
                  </c:pt>
                  <c:pt idx="156">
                    <c:v>2019</c:v>
                  </c:pt>
                </c:lvl>
              </c:multiLvlStrCache>
            </c:multiLvlStrRef>
          </c:cat>
          <c:val>
            <c:numRef>
              <c:f>'13.Caudales'!$R$4:$R$199</c:f>
              <c:numCache>
                <c:formatCode>0.0</c:formatCode>
                <c:ptCount val="196"/>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pt idx="160">
                  <c:v>16.463000024285716</c:v>
                </c:pt>
                <c:pt idx="161">
                  <c:v>17.05857142857143</c:v>
                </c:pt>
                <c:pt idx="162">
                  <c:v>18.065285818571429</c:v>
                </c:pt>
                <c:pt idx="163">
                  <c:v>14.531571660571432</c:v>
                </c:pt>
                <c:pt idx="164">
                  <c:v>19.520428521428574</c:v>
                </c:pt>
                <c:pt idx="165">
                  <c:v>20.831714628571426</c:v>
                </c:pt>
                <c:pt idx="166">
                  <c:v>22.247142927987216</c:v>
                </c:pt>
                <c:pt idx="167">
                  <c:v>21.707857131428572</c:v>
                </c:pt>
                <c:pt idx="168">
                  <c:v>20.569142751428576</c:v>
                </c:pt>
                <c:pt idx="169">
                  <c:v>18.767857142857142</c:v>
                </c:pt>
                <c:pt idx="170">
                  <c:v>14.275999887714287</c:v>
                </c:pt>
                <c:pt idx="171">
                  <c:v>10.180143014285713</c:v>
                </c:pt>
                <c:pt idx="172">
                  <c:v>12.121571608857142</c:v>
                </c:pt>
                <c:pt idx="173">
                  <c:v>11.996285711571428</c:v>
                </c:pt>
                <c:pt idx="174">
                  <c:v>10.123285769857144</c:v>
                </c:pt>
                <c:pt idx="175">
                  <c:v>9.3731427190000005</c:v>
                </c:pt>
                <c:pt idx="176">
                  <c:v>7.085428442285715</c:v>
                </c:pt>
                <c:pt idx="177">
                  <c:v>7.3308571058571435</c:v>
                </c:pt>
                <c:pt idx="178">
                  <c:v>7.7242857718571427</c:v>
                </c:pt>
                <c:pt idx="179">
                  <c:v>8.8337143495714301</c:v>
                </c:pt>
                <c:pt idx="180">
                  <c:v>7.6592858184285708</c:v>
                </c:pt>
                <c:pt idx="181">
                  <c:v>6.2751428064285708</c:v>
                </c:pt>
                <c:pt idx="182">
                  <c:v>7.15</c:v>
                </c:pt>
                <c:pt idx="183">
                  <c:v>5.7058570728571425</c:v>
                </c:pt>
                <c:pt idx="184">
                  <c:v>6.4564285959516052</c:v>
                </c:pt>
                <c:pt idx="185">
                  <c:v>4.6828571428571433</c:v>
                </c:pt>
                <c:pt idx="186">
                  <c:v>6.0697142064285714</c:v>
                </c:pt>
                <c:pt idx="187">
                  <c:v>7.5088570807142858</c:v>
                </c:pt>
                <c:pt idx="188">
                  <c:v>3.2121428764285715</c:v>
                </c:pt>
                <c:pt idx="189">
                  <c:v>3.3949999810000002</c:v>
                </c:pt>
                <c:pt idx="190">
                  <c:v>7.1025714534285722</c:v>
                </c:pt>
                <c:pt idx="191">
                  <c:v>6.7619999824285708</c:v>
                </c:pt>
                <c:pt idx="192">
                  <c:v>6.5272856442857137</c:v>
                </c:pt>
                <c:pt idx="193">
                  <c:v>5.444285714285714</c:v>
                </c:pt>
                <c:pt idx="194">
                  <c:v>5.896142857415323</c:v>
                </c:pt>
                <c:pt idx="195">
                  <c:v>3.8238571030000004</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lvl>
                <c:lvl>
                  <c:pt idx="0">
                    <c:v>2016</c:v>
                  </c:pt>
                  <c:pt idx="52">
                    <c:v>2017</c:v>
                  </c:pt>
                  <c:pt idx="104">
                    <c:v>2018</c:v>
                  </c:pt>
                  <c:pt idx="156">
                    <c:v>2019</c:v>
                  </c:pt>
                </c:lvl>
              </c:multiLvlStrCache>
            </c:multiLvlStrRef>
          </c:cat>
          <c:val>
            <c:numRef>
              <c:f>'13.Caudales'!$S$4:$S$199</c:f>
              <c:numCache>
                <c:formatCode>0.0</c:formatCode>
                <c:ptCount val="196"/>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pt idx="160">
                  <c:v>416.48700821428571</c:v>
                </c:pt>
                <c:pt idx="161">
                  <c:v>426.67142857142863</c:v>
                </c:pt>
                <c:pt idx="162">
                  <c:v>581.62514822857145</c:v>
                </c:pt>
                <c:pt idx="163">
                  <c:v>439.74099729999995</c:v>
                </c:pt>
                <c:pt idx="164">
                  <c:v>316.26999772857147</c:v>
                </c:pt>
                <c:pt idx="165">
                  <c:v>326.63642664285715</c:v>
                </c:pt>
                <c:pt idx="166">
                  <c:v>416.08099801199745</c:v>
                </c:pt>
                <c:pt idx="167">
                  <c:v>394.13957431428571</c:v>
                </c:pt>
                <c:pt idx="168">
                  <c:v>522.42285592857138</c:v>
                </c:pt>
                <c:pt idx="169">
                  <c:v>316.33943394285717</c:v>
                </c:pt>
                <c:pt idx="170">
                  <c:v>168.45457024285716</c:v>
                </c:pt>
                <c:pt idx="171">
                  <c:v>131.80142647142856</c:v>
                </c:pt>
                <c:pt idx="172">
                  <c:v>143.84128789999997</c:v>
                </c:pt>
                <c:pt idx="173">
                  <c:v>111.12314277285714</c:v>
                </c:pt>
                <c:pt idx="174">
                  <c:v>89.41828482428572</c:v>
                </c:pt>
                <c:pt idx="175">
                  <c:v>79.212427410000004</c:v>
                </c:pt>
                <c:pt idx="176">
                  <c:v>62.717000688571432</c:v>
                </c:pt>
                <c:pt idx="177">
                  <c:v>41.633143151428598</c:v>
                </c:pt>
                <c:pt idx="178">
                  <c:v>41.633143151428598</c:v>
                </c:pt>
                <c:pt idx="179">
                  <c:v>78.434000150000003</c:v>
                </c:pt>
                <c:pt idx="180">
                  <c:v>77.872000559999989</c:v>
                </c:pt>
                <c:pt idx="181">
                  <c:v>76.447856358571428</c:v>
                </c:pt>
                <c:pt idx="182">
                  <c:v>77.430000000000007</c:v>
                </c:pt>
                <c:pt idx="183">
                  <c:v>76.24514443428572</c:v>
                </c:pt>
                <c:pt idx="184">
                  <c:v>66.31271307809007</c:v>
                </c:pt>
                <c:pt idx="185">
                  <c:v>72.048571428571435</c:v>
                </c:pt>
                <c:pt idx="186">
                  <c:v>71.543143134285714</c:v>
                </c:pt>
                <c:pt idx="187">
                  <c:v>73.754999434285722</c:v>
                </c:pt>
                <c:pt idx="188">
                  <c:v>68.878572191428574</c:v>
                </c:pt>
                <c:pt idx="189">
                  <c:v>65.663999831428569</c:v>
                </c:pt>
                <c:pt idx="190">
                  <c:v>65.224427905714279</c:v>
                </c:pt>
                <c:pt idx="191">
                  <c:v>60.719142914285719</c:v>
                </c:pt>
                <c:pt idx="192">
                  <c:v>62.679428645714289</c:v>
                </c:pt>
                <c:pt idx="193">
                  <c:v>65.47</c:v>
                </c:pt>
                <c:pt idx="194">
                  <c:v>72.930715288434641</c:v>
                </c:pt>
                <c:pt idx="195">
                  <c:v>70.661287578571418</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lvl>
                <c:lvl>
                  <c:pt idx="0">
                    <c:v>2016</c:v>
                  </c:pt>
                  <c:pt idx="52">
                    <c:v>2017</c:v>
                  </c:pt>
                  <c:pt idx="104">
                    <c:v>2018</c:v>
                  </c:pt>
                  <c:pt idx="156">
                    <c:v>2019</c:v>
                  </c:pt>
                </c:lvl>
              </c:multiLvlStrCache>
            </c:multiLvlStrRef>
          </c:cat>
          <c:val>
            <c:numRef>
              <c:f>'13.Caudales'!$T$4:$T$199</c:f>
              <c:numCache>
                <c:formatCode>0.0</c:formatCode>
                <c:ptCount val="196"/>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pt idx="160">
                  <c:v>195.24999782857142</c:v>
                </c:pt>
                <c:pt idx="161">
                  <c:v>265.28000000000003</c:v>
                </c:pt>
                <c:pt idx="162">
                  <c:v>230.7322888857143</c:v>
                </c:pt>
                <c:pt idx="163">
                  <c:v>219.37485614285717</c:v>
                </c:pt>
                <c:pt idx="164">
                  <c:v>191.17842539999998</c:v>
                </c:pt>
                <c:pt idx="165">
                  <c:v>184.08928571428572</c:v>
                </c:pt>
                <c:pt idx="166">
                  <c:v>226.88085501534573</c:v>
                </c:pt>
                <c:pt idx="167">
                  <c:v>203.44642857142858</c:v>
                </c:pt>
                <c:pt idx="168">
                  <c:v>225.26185825714285</c:v>
                </c:pt>
                <c:pt idx="169">
                  <c:v>152.47643277142856</c:v>
                </c:pt>
                <c:pt idx="170">
                  <c:v>98.160714291428576</c:v>
                </c:pt>
                <c:pt idx="171">
                  <c:v>98.279714314285712</c:v>
                </c:pt>
                <c:pt idx="172">
                  <c:v>83.547571454285716</c:v>
                </c:pt>
                <c:pt idx="173">
                  <c:v>74.392857142857139</c:v>
                </c:pt>
                <c:pt idx="174">
                  <c:v>60.613000051428571</c:v>
                </c:pt>
                <c:pt idx="175">
                  <c:v>72.321428569999995</c:v>
                </c:pt>
                <c:pt idx="176">
                  <c:v>52.565571377142859</c:v>
                </c:pt>
                <c:pt idx="177">
                  <c:v>49.261999948571429</c:v>
                </c:pt>
                <c:pt idx="178">
                  <c:v>40.500142779999997</c:v>
                </c:pt>
                <c:pt idx="179">
                  <c:v>35.785857065714289</c:v>
                </c:pt>
                <c:pt idx="180">
                  <c:v>33.357000077142857</c:v>
                </c:pt>
                <c:pt idx="181">
                  <c:v>29.154571531428569</c:v>
                </c:pt>
                <c:pt idx="182">
                  <c:v>30.35</c:v>
                </c:pt>
                <c:pt idx="183">
                  <c:v>27.702285765714286</c:v>
                </c:pt>
                <c:pt idx="184">
                  <c:v>29.940428597586454</c:v>
                </c:pt>
                <c:pt idx="185">
                  <c:v>36.729999999999997</c:v>
                </c:pt>
                <c:pt idx="186">
                  <c:v>31.720428468571431</c:v>
                </c:pt>
                <c:pt idx="187">
                  <c:v>23.255857194285714</c:v>
                </c:pt>
                <c:pt idx="188">
                  <c:v>21.297428674285715</c:v>
                </c:pt>
                <c:pt idx="189">
                  <c:v>20.922428674285715</c:v>
                </c:pt>
                <c:pt idx="190">
                  <c:v>19.458285740000001</c:v>
                </c:pt>
                <c:pt idx="191">
                  <c:v>25.369000025714286</c:v>
                </c:pt>
                <c:pt idx="192">
                  <c:v>28.136857168571428</c:v>
                </c:pt>
                <c:pt idx="193">
                  <c:v>29.351428571428567</c:v>
                </c:pt>
                <c:pt idx="194">
                  <c:v>26.470285688127774</c:v>
                </c:pt>
                <c:pt idx="195">
                  <c:v>28.190571377142856</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lvl>
                <c:lvl>
                  <c:pt idx="0">
                    <c:v>2016</c:v>
                  </c:pt>
                  <c:pt idx="52">
                    <c:v>2017</c:v>
                  </c:pt>
                  <c:pt idx="104">
                    <c:v>2018</c:v>
                  </c:pt>
                  <c:pt idx="156">
                    <c:v>2019</c:v>
                  </c:pt>
                </c:lvl>
              </c:multiLvlStrCache>
            </c:multiLvlStrRef>
          </c:cat>
          <c:val>
            <c:numRef>
              <c:f>'13.Caudales'!$U$4:$U$199</c:f>
              <c:numCache>
                <c:formatCode>0.0</c:formatCode>
                <c:ptCount val="196"/>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pt idx="160">
                  <c:v>36.703999928571427</c:v>
                </c:pt>
                <c:pt idx="161">
                  <c:v>51.29</c:v>
                </c:pt>
                <c:pt idx="162">
                  <c:v>46.224000658571427</c:v>
                </c:pt>
                <c:pt idx="163">
                  <c:v>42.94585745571429</c:v>
                </c:pt>
                <c:pt idx="164">
                  <c:v>34.696428571428569</c:v>
                </c:pt>
                <c:pt idx="165">
                  <c:v>38.680999754285715</c:v>
                </c:pt>
                <c:pt idx="166">
                  <c:v>42.633285522460888</c:v>
                </c:pt>
                <c:pt idx="167">
                  <c:v>43.529285431428569</c:v>
                </c:pt>
                <c:pt idx="168">
                  <c:v>57.974427901428569</c:v>
                </c:pt>
                <c:pt idx="169">
                  <c:v>55.119428907142868</c:v>
                </c:pt>
                <c:pt idx="170">
                  <c:v>27.713714872857139</c:v>
                </c:pt>
                <c:pt idx="171">
                  <c:v>22.869143077142859</c:v>
                </c:pt>
                <c:pt idx="172">
                  <c:v>20.273857388571425</c:v>
                </c:pt>
                <c:pt idx="173">
                  <c:v>18.103142875714287</c:v>
                </c:pt>
                <c:pt idx="174">
                  <c:v>15.728999954285714</c:v>
                </c:pt>
                <c:pt idx="175">
                  <c:v>20.647571429999999</c:v>
                </c:pt>
                <c:pt idx="176">
                  <c:v>14.46171447</c:v>
                </c:pt>
                <c:pt idx="177">
                  <c:v>12.621714454285712</c:v>
                </c:pt>
                <c:pt idx="178">
                  <c:v>10.571857179142857</c:v>
                </c:pt>
                <c:pt idx="179">
                  <c:v>9.2180000031428584</c:v>
                </c:pt>
                <c:pt idx="180">
                  <c:v>8.9321429390000002</c:v>
                </c:pt>
                <c:pt idx="181">
                  <c:v>8.3007144928571428</c:v>
                </c:pt>
                <c:pt idx="182">
                  <c:v>8.59</c:v>
                </c:pt>
                <c:pt idx="183">
                  <c:v>7.8261427880000003</c:v>
                </c:pt>
                <c:pt idx="184">
                  <c:v>7.6488569804600273</c:v>
                </c:pt>
                <c:pt idx="185">
                  <c:v>8.18</c:v>
                </c:pt>
                <c:pt idx="186">
                  <c:v>7.0618571554285712</c:v>
                </c:pt>
                <c:pt idx="187">
                  <c:v>6.2595714159999991</c:v>
                </c:pt>
                <c:pt idx="188">
                  <c:v>6.3691428730000004</c:v>
                </c:pt>
                <c:pt idx="189">
                  <c:v>6.115428584</c:v>
                </c:pt>
                <c:pt idx="190">
                  <c:v>6.3137143680000003</c:v>
                </c:pt>
                <c:pt idx="191">
                  <c:v>5.8737142427142857</c:v>
                </c:pt>
                <c:pt idx="192">
                  <c:v>6.1154285838571436</c:v>
                </c:pt>
                <c:pt idx="193">
                  <c:v>6.8328571428571419</c:v>
                </c:pt>
                <c:pt idx="194">
                  <c:v>9.2337144442966927</c:v>
                </c:pt>
                <c:pt idx="195">
                  <c:v>9.6928569934285722</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lvl>
                <c:lvl>
                  <c:pt idx="0">
                    <c:v>2016</c:v>
                  </c:pt>
                  <c:pt idx="52">
                    <c:v>2017</c:v>
                  </c:pt>
                  <c:pt idx="104">
                    <c:v>2018</c:v>
                  </c:pt>
                  <c:pt idx="156">
                    <c:v>2019</c:v>
                  </c:pt>
                </c:lvl>
              </c:multiLvlStrCache>
            </c:multiLvlStrRef>
          </c:cat>
          <c:val>
            <c:numRef>
              <c:f>'13.Caudales'!$V$4:$V$199</c:f>
              <c:numCache>
                <c:formatCode>0.0</c:formatCode>
                <c:ptCount val="196"/>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pt idx="160">
                  <c:v>12.496724401428571</c:v>
                </c:pt>
                <c:pt idx="161">
                  <c:v>12.744285714285715</c:v>
                </c:pt>
                <c:pt idx="162">
                  <c:v>23.841369902857146</c:v>
                </c:pt>
                <c:pt idx="163">
                  <c:v>23.894881112857146</c:v>
                </c:pt>
                <c:pt idx="164">
                  <c:v>22.406962801428573</c:v>
                </c:pt>
                <c:pt idx="165">
                  <c:v>23.828572680000001</c:v>
                </c:pt>
                <c:pt idx="166">
                  <c:v>23.809881482805473</c:v>
                </c:pt>
                <c:pt idx="167">
                  <c:v>19.572964258571432</c:v>
                </c:pt>
                <c:pt idx="168">
                  <c:v>12.582738467142859</c:v>
                </c:pt>
                <c:pt idx="169">
                  <c:v>21.303751674285714</c:v>
                </c:pt>
                <c:pt idx="170">
                  <c:v>17.810774395714287</c:v>
                </c:pt>
                <c:pt idx="171">
                  <c:v>12.210951395714286</c:v>
                </c:pt>
                <c:pt idx="172">
                  <c:v>12.949641501428573</c:v>
                </c:pt>
                <c:pt idx="173">
                  <c:v>11.493274145714285</c:v>
                </c:pt>
                <c:pt idx="174">
                  <c:v>10.883738517142858</c:v>
                </c:pt>
                <c:pt idx="175">
                  <c:v>11.153748650000001</c:v>
                </c:pt>
                <c:pt idx="176">
                  <c:v>12</c:v>
                </c:pt>
                <c:pt idx="177">
                  <c:v>10.442797251571431</c:v>
                </c:pt>
                <c:pt idx="178">
                  <c:v>10.979225701428572</c:v>
                </c:pt>
                <c:pt idx="179">
                  <c:v>11.096784181428571</c:v>
                </c:pt>
                <c:pt idx="180">
                  <c:v>10.461965969999998</c:v>
                </c:pt>
                <c:pt idx="181">
                  <c:v>11.259941372857144</c:v>
                </c:pt>
                <c:pt idx="182">
                  <c:v>10.758154460361988</c:v>
                </c:pt>
                <c:pt idx="183">
                  <c:v>11.139168601428571</c:v>
                </c:pt>
                <c:pt idx="184">
                  <c:v>10.810358456202879</c:v>
                </c:pt>
                <c:pt idx="185">
                  <c:v>12.61</c:v>
                </c:pt>
                <c:pt idx="186">
                  <c:v>12.322975702857141</c:v>
                </c:pt>
                <c:pt idx="187">
                  <c:v>12.551451548571427</c:v>
                </c:pt>
                <c:pt idx="188">
                  <c:v>12.137084417142857</c:v>
                </c:pt>
                <c:pt idx="189">
                  <c:v>12.034524235714285</c:v>
                </c:pt>
                <c:pt idx="190">
                  <c:v>12.041607177142856</c:v>
                </c:pt>
                <c:pt idx="191">
                  <c:v>12.055594308571429</c:v>
                </c:pt>
                <c:pt idx="192">
                  <c:v>12.130952835714286</c:v>
                </c:pt>
                <c:pt idx="193">
                  <c:v>12.194285714285716</c:v>
                </c:pt>
                <c:pt idx="194">
                  <c:v>12.167024339948341</c:v>
                </c:pt>
                <c:pt idx="195">
                  <c:v>12.594642775714282</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'13.Caudales'!$N$4:$O$199</c:f>
              <c:multiLvlStrCache>
                <c:ptCount val="19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pt idx="195">
                    <c:v>40</c:v>
                  </c:pt>
                </c:lvl>
                <c:lvl>
                  <c:pt idx="0">
                    <c:v>2016</c:v>
                  </c:pt>
                  <c:pt idx="52">
                    <c:v>2017</c:v>
                  </c:pt>
                  <c:pt idx="104">
                    <c:v>2018</c:v>
                  </c:pt>
                  <c:pt idx="156">
                    <c:v>2019</c:v>
                  </c:pt>
                </c:lvl>
              </c:multiLvlStrCache>
            </c:multiLvlStrRef>
          </c:cat>
          <c:val>
            <c:numRef>
              <c:f>'13.Caudales'!$W$4:$W$199</c:f>
              <c:numCache>
                <c:formatCode>0.0</c:formatCode>
                <c:ptCount val="196"/>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pt idx="160">
                  <c:v>6.6928571292857146</c:v>
                </c:pt>
                <c:pt idx="161">
                  <c:v>14.464285714285714</c:v>
                </c:pt>
                <c:pt idx="162">
                  <c:v>21.059571402857141</c:v>
                </c:pt>
                <c:pt idx="163">
                  <c:v>6.8928571428571432</c:v>
                </c:pt>
                <c:pt idx="164">
                  <c:v>3.3807143142857146</c:v>
                </c:pt>
                <c:pt idx="165">
                  <c:v>2.3840000118571427</c:v>
                </c:pt>
                <c:pt idx="166">
                  <c:v>1.9291428668158341</c:v>
                </c:pt>
                <c:pt idx="167">
                  <c:v>1.7968571012857144</c:v>
                </c:pt>
                <c:pt idx="168">
                  <c:v>1.6904285634285714</c:v>
                </c:pt>
                <c:pt idx="169">
                  <c:v>1.6808571647142858</c:v>
                </c:pt>
                <c:pt idx="170">
                  <c:v>1.7205714498571432</c:v>
                </c:pt>
                <c:pt idx="171">
                  <c:v>1.789857131857143</c:v>
                </c:pt>
                <c:pt idx="172">
                  <c:v>1.6648571664285714</c:v>
                </c:pt>
                <c:pt idx="173">
                  <c:v>1.55</c:v>
                </c:pt>
                <c:pt idx="174">
                  <c:v>1.5914285865714286</c:v>
                </c:pt>
                <c:pt idx="175">
                  <c:v>1.5371428389999999</c:v>
                </c:pt>
                <c:pt idx="176">
                  <c:v>1.5128571304285714</c:v>
                </c:pt>
                <c:pt idx="177">
                  <c:v>1.5</c:v>
                </c:pt>
                <c:pt idx="178">
                  <c:v>1.5</c:v>
                </c:pt>
                <c:pt idx="179">
                  <c:v>1.5</c:v>
                </c:pt>
                <c:pt idx="180">
                  <c:v>1.5</c:v>
                </c:pt>
                <c:pt idx="181">
                  <c:v>1.5</c:v>
                </c:pt>
                <c:pt idx="182">
                  <c:v>1.59</c:v>
                </c:pt>
                <c:pt idx="183">
                  <c:v>1.6000000240000001</c:v>
                </c:pt>
                <c:pt idx="184">
                  <c:v>1.6000000238418504</c:v>
                </c:pt>
                <c:pt idx="185">
                  <c:v>1.6285714285714283</c:v>
                </c:pt>
                <c:pt idx="186">
                  <c:v>1.7000000479999999</c:v>
                </c:pt>
                <c:pt idx="187">
                  <c:v>1.7214285988571427</c:v>
                </c:pt>
                <c:pt idx="188">
                  <c:v>1.7482857022857143</c:v>
                </c:pt>
                <c:pt idx="189">
                  <c:v>1.7482857022857143</c:v>
                </c:pt>
                <c:pt idx="190">
                  <c:v>1.75</c:v>
                </c:pt>
                <c:pt idx="191">
                  <c:v>1.6425714154285713</c:v>
                </c:pt>
                <c:pt idx="192">
                  <c:v>1.6457142658571429</c:v>
                </c:pt>
                <c:pt idx="193">
                  <c:v>1.6014285714285712</c:v>
                </c:pt>
                <c:pt idx="194">
                  <c:v>1.4285714115415273</c:v>
                </c:pt>
                <c:pt idx="195">
                  <c:v>1.3999999759999999</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'13.Caudales'!$Y$4:$Y$199</c:f>
              <c:numCache>
                <c:formatCode>0.0</c:formatCode>
                <c:ptCount val="196"/>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64.398429325714275</c:v>
                </c:pt>
                <c:pt idx="157">
                  <c:v>70.997858864285703</c:v>
                </c:pt>
                <c:pt idx="158">
                  <c:v>68.83</c:v>
                </c:pt>
                <c:pt idx="159">
                  <c:v>70.089428494285713</c:v>
                </c:pt>
                <c:pt idx="160">
                  <c:v>74.655428748571438</c:v>
                </c:pt>
                <c:pt idx="161">
                  <c:v>117.82857142857142</c:v>
                </c:pt>
                <c:pt idx="162">
                  <c:v>118.07871352857144</c:v>
                </c:pt>
                <c:pt idx="163">
                  <c:v>98.32</c:v>
                </c:pt>
                <c:pt idx="164">
                  <c:v>120.90099988571428</c:v>
                </c:pt>
                <c:pt idx="165">
                  <c:v>78.177285328571429</c:v>
                </c:pt>
                <c:pt idx="166">
                  <c:v>44.638999938964801</c:v>
                </c:pt>
                <c:pt idx="167">
                  <c:v>98.4</c:v>
                </c:pt>
                <c:pt idx="168">
                  <c:v>92.103571201428579</c:v>
                </c:pt>
                <c:pt idx="169">
                  <c:v>65.665856497142855</c:v>
                </c:pt>
                <c:pt idx="170">
                  <c:v>49.633285522857136</c:v>
                </c:pt>
                <c:pt idx="171">
                  <c:v>31.291000095714285</c:v>
                </c:pt>
                <c:pt idx="172">
                  <c:v>25.921857015714284</c:v>
                </c:pt>
                <c:pt idx="173">
                  <c:v>22.190428595714284</c:v>
                </c:pt>
                <c:pt idx="174">
                  <c:v>20.991285870000006</c:v>
                </c:pt>
                <c:pt idx="175">
                  <c:v>23.085714070000002</c:v>
                </c:pt>
                <c:pt idx="176">
                  <c:v>17.858285902857144</c:v>
                </c:pt>
                <c:pt idx="177">
                  <c:v>15.324571202857143</c:v>
                </c:pt>
                <c:pt idx="178">
                  <c:v>13.868142808571431</c:v>
                </c:pt>
                <c:pt idx="179">
                  <c:v>12.512571334285715</c:v>
                </c:pt>
                <c:pt idx="180">
                  <c:v>11.450428658571429</c:v>
                </c:pt>
                <c:pt idx="181">
                  <c:v>9.6660000944285702</c:v>
                </c:pt>
                <c:pt idx="182">
                  <c:v>8.27</c:v>
                </c:pt>
                <c:pt idx="183">
                  <c:v>7.4899999752857136</c:v>
                </c:pt>
                <c:pt idx="184">
                  <c:v>6.46428571428571</c:v>
                </c:pt>
                <c:pt idx="185">
                  <c:v>8.2285714285714295</c:v>
                </c:pt>
                <c:pt idx="186">
                  <c:v>6.7562857354285706</c:v>
                </c:pt>
                <c:pt idx="187">
                  <c:v>6.4201429230000002</c:v>
                </c:pt>
                <c:pt idx="188">
                  <c:v>4.7154285567142855</c:v>
                </c:pt>
                <c:pt idx="189">
                  <c:v>5.7421428814285713</c:v>
                </c:pt>
                <c:pt idx="190">
                  <c:v>6.5945714541428577</c:v>
                </c:pt>
                <c:pt idx="191">
                  <c:v>4.9847143037142851</c:v>
                </c:pt>
                <c:pt idx="192">
                  <c:v>5.502714293285714</c:v>
                </c:pt>
                <c:pt idx="193">
                  <c:v>6.8414285714285716</c:v>
                </c:pt>
                <c:pt idx="194">
                  <c:v>5.5879999569484111</c:v>
                </c:pt>
                <c:pt idx="195">
                  <c:v>8.0550000327142861</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'13.Caudales'!$X$4:$X$199</c:f>
              <c:numCache>
                <c:formatCode>0.0</c:formatCode>
                <c:ptCount val="196"/>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pt idx="160">
                  <c:v>199.03571430000002</c:v>
                </c:pt>
                <c:pt idx="161">
                  <c:v>338.89857142857142</c:v>
                </c:pt>
                <c:pt idx="162">
                  <c:v>288.0957205571429</c:v>
                </c:pt>
                <c:pt idx="163">
                  <c:v>411.75142995714288</c:v>
                </c:pt>
                <c:pt idx="164">
                  <c:v>249.46285358571427</c:v>
                </c:pt>
                <c:pt idx="165">
                  <c:v>225.10000174285716</c:v>
                </c:pt>
                <c:pt idx="166">
                  <c:v>217.45642525809117</c:v>
                </c:pt>
                <c:pt idx="167">
                  <c:v>327.82142857142861</c:v>
                </c:pt>
                <c:pt idx="168">
                  <c:v>339.04356602857143</c:v>
                </c:pt>
                <c:pt idx="169">
                  <c:v>250.08571298571431</c:v>
                </c:pt>
                <c:pt idx="170">
                  <c:v>148.48785617142858</c:v>
                </c:pt>
                <c:pt idx="171">
                  <c:v>105.47928511571429</c:v>
                </c:pt>
                <c:pt idx="172">
                  <c:v>103.81928579571429</c:v>
                </c:pt>
                <c:pt idx="173">
                  <c:v>91.532855442857141</c:v>
                </c:pt>
                <c:pt idx="174">
                  <c:v>82.45500183</c:v>
                </c:pt>
                <c:pt idx="175">
                  <c:v>76.857142859999996</c:v>
                </c:pt>
                <c:pt idx="176">
                  <c:v>58.057856968571436</c:v>
                </c:pt>
                <c:pt idx="177">
                  <c:v>51.520714895714285</c:v>
                </c:pt>
                <c:pt idx="178">
                  <c:v>46.520714351428573</c:v>
                </c:pt>
                <c:pt idx="179">
                  <c:v>42.473571777142858</c:v>
                </c:pt>
                <c:pt idx="180">
                  <c:v>43.729285104285715</c:v>
                </c:pt>
                <c:pt idx="181">
                  <c:v>44.616428919999997</c:v>
                </c:pt>
                <c:pt idx="182">
                  <c:v>43.84</c:v>
                </c:pt>
                <c:pt idx="183">
                  <c:v>39.995714458571435</c:v>
                </c:pt>
                <c:pt idx="184">
                  <c:v>42.704285757882197</c:v>
                </c:pt>
                <c:pt idx="185">
                  <c:v>44.611428571428576</c:v>
                </c:pt>
                <c:pt idx="186">
                  <c:v>43.444999694285706</c:v>
                </c:pt>
                <c:pt idx="187">
                  <c:v>38.432857512857147</c:v>
                </c:pt>
                <c:pt idx="188">
                  <c:v>36.690713608571421</c:v>
                </c:pt>
                <c:pt idx="189">
                  <c:v>34.872856138571429</c:v>
                </c:pt>
                <c:pt idx="190">
                  <c:v>34.16142872428572</c:v>
                </c:pt>
                <c:pt idx="191">
                  <c:v>35.968571799999999</c:v>
                </c:pt>
                <c:pt idx="192">
                  <c:v>34.324999674285714</c:v>
                </c:pt>
                <c:pt idx="193">
                  <c:v>33.131428571428572</c:v>
                </c:pt>
                <c:pt idx="194">
                  <c:v>32.532142911638481</c:v>
                </c:pt>
                <c:pt idx="195">
                  <c:v>36.384999957142853</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559717214603686"/>
              <c:y val="0.94483341230349494"/>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24739327172104933"/>
          <c:y val="0.16369553377365523"/>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CAJAMARCA 220</c:v>
                </c:pt>
                <c:pt idx="3">
                  <c:v>TRUJILLO 220</c:v>
                </c:pt>
                <c:pt idx="4">
                  <c:v>CHIMBOTE1 138</c:v>
                </c:pt>
              </c:strCache>
            </c:strRef>
          </c:cat>
          <c:val>
            <c:numRef>
              <c:f>'14. CMg'!$C$9:$G$9</c:f>
              <c:numCache>
                <c:formatCode>0.00</c:formatCode>
                <c:ptCount val="5"/>
                <c:pt idx="0">
                  <c:v>10.694123521253889</c:v>
                </c:pt>
                <c:pt idx="1">
                  <c:v>10.642648763540159</c:v>
                </c:pt>
                <c:pt idx="2">
                  <c:v>10.556433428524516</c:v>
                </c:pt>
                <c:pt idx="3">
                  <c:v>10.408521755087808</c:v>
                </c:pt>
                <c:pt idx="4">
                  <c:v>10.336415999097323</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INDEPENDENCIA 220</c:v>
                </c:pt>
                <c:pt idx="1">
                  <c:v>CHAVARRIA 220</c:v>
                </c:pt>
                <c:pt idx="2">
                  <c:v>CARABAYLLO 220</c:v>
                </c:pt>
                <c:pt idx="3">
                  <c:v>SANTA ROSA 220</c:v>
                </c:pt>
                <c:pt idx="4">
                  <c:v>OROYA NUEVA 50</c:v>
                </c:pt>
                <c:pt idx="5">
                  <c:v>SAN JUAN 220</c:v>
                </c:pt>
                <c:pt idx="6">
                  <c:v>POMACOCHA 220</c:v>
                </c:pt>
              </c:strCache>
            </c:strRef>
          </c:cat>
          <c:val>
            <c:numRef>
              <c:f>'14. CMg'!$C$27:$I$27</c:f>
              <c:numCache>
                <c:formatCode>0.00</c:formatCode>
                <c:ptCount val="7"/>
                <c:pt idx="0">
                  <c:v>10.031297754390316</c:v>
                </c:pt>
                <c:pt idx="1">
                  <c:v>9.9370287598473901</c:v>
                </c:pt>
                <c:pt idx="2">
                  <c:v>9.9330300701624594</c:v>
                </c:pt>
                <c:pt idx="3">
                  <c:v>9.9264731214097832</c:v>
                </c:pt>
                <c:pt idx="4">
                  <c:v>9.8522280303217169</c:v>
                </c:pt>
                <c:pt idx="5">
                  <c:v>9.8442057703512358</c:v>
                </c:pt>
                <c:pt idx="6">
                  <c:v>9.8429797831528116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SAN GABAN 138</c:v>
                </c:pt>
                <c:pt idx="6">
                  <c:v>COTARUSE 220</c:v>
                </c:pt>
              </c:strCache>
            </c:strRef>
          </c:cat>
          <c:val>
            <c:numRef>
              <c:f>'14. CMg'!$C$46:$I$46</c:f>
              <c:numCache>
                <c:formatCode>0.00</c:formatCode>
                <c:ptCount val="7"/>
                <c:pt idx="0">
                  <c:v>11.017867511693765</c:v>
                </c:pt>
                <c:pt idx="1">
                  <c:v>10.782694539635676</c:v>
                </c:pt>
                <c:pt idx="2">
                  <c:v>10.615542637452849</c:v>
                </c:pt>
                <c:pt idx="3">
                  <c:v>10.587067594780944</c:v>
                </c:pt>
                <c:pt idx="4">
                  <c:v>10.577825722345331</c:v>
                </c:pt>
                <c:pt idx="5">
                  <c:v>10.454557862095859</c:v>
                </c:pt>
                <c:pt idx="6">
                  <c:v>10.30366570613818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79909868940686513"/>
        </c:manualLayout>
      </c:layout>
      <c:barChart>
        <c:barDir val="col"/>
        <c:grouping val="clustered"/>
        <c:varyColors val="0"/>
        <c:ser>
          <c:idx val="2"/>
          <c:order val="0"/>
          <c:tx>
            <c:strRef>
              <c:f>'16. Congestiones'!$F$6</c:f>
              <c:strCache>
                <c:ptCount val="1"/>
                <c:pt idx="0">
                  <c:v>SETIEMBRE
 2017</c:v>
                </c:pt>
              </c:strCache>
            </c:strRef>
          </c:tx>
          <c:spPr>
            <a:solidFill>
              <a:schemeClr val="accent6"/>
            </a:solidFill>
          </c:spPr>
          <c:invertIfNegative val="0"/>
          <c:cat>
            <c:strRef>
              <c:f>'16. Congestiones'!$C$7:$C$12</c:f>
              <c:strCache>
                <c:ptCount val="6"/>
                <c:pt idx="0">
                  <c:v>HUACHO - PARAMONGA NUEVA</c:v>
                </c:pt>
                <c:pt idx="1">
                  <c:v>SAN JUAN - SANTA ROSA N.</c:v>
                </c:pt>
                <c:pt idx="2">
                  <c:v>INDEPENDENCIA</c:v>
                </c:pt>
                <c:pt idx="3">
                  <c:v>MARCONA</c:v>
                </c:pt>
                <c:pt idx="4">
                  <c:v>CHILCA - DESIERTO</c:v>
                </c:pt>
                <c:pt idx="5">
                  <c:v>ENLACE CENTRO - SUR</c:v>
                </c:pt>
              </c:strCache>
            </c:strRef>
          </c:cat>
          <c:val>
            <c:numRef>
              <c:f>'16. Congestiones'!$F$7:$F$12</c:f>
              <c:numCache>
                <c:formatCode>#,##0.00</c:formatCode>
                <c:ptCount val="6"/>
                <c:pt idx="1">
                  <c:v>3.3499999999999988</c:v>
                </c:pt>
                <c:pt idx="2">
                  <c:v>32.783333333333331</c:v>
                </c:pt>
                <c:pt idx="3">
                  <c:v>1.116666666666668</c:v>
                </c:pt>
                <c:pt idx="5">
                  <c:v>556.88333333333344</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SETIEMBRE
 2018</c:v>
                </c:pt>
              </c:strCache>
            </c:strRef>
          </c:tx>
          <c:invertIfNegative val="0"/>
          <c:cat>
            <c:strRef>
              <c:f>'16. Congestiones'!$C$7:$C$12</c:f>
              <c:strCache>
                <c:ptCount val="6"/>
                <c:pt idx="0">
                  <c:v>HUACHO - PARAMONGA NUEVA</c:v>
                </c:pt>
                <c:pt idx="1">
                  <c:v>SAN JUAN - SANTA ROSA N.</c:v>
                </c:pt>
                <c:pt idx="2">
                  <c:v>INDEPENDENCIA</c:v>
                </c:pt>
                <c:pt idx="3">
                  <c:v>MARCONA</c:v>
                </c:pt>
                <c:pt idx="4">
                  <c:v>CHILCA - DESIERTO</c:v>
                </c:pt>
                <c:pt idx="5">
                  <c:v>ENLACE CENTRO - SUR</c:v>
                </c:pt>
              </c:strCache>
            </c:strRef>
          </c:cat>
          <c:val>
            <c:numRef>
              <c:f>'16. Congestiones'!$E$7:$E$12</c:f>
              <c:numCache>
                <c:formatCode>#,##0.00</c:formatCode>
                <c:ptCount val="6"/>
                <c:pt idx="0">
                  <c:v>16.133333333333326</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SETIEMBRE
 2019</c:v>
                </c:pt>
              </c:strCache>
            </c:strRef>
          </c:tx>
          <c:invertIfNegative val="0"/>
          <c:cat>
            <c:strRef>
              <c:f>'16. Congestiones'!$C$7:$C$12</c:f>
              <c:strCache>
                <c:ptCount val="6"/>
                <c:pt idx="0">
                  <c:v>HUACHO - PARAMONGA NUEVA</c:v>
                </c:pt>
                <c:pt idx="1">
                  <c:v>SAN JUAN - SANTA ROSA N.</c:v>
                </c:pt>
                <c:pt idx="2">
                  <c:v>INDEPENDENCIA</c:v>
                </c:pt>
                <c:pt idx="3">
                  <c:v>MARCONA</c:v>
                </c:pt>
                <c:pt idx="4">
                  <c:v>CHILCA - DESIERTO</c:v>
                </c:pt>
                <c:pt idx="5">
                  <c:v>ENLACE CENTRO - SUR</c:v>
                </c:pt>
              </c:strCache>
            </c:strRef>
          </c:cat>
          <c:val>
            <c:numRef>
              <c:f>'16. Congestiones'!$D$7:$D$12</c:f>
              <c:numCache>
                <c:formatCode>#,##0.00</c:formatCode>
                <c:ptCount val="6"/>
                <c:pt idx="2">
                  <c:v>4.5666666666666638</c:v>
                </c:pt>
                <c:pt idx="4">
                  <c:v>5.3833333333333329</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1310888375246739"/>
          <c:y val="1.7496948728826747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10532127234892"/>
          <c:y val="0.13543598832398554"/>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0.16900878591976129"/>
                  <c:y val="0.11805497552182828"/>
                </c:manualLayout>
              </c:layout>
              <c:numFmt formatCode="General" sourceLinked="0"/>
              <c:spPr/>
              <c:txPr>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15735829064213958"/>
                  <c:y val="9.5158387377508105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8.8265220396495078E-2"/>
                  <c:y val="0.18186370000745436"/>
                </c:manualLayout>
              </c:layout>
              <c:numFmt formatCode="General" sourceLinked="0"/>
              <c:spPr>
                <a:solidFill>
                  <a:schemeClr val="bg1"/>
                </a:solidFill>
              </c:spPr>
              <c:txPr>
                <a:bodyPr/>
                <a:lstStyle/>
                <a:p>
                  <a:pPr>
                    <a:defRPr sz="600" b="1">
                      <a:solidFill>
                        <a:sysClr val="windowText" lastClr="000000"/>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5934661289"/>
                      <c:h val="0.112946267216342"/>
                    </c:manualLayout>
                  </c15:layout>
                </c:ext>
                <c:ext xmlns:c16="http://schemas.microsoft.com/office/drawing/2014/chart" uri="{C3380CC4-5D6E-409C-BE32-E72D297353CC}">
                  <c16:uniqueId val="{00000004-E0CC-4AD3-904F-2124A98CD904}"/>
                </c:ext>
              </c:extLst>
            </c:dLbl>
            <c:dLbl>
              <c:idx val="3"/>
              <c:layout>
                <c:manualLayout>
                  <c:x val="5.0088358198249056E-2"/>
                  <c:y val="0.17897378487050494"/>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3.3421152247042736E-2"/>
                  <c:y val="1.4644916075481323E-2"/>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825887088177094"/>
                      <c:h val="0.13624692458843149"/>
                    </c:manualLayout>
                  </c15:layout>
                </c:ext>
                <c:ext xmlns:c16="http://schemas.microsoft.com/office/drawing/2014/chart" uri="{C3380CC4-5D6E-409C-BE32-E72D297353CC}">
                  <c16:uniqueId val="{00000006-E0CC-4AD3-904F-2124A98CD904}"/>
                </c:ext>
              </c:extLst>
            </c:dLbl>
            <c:dLbl>
              <c:idx val="5"/>
              <c:layout>
                <c:manualLayout>
                  <c:x val="0.20462144759304315"/>
                  <c:y val="5.0153308527348991E-2"/>
                </c:manualLayout>
              </c:layout>
              <c:numFmt formatCode="General" sourceLinked="0"/>
              <c:spPr/>
              <c:txPr>
                <a:bodyPr/>
                <a:lstStyle/>
                <a:p>
                  <a:pPr>
                    <a:defRPr sz="600" b="1">
                      <a:solidFill>
                        <a:sysClr val="windowText" lastClr="000000"/>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16766343342844234"/>
                  <c:y val="5.7695019314000472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b="1">
                    <a:solidFill>
                      <a:schemeClr val="tx1"/>
                    </a:solidFill>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4</c:v>
                </c:pt>
                <c:pt idx="1">
                  <c:v>1</c:v>
                </c:pt>
                <c:pt idx="2">
                  <c:v>1</c:v>
                </c:pt>
                <c:pt idx="3">
                  <c:v>3</c:v>
                </c:pt>
                <c:pt idx="4">
                  <c:v>22</c:v>
                </c:pt>
                <c:pt idx="5">
                  <c:v>0</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Eventos'!$J$7:$J$11</c:f>
              <c:numCache>
                <c:formatCode>#,##0.00</c:formatCode>
                <c:ptCount val="5"/>
                <c:pt idx="0">
                  <c:v>151.86999999999998</c:v>
                </c:pt>
                <c:pt idx="1">
                  <c:v>0</c:v>
                </c:pt>
                <c:pt idx="2">
                  <c:v>800.93999999999994</c:v>
                </c:pt>
                <c:pt idx="3">
                  <c:v>20.7</c:v>
                </c:pt>
                <c:pt idx="4">
                  <c:v>0.33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generación'!$B$37:$C$37</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generación'!$D$36:$E$36</c:f>
              <c:strCache>
                <c:ptCount val="2"/>
                <c:pt idx="0">
                  <c:v>SETIEMBRE 2019</c:v>
                </c:pt>
                <c:pt idx="1">
                  <c:v>SETIEMBRE 2018</c:v>
                </c:pt>
              </c:strCache>
            </c:strRef>
          </c:cat>
          <c:val>
            <c:numRef>
              <c:f>'2. Oferta de generación'!$D$37:$E$37</c:f>
              <c:numCache>
                <c:formatCode>#,##0.0</c:formatCode>
                <c:ptCount val="2"/>
                <c:pt idx="0">
                  <c:v>5122.3492474999994</c:v>
                </c:pt>
                <c:pt idx="1">
                  <c:v>4904.5012475000012</c:v>
                </c:pt>
              </c:numCache>
            </c:numRef>
          </c:val>
          <c:extLst>
            <c:ext xmlns:c16="http://schemas.microsoft.com/office/drawing/2014/chart" uri="{C3380CC4-5D6E-409C-BE32-E72D297353CC}">
              <c16:uniqueId val="{00000004-54B0-402D-913D-0304413B844F}"/>
            </c:ext>
          </c:extLst>
        </c:ser>
        <c:ser>
          <c:idx val="1"/>
          <c:order val="1"/>
          <c:tx>
            <c:strRef>
              <c:f>'2. Oferta de generación'!$B$38:$C$38</c:f>
              <c:strCache>
                <c:ptCount val="2"/>
                <c:pt idx="0">
                  <c:v>TERMOELÉCTRICA</c:v>
                </c:pt>
              </c:strCache>
            </c:strRef>
          </c:tx>
          <c:spPr>
            <a:solidFill>
              <a:schemeClr val="accent2"/>
            </a:solidFill>
          </c:spPr>
          <c:invertIfNegative val="0"/>
          <c:cat>
            <c:strRef>
              <c:f>'2. Oferta de generación'!$D$36:$E$36</c:f>
              <c:strCache>
                <c:ptCount val="2"/>
                <c:pt idx="0">
                  <c:v>SETIEMBRE 2019</c:v>
                </c:pt>
                <c:pt idx="1">
                  <c:v>SETIEMBRE 2018</c:v>
                </c:pt>
              </c:strCache>
            </c:strRef>
          </c:cat>
          <c:val>
            <c:numRef>
              <c:f>'2. Oferta de generación'!$D$38:$E$38</c:f>
              <c:numCache>
                <c:formatCode>#,##0.0</c:formatCode>
                <c:ptCount val="2"/>
                <c:pt idx="0">
                  <c:v>7417.6745000000001</c:v>
                </c:pt>
                <c:pt idx="1">
                  <c:v>7393.5644999999995</c:v>
                </c:pt>
              </c:numCache>
            </c:numRef>
          </c:val>
          <c:extLst>
            <c:ext xmlns:c16="http://schemas.microsoft.com/office/drawing/2014/chart" uri="{C3380CC4-5D6E-409C-BE32-E72D297353CC}">
              <c16:uniqueId val="{00000005-54B0-402D-913D-0304413B844F}"/>
            </c:ext>
          </c:extLst>
        </c:ser>
        <c:ser>
          <c:idx val="2"/>
          <c:order val="2"/>
          <c:tx>
            <c:strRef>
              <c:f>'2. Oferta de generación'!$B$39:$C$39</c:f>
              <c:strCache>
                <c:ptCount val="2"/>
                <c:pt idx="0">
                  <c:v>EÓLICA</c:v>
                </c:pt>
              </c:strCache>
            </c:strRef>
          </c:tx>
          <c:spPr>
            <a:solidFill>
              <a:srgbClr val="6DA6D9"/>
            </a:solidFill>
          </c:spPr>
          <c:invertIfNegative val="0"/>
          <c:cat>
            <c:strRef>
              <c:f>'2. Oferta de generación'!$D$36:$E$36</c:f>
              <c:strCache>
                <c:ptCount val="2"/>
                <c:pt idx="0">
                  <c:v>SETIEMBRE 2019</c:v>
                </c:pt>
                <c:pt idx="1">
                  <c:v>SETIEMBRE 2018</c:v>
                </c:pt>
              </c:strCache>
            </c:strRef>
          </c:cat>
          <c:val>
            <c:numRef>
              <c:f>'2. Oferta de generación'!$D$39:$E$39</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generación'!$B$40:$C$40</c:f>
              <c:strCache>
                <c:ptCount val="2"/>
                <c:pt idx="0">
                  <c:v>SOLAR</c:v>
                </c:pt>
              </c:strCache>
            </c:strRef>
          </c:tx>
          <c:invertIfNegative val="0"/>
          <c:cat>
            <c:strRef>
              <c:f>'2. Oferta de generación'!$D$36:$E$36</c:f>
              <c:strCache>
                <c:ptCount val="2"/>
                <c:pt idx="0">
                  <c:v>SETIEMBRE 2019</c:v>
                </c:pt>
                <c:pt idx="1">
                  <c:v>SETIEMBRE 2018</c:v>
                </c:pt>
              </c:strCache>
            </c:strRef>
          </c:cat>
          <c:val>
            <c:numRef>
              <c:f>'2. Oferta de generación'!$D$40:$E$40</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74679285824352"/>
          <c:y val="0.20370370370370369"/>
          <c:w val="0.88274307198113822"/>
          <c:h val="0.5184767176360189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Eventos'!$B$7:$B$11</c:f>
              <c:numCache>
                <c:formatCode>General</c:formatCode>
                <c:ptCount val="5"/>
                <c:pt idx="0">
                  <c:v>4</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Eventos'!$C$7:$C$11</c:f>
              <c:numCache>
                <c:formatCode>General</c:formatCode>
                <c:ptCount val="5"/>
                <c:pt idx="0">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Eventos'!$D$7:$D$11</c:f>
              <c:numCache>
                <c:formatCode>General</c:formatCode>
                <c:ptCount val="5"/>
                <c:pt idx="3">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Eventos'!$E$7:$E$11</c:f>
              <c:numCache>
                <c:formatCode>General</c:formatCode>
                <c:ptCount val="5"/>
                <c:pt idx="0">
                  <c:v>1</c:v>
                </c:pt>
                <c:pt idx="3">
                  <c:v>1</c:v>
                </c:pt>
                <c:pt idx="4">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Eventos'!$F$7:$F$11</c:f>
              <c:numCache>
                <c:formatCode>General</c:formatCode>
                <c:ptCount val="5"/>
                <c:pt idx="0">
                  <c:v>18</c:v>
                </c:pt>
                <c:pt idx="2">
                  <c:v>4</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Eventos'!$G$7:$G$11</c:f>
              <c:numCache>
                <c:formatCode>General</c:formatCode>
                <c:ptCount val="5"/>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Eventos'!$H$7:$H$11</c:f>
              <c:numCache>
                <c:formatCode>General</c:formatCode>
                <c:ptCount val="5"/>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150"/>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generación'!$L$17:$L$21</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generación'!$L$17:$L$21</c:f>
              <c:strCache>
                <c:ptCount val="5"/>
                <c:pt idx="0">
                  <c:v>Central Solar</c:v>
                </c:pt>
                <c:pt idx="1">
                  <c:v>Central Hidroeléctrica</c:v>
                </c:pt>
                <c:pt idx="2">
                  <c:v>Turbina de Vapor</c:v>
                </c:pt>
                <c:pt idx="3">
                  <c:v>Central Eólica</c:v>
                </c:pt>
                <c:pt idx="4">
                  <c:v>Central a Biogás</c:v>
                </c:pt>
              </c:strCache>
            </c:strRef>
          </c:cat>
          <c:val>
            <c:numRef>
              <c:f>'2. Oferta de generación'!$M$17:$M$21</c:f>
              <c:numCache>
                <c:formatCode>#,##0.00</c:formatCode>
                <c:ptCount val="5"/>
                <c:pt idx="1">
                  <c:v>131.69999999999999</c:v>
                </c:pt>
                <c:pt idx="2">
                  <c:v>7.48</c:v>
                </c:pt>
                <c:pt idx="3" formatCode="General">
                  <c:v>0</c:v>
                </c:pt>
                <c:pt idx="4" formatCode="General">
                  <c:v>0</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20893.304815372703</c:v>
                </c:pt>
                <c:pt idx="1">
                  <c:v>14768.310769117192</c:v>
                </c:pt>
                <c:pt idx="2">
                  <c:v>765.53162926478979</c:v>
                </c:pt>
                <c:pt idx="3">
                  <c:v>160.64373730200052</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21956.429081425005</c:v>
                </c:pt>
                <c:pt idx="1">
                  <c:v>14148.390674712502</c:v>
                </c:pt>
                <c:pt idx="2">
                  <c:v>1064.91893714</c:v>
                </c:pt>
                <c:pt idx="3">
                  <c:v>516.96294117500008</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22376.531456530007</c:v>
                </c:pt>
                <c:pt idx="1">
                  <c:v>15284.4833201</c:v>
                </c:pt>
                <c:pt idx="2">
                  <c:v>1224.6081709649998</c:v>
                </c:pt>
                <c:pt idx="3">
                  <c:v>531.99980355999992</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22376.531456530007</c:v>
                </c:pt>
                <c:pt idx="1">
                  <c:v>14241.072474732033</c:v>
                </c:pt>
                <c:pt idx="2">
                  <c:v>440.25991847499995</c:v>
                </c:pt>
                <c:pt idx="3">
                  <c:v>257.29133480000002</c:v>
                </c:pt>
                <c:pt idx="4">
                  <c:v>0</c:v>
                </c:pt>
                <c:pt idx="5">
                  <c:v>27.548306129999997</c:v>
                </c:pt>
                <c:pt idx="6">
                  <c:v>42.214006862499993</c:v>
                </c:pt>
                <c:pt idx="7">
                  <c:v>0.226881735</c:v>
                </c:pt>
                <c:pt idx="8">
                  <c:v>100.31500909296878</c:v>
                </c:pt>
                <c:pt idx="9">
                  <c:v>126.3251826175</c:v>
                </c:pt>
                <c:pt idx="10">
                  <c:v>49.230205655000006</c:v>
                </c:pt>
                <c:pt idx="11">
                  <c:v>531.99980355999992</c:v>
                </c:pt>
                <c:pt idx="12">
                  <c:v>1224.6081709649998</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21956.429081425005</c:v>
                </c:pt>
                <c:pt idx="1">
                  <c:v>13134.590879654999</c:v>
                </c:pt>
                <c:pt idx="2">
                  <c:v>424.75720211999999</c:v>
                </c:pt>
                <c:pt idx="3">
                  <c:v>334.13843624499998</c:v>
                </c:pt>
                <c:pt idx="4">
                  <c:v>0</c:v>
                </c:pt>
                <c:pt idx="5">
                  <c:v>43.120710160000002</c:v>
                </c:pt>
                <c:pt idx="6">
                  <c:v>5.0606056925000003</c:v>
                </c:pt>
                <c:pt idx="7">
                  <c:v>2.4329590024999996</c:v>
                </c:pt>
                <c:pt idx="8">
                  <c:v>104.31544209499999</c:v>
                </c:pt>
                <c:pt idx="9">
                  <c:v>66.387170037499999</c:v>
                </c:pt>
                <c:pt idx="10">
                  <c:v>33.587269704999997</c:v>
                </c:pt>
                <c:pt idx="11">
                  <c:v>516.96294117500008</c:v>
                </c:pt>
                <c:pt idx="12">
                  <c:v>1064.91893714</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20893.304815372703</c:v>
                </c:pt>
                <c:pt idx="1">
                  <c:v>12711.04542937821</c:v>
                </c:pt>
                <c:pt idx="2">
                  <c:v>359.50202991758681</c:v>
                </c:pt>
                <c:pt idx="3">
                  <c:v>93.662222908517805</c:v>
                </c:pt>
                <c:pt idx="4">
                  <c:v>9.7034091828799998</c:v>
                </c:pt>
                <c:pt idx="5">
                  <c:v>650.66309742779697</c:v>
                </c:pt>
                <c:pt idx="6">
                  <c:v>119.67878300010726</c:v>
                </c:pt>
                <c:pt idx="7">
                  <c:v>1.5090185460960002</c:v>
                </c:pt>
                <c:pt idx="8">
                  <c:v>730.52436019047695</c:v>
                </c:pt>
                <c:pt idx="9">
                  <c:v>62.207928659824432</c:v>
                </c:pt>
                <c:pt idx="10">
                  <c:v>29.814489905696625</c:v>
                </c:pt>
                <c:pt idx="11">
                  <c:v>160.64373730200052</c:v>
                </c:pt>
                <c:pt idx="12">
                  <c:v>765.53162926478979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768.31012750653929</c:v>
                </c:pt>
                <c:pt idx="1">
                  <c:v>765.53162926478979</c:v>
                </c:pt>
                <c:pt idx="2">
                  <c:v>160.64373730200052</c:v>
                </c:pt>
                <c:pt idx="3">
                  <c:v>62.207928659824432</c:v>
                </c:pt>
                <c:pt idx="4">
                  <c:v>29.814489905696625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904.48681586000009</c:v>
                </c:pt>
                <c:pt idx="1">
                  <c:v>1064.91893714</c:v>
                </c:pt>
                <c:pt idx="2">
                  <c:v>516.96294117500008</c:v>
                </c:pt>
                <c:pt idx="3">
                  <c:v>66.387170037499999</c:v>
                </c:pt>
                <c:pt idx="4">
                  <c:v>33.587269704999997</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1288.4318964000001</c:v>
                </c:pt>
                <c:pt idx="1">
                  <c:v>1224.6081709649998</c:v>
                </c:pt>
                <c:pt idx="2">
                  <c:v>531.99980355999992</c:v>
                </c:pt>
                <c:pt idx="3">
                  <c:v>126.3251826175</c:v>
                </c:pt>
                <c:pt idx="4">
                  <c:v>49.230205655000006</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9874441997744324E-2"/>
                  <c:y val="5.956487389927371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7,950%</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3930.4605822325007</c:v>
                </c:pt>
                <c:pt idx="1">
                  <c:v>104.46456157750002</c:v>
                </c:pt>
                <c:pt idx="2">
                  <c:v>147.70153075500002</c:v>
                </c:pt>
                <c:pt idx="3">
                  <c:v>67.23456245749999</c:v>
                </c:pt>
                <c:pt idx="4">
                  <c:v>14.513486125</c:v>
                </c:pt>
                <c:pt idx="5">
                  <c:v>5.5660936825</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RER'!$L$6:$L$30</c:f>
              <c:strCache>
                <c:ptCount val="25"/>
                <c:pt idx="0">
                  <c:v>C.H. RENOVANDES H1</c:v>
                </c:pt>
                <c:pt idx="1">
                  <c:v>C.H. YARUCAYA</c:v>
                </c:pt>
                <c:pt idx="2">
                  <c:v>C.H. CARHUAC</c:v>
                </c:pt>
                <c:pt idx="3">
                  <c:v>C.H. LA JOYA</c:v>
                </c:pt>
                <c:pt idx="4">
                  <c:v>C.H. POECHOS II</c:v>
                </c:pt>
                <c:pt idx="5">
                  <c:v>C.H. ÁNGEL III</c:v>
                </c:pt>
                <c:pt idx="6">
                  <c:v>C.H. ÁNGEL II</c:v>
                </c:pt>
                <c:pt idx="7">
                  <c:v>C.H. CARHUAQUERO IV</c:v>
                </c:pt>
                <c:pt idx="8">
                  <c:v>C.H. CANCHAYLLO</c:v>
                </c:pt>
                <c:pt idx="9">
                  <c:v>C.H. RUNATULLO III</c:v>
                </c:pt>
                <c:pt idx="10">
                  <c:v>C.H. ZAÑA</c:v>
                </c:pt>
                <c:pt idx="11">
                  <c:v>C.H. ÁNGEL I</c:v>
                </c:pt>
                <c:pt idx="12">
                  <c:v>C.H. IMPERIAL</c:v>
                </c:pt>
                <c:pt idx="13">
                  <c:v>C.H. POTRERO</c:v>
                </c:pt>
                <c:pt idx="14">
                  <c:v>C.H. RUNATULLO II</c:v>
                </c:pt>
                <c:pt idx="15">
                  <c:v>C.H. HUASAHUASI II</c:v>
                </c:pt>
                <c:pt idx="16">
                  <c:v>C.H. HUASAHUASI I</c:v>
                </c:pt>
                <c:pt idx="17">
                  <c:v>C.H. YANAPAMPA</c:v>
                </c:pt>
                <c:pt idx="18">
                  <c:v>C.H. SANTA CRUZ II</c:v>
                </c:pt>
                <c:pt idx="19">
                  <c:v>C.H. SANTA CRUZ I</c:v>
                </c:pt>
                <c:pt idx="20">
                  <c:v>C.H. LAS PIZARRAS</c:v>
                </c:pt>
                <c:pt idx="21">
                  <c:v>C.H. RONCADOR</c:v>
                </c:pt>
                <c:pt idx="22">
                  <c:v>C.H. CAÑA BRAVA</c:v>
                </c:pt>
                <c:pt idx="23">
                  <c:v>C.H. HER 1</c:v>
                </c:pt>
                <c:pt idx="24">
                  <c:v>C.H. PURMACANA</c:v>
                </c:pt>
              </c:strCache>
            </c:strRef>
          </c:cat>
          <c:val>
            <c:numRef>
              <c:f>'6. FP RER'!$O$6:$O$30</c:f>
              <c:numCache>
                <c:formatCode>0.00</c:formatCode>
                <c:ptCount val="25"/>
                <c:pt idx="0">
                  <c:v>12.529277952500001</c:v>
                </c:pt>
                <c:pt idx="1">
                  <c:v>10.729280215000001</c:v>
                </c:pt>
                <c:pt idx="2">
                  <c:v>8.9863658925000003</c:v>
                </c:pt>
                <c:pt idx="3">
                  <c:v>4.9090553774999997</c:v>
                </c:pt>
                <c:pt idx="4">
                  <c:v>4.5629435200000001</c:v>
                </c:pt>
                <c:pt idx="5">
                  <c:v>3.7169529699999999</c:v>
                </c:pt>
                <c:pt idx="6">
                  <c:v>3.6790411575000004</c:v>
                </c:pt>
                <c:pt idx="7">
                  <c:v>3.5155450049999999</c:v>
                </c:pt>
                <c:pt idx="8">
                  <c:v>3.2224154575000004</c:v>
                </c:pt>
                <c:pt idx="9">
                  <c:v>3.141397075</c:v>
                </c:pt>
                <c:pt idx="10">
                  <c:v>2.99821523</c:v>
                </c:pt>
                <c:pt idx="11">
                  <c:v>2.7714883625000004</c:v>
                </c:pt>
                <c:pt idx="12">
                  <c:v>2.4851999999999999</c:v>
                </c:pt>
                <c:pt idx="13">
                  <c:v>2.2496731324999999</c:v>
                </c:pt>
                <c:pt idx="14">
                  <c:v>2.100285935</c:v>
                </c:pt>
                <c:pt idx="15">
                  <c:v>1.98651402</c:v>
                </c:pt>
                <c:pt idx="16">
                  <c:v>1.961871685</c:v>
                </c:pt>
                <c:pt idx="17">
                  <c:v>1.38822505</c:v>
                </c:pt>
                <c:pt idx="18">
                  <c:v>1.2623287749999998</c:v>
                </c:pt>
                <c:pt idx="19">
                  <c:v>1.0413036575000001</c:v>
                </c:pt>
                <c:pt idx="20">
                  <c:v>0.99366155749999996</c:v>
                </c:pt>
                <c:pt idx="21">
                  <c:v>0.6625598425</c:v>
                </c:pt>
                <c:pt idx="22">
                  <c:v>0.61886973999999995</c:v>
                </c:pt>
                <c:pt idx="23">
                  <c:v>0.41806065749999999</c:v>
                </c:pt>
                <c:pt idx="24">
                  <c:v>0.15982693750000002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RER'!$L$6:$L$30</c:f>
              <c:strCache>
                <c:ptCount val="25"/>
                <c:pt idx="0">
                  <c:v>C.H. RENOVANDES H1</c:v>
                </c:pt>
                <c:pt idx="1">
                  <c:v>C.H. YARUCAYA</c:v>
                </c:pt>
                <c:pt idx="2">
                  <c:v>C.H. CARHUAC</c:v>
                </c:pt>
                <c:pt idx="3">
                  <c:v>C.H. LA JOYA</c:v>
                </c:pt>
                <c:pt idx="4">
                  <c:v>C.H. POECHOS II</c:v>
                </c:pt>
                <c:pt idx="5">
                  <c:v>C.H. ÁNGEL III</c:v>
                </c:pt>
                <c:pt idx="6">
                  <c:v>C.H. ÁNGEL II</c:v>
                </c:pt>
                <c:pt idx="7">
                  <c:v>C.H. CARHUAQUERO IV</c:v>
                </c:pt>
                <c:pt idx="8">
                  <c:v>C.H. CANCHAYLLO</c:v>
                </c:pt>
                <c:pt idx="9">
                  <c:v>C.H. RUNATULLO III</c:v>
                </c:pt>
                <c:pt idx="10">
                  <c:v>C.H. ZAÑA</c:v>
                </c:pt>
                <c:pt idx="11">
                  <c:v>C.H. ÁNGEL I</c:v>
                </c:pt>
                <c:pt idx="12">
                  <c:v>C.H. IMPERIAL</c:v>
                </c:pt>
                <c:pt idx="13">
                  <c:v>C.H. POTRERO</c:v>
                </c:pt>
                <c:pt idx="14">
                  <c:v>C.H. RUNATULLO II</c:v>
                </c:pt>
                <c:pt idx="15">
                  <c:v>C.H. HUASAHUASI II</c:v>
                </c:pt>
                <c:pt idx="16">
                  <c:v>C.H. HUASAHUASI I</c:v>
                </c:pt>
                <c:pt idx="17">
                  <c:v>C.H. YANAPAMPA</c:v>
                </c:pt>
                <c:pt idx="18">
                  <c:v>C.H. SANTA CRUZ II</c:v>
                </c:pt>
                <c:pt idx="19">
                  <c:v>C.H. SANTA CRUZ I</c:v>
                </c:pt>
                <c:pt idx="20">
                  <c:v>C.H. LAS PIZARRAS</c:v>
                </c:pt>
                <c:pt idx="21">
                  <c:v>C.H. RONCADOR</c:v>
                </c:pt>
                <c:pt idx="22">
                  <c:v>C.H. CAÑA BRAVA</c:v>
                </c:pt>
                <c:pt idx="23">
                  <c:v>C.H. HER 1</c:v>
                </c:pt>
                <c:pt idx="24">
                  <c:v>C.H. PURMACANA</c:v>
                </c:pt>
              </c:strCache>
            </c:strRef>
          </c:cat>
          <c:val>
            <c:numRef>
              <c:f>'6. FP RER'!$P$6:$P$30</c:f>
              <c:numCache>
                <c:formatCode>0.00</c:formatCode>
                <c:ptCount val="25"/>
                <c:pt idx="0">
                  <c:v>0.8876192264232482</c:v>
                </c:pt>
                <c:pt idx="1">
                  <c:v>0.99345187175925931</c:v>
                </c:pt>
                <c:pt idx="2">
                  <c:v>0.62405318697916667</c:v>
                </c:pt>
                <c:pt idx="3">
                  <c:v>0.88032698111684959</c:v>
                </c:pt>
                <c:pt idx="4">
                  <c:v>0.66249441308337387</c:v>
                </c:pt>
                <c:pt idx="5">
                  <c:v>0.2560731488370811</c:v>
                </c:pt>
                <c:pt idx="6">
                  <c:v>0.25346127903852511</c:v>
                </c:pt>
                <c:pt idx="7">
                  <c:v>0.48910161232428462</c:v>
                </c:pt>
                <c:pt idx="8">
                  <c:v>0.83468945305619624</c:v>
                </c:pt>
                <c:pt idx="9">
                  <c:v>0.21852406556423695</c:v>
                </c:pt>
                <c:pt idx="10">
                  <c:v>0.31546877420033675</c:v>
                </c:pt>
                <c:pt idx="11">
                  <c:v>0.19093697382743607</c:v>
                </c:pt>
                <c:pt idx="12">
                  <c:v>0.87075344769592999</c:v>
                </c:pt>
                <c:pt idx="13">
                  <c:v>0.1570123626814629</c:v>
                </c:pt>
                <c:pt idx="14">
                  <c:v>0.14609424543552416</c:v>
                </c:pt>
                <c:pt idx="15">
                  <c:v>0.26991266386225793</c:v>
                </c:pt>
                <c:pt idx="16">
                  <c:v>0.27663165327129163</c:v>
                </c:pt>
                <c:pt idx="17">
                  <c:v>0.49233579078298206</c:v>
                </c:pt>
                <c:pt idx="18">
                  <c:v>0.23615765217163551</c:v>
                </c:pt>
                <c:pt idx="19">
                  <c:v>0.20785499854284437</c:v>
                </c:pt>
                <c:pt idx="20">
                  <c:v>7.1881324853656489E-2</c:v>
                </c:pt>
                <c:pt idx="21">
                  <c:v>0.2644316101931673</c:v>
                </c:pt>
                <c:pt idx="22">
                  <c:v>0.15159458651773466</c:v>
                </c:pt>
                <c:pt idx="23">
                  <c:v>0.82948543154761922</c:v>
                </c:pt>
                <c:pt idx="24">
                  <c:v>0.12951100212303904</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20"/>
        <c:minorUnit val="5"/>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11 de octubre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Setiembre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INFSGI-MES-09-2019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63</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0</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(10,56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(10,64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(10,34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(10,69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(10,58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(10,41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(10,78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(9,93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(10,62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(10,45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(9,94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(10,03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(9,85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(11,02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(9,84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(9,84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(9,93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(10,59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15</xdr:row>
      <xdr:rowOff>124238</xdr:rowOff>
    </xdr:from>
    <xdr:to>
      <xdr:col>7</xdr:col>
      <xdr:colOff>430696</xdr:colOff>
      <xdr:row>49</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77391</xdr:colOff>
      <xdr:row>14</xdr:row>
      <xdr:rowOff>91435</xdr:rowOff>
    </xdr:from>
    <xdr:to>
      <xdr:col>3</xdr:col>
      <xdr:colOff>303966</xdr:colOff>
      <xdr:row>30</xdr:row>
      <xdr:rowOff>6042</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37</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16</xdr:row>
      <xdr:rowOff>54428</xdr:rowOff>
    </xdr:from>
    <xdr:to>
      <xdr:col>9</xdr:col>
      <xdr:colOff>527957</xdr:colOff>
      <xdr:row>33</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Miguel Cabellos</a:t>
          </a:r>
          <a:r>
            <a:rPr lang="es-PE" sz="1200" baseline="0">
              <a:effectLst/>
              <a:latin typeface="Arial" panose="020B0604020202020204" pitchFamily="34" charset="0"/>
              <a:ea typeface="+mn-ea"/>
              <a:cs typeface="Arial" panose="020B0604020202020204" pitchFamily="34" charset="0"/>
            </a:rPr>
            <a:t> Moore</a:t>
          </a:r>
          <a:endParaRPr lang="es-PE" sz="120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27</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44</xdr:row>
      <xdr:rowOff>43543</xdr:rowOff>
    </xdr:from>
    <xdr:to>
      <xdr:col>9</xdr:col>
      <xdr:colOff>581525</xdr:colOff>
      <xdr:row>56</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19</xdr:row>
      <xdr:rowOff>70757</xdr:rowOff>
    </xdr:from>
    <xdr:to>
      <xdr:col>8</xdr:col>
      <xdr:colOff>429240</xdr:colOff>
      <xdr:row>29</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102578</xdr:colOff>
      <xdr:row>19</xdr:row>
      <xdr:rowOff>43962</xdr:rowOff>
    </xdr:from>
    <xdr:to>
      <xdr:col>1</xdr:col>
      <xdr:colOff>621076</xdr:colOff>
      <xdr:row>20</xdr:row>
      <xdr:rowOff>77635</xdr:rowOff>
    </xdr:to>
    <xdr:sp macro="" textlink="">
      <xdr:nvSpPr>
        <xdr:cNvPr id="8" name="Rectangle 7">
          <a:extLst>
            <a:ext uri="{FF2B5EF4-FFF2-40B4-BE49-F238E27FC236}">
              <a16:creationId xmlns:a16="http://schemas.microsoft.com/office/drawing/2014/main" id="{8CA9ED44-608B-4038-B248-4A8135E524E8}"/>
            </a:ext>
          </a:extLst>
        </xdr:cNvPr>
        <xdr:cNvSpPr/>
      </xdr:nvSpPr>
      <xdr:spPr>
        <a:xfrm>
          <a:off x="791309" y="2322635"/>
          <a:ext cx="518498" cy="2241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Normal="70" zoomScaleSheetLayoutView="100" zoomScalePageLayoutView="115" workbookViewId="0">
      <selection activeCell="N10" sqref="N10"/>
    </sheetView>
  </sheetViews>
  <sheetFormatPr defaultColWidth="9.33203125" defaultRowHeight="11.25"/>
  <cols>
    <col min="9" max="9" width="14.6640625" customWidth="1"/>
    <col min="11" max="11" width="13.83203125" customWidth="1"/>
    <col min="12" max="12" width="20.5" customWidth="1"/>
  </cols>
  <sheetData>
    <row r="11" spans="9:9" ht="15.75">
      <c r="I11" s="500"/>
    </row>
    <row r="12" spans="9:9" ht="15.75">
      <c r="I12" s="500"/>
    </row>
    <row r="13" spans="9:9" ht="15.75">
      <c r="I13" s="500"/>
    </row>
    <row r="14" spans="9:9" ht="15.75">
      <c r="I14" s="500"/>
    </row>
    <row r="15" spans="9:9" ht="15.75">
      <c r="I15" s="500"/>
    </row>
  </sheetData>
  <pageMargins left="0.59055118110236227" right="0.39370078740157483" top="1.0208333333333333" bottom="0.62992125984251968" header="0.31496062992125984" footer="0.31496062992125984"/>
  <pageSetup paperSize="9" scale="88" orientation="portrait" r:id="rId1"/>
  <headerFooter>
    <oddFooter>&amp;LCOES, 2019&amp;RDirección Ejecutiva
Sub Dirección de Gestión de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130" zoomScaleNormal="100" zoomScaleSheetLayoutView="130" workbookViewId="0">
      <selection activeCell="P22" sqref="P22"/>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26" t="s">
        <v>257</v>
      </c>
      <c r="B2" s="926"/>
      <c r="C2" s="926"/>
      <c r="D2" s="926"/>
      <c r="E2" s="926"/>
      <c r="F2" s="926"/>
      <c r="G2" s="926"/>
      <c r="H2" s="926"/>
      <c r="I2" s="926"/>
      <c r="J2" s="926"/>
      <c r="K2" s="926"/>
    </row>
    <row r="3" spans="1:12" ht="11.25" customHeight="1">
      <c r="A3" s="17"/>
      <c r="B3" s="17"/>
      <c r="C3" s="17"/>
      <c r="D3" s="17"/>
      <c r="E3" s="17"/>
      <c r="F3" s="17"/>
      <c r="G3" s="17"/>
      <c r="H3" s="17"/>
      <c r="I3" s="17"/>
      <c r="J3" s="17"/>
      <c r="K3" s="17"/>
      <c r="L3" s="36"/>
    </row>
    <row r="4" spans="1:12" ht="11.25" customHeight="1">
      <c r="A4" s="927" t="s">
        <v>442</v>
      </c>
      <c r="B4" s="927"/>
      <c r="C4" s="927"/>
      <c r="D4" s="927"/>
      <c r="E4" s="927"/>
      <c r="F4" s="927"/>
      <c r="G4" s="927"/>
      <c r="H4" s="927"/>
      <c r="I4" s="927"/>
      <c r="J4" s="927"/>
      <c r="K4" s="927"/>
      <c r="L4" s="36"/>
    </row>
    <row r="5" spans="1:12" ht="11.25" customHeight="1">
      <c r="A5" s="17"/>
      <c r="B5" s="67"/>
      <c r="C5" s="68"/>
      <c r="D5" s="69"/>
      <c r="E5" s="69"/>
      <c r="F5" s="69"/>
      <c r="G5" s="69"/>
      <c r="H5" s="70"/>
      <c r="I5" s="66"/>
      <c r="J5" s="66"/>
      <c r="K5" s="71"/>
      <c r="L5" s="8"/>
    </row>
    <row r="6" spans="1:12" ht="12.75" customHeight="1">
      <c r="A6" s="933" t="s">
        <v>217</v>
      </c>
      <c r="B6" s="928" t="s">
        <v>260</v>
      </c>
      <c r="C6" s="929"/>
      <c r="D6" s="929"/>
      <c r="E6" s="929" t="s">
        <v>34</v>
      </c>
      <c r="F6" s="929"/>
      <c r="G6" s="930" t="s">
        <v>259</v>
      </c>
      <c r="H6" s="930"/>
      <c r="I6" s="930"/>
      <c r="J6" s="930"/>
      <c r="K6" s="930"/>
      <c r="L6" s="15"/>
    </row>
    <row r="7" spans="1:12" ht="12.75" customHeight="1">
      <c r="A7" s="933"/>
      <c r="B7" s="628">
        <v>43668.854166666664</v>
      </c>
      <c r="C7" s="628">
        <v>43703.8125</v>
      </c>
      <c r="D7" s="628">
        <v>43718.78125</v>
      </c>
      <c r="E7" s="628">
        <v>43369.875</v>
      </c>
      <c r="F7" s="931" t="s">
        <v>123</v>
      </c>
      <c r="G7" s="629">
        <v>2019</v>
      </c>
      <c r="H7" s="629">
        <v>2018</v>
      </c>
      <c r="I7" s="931" t="s">
        <v>500</v>
      </c>
      <c r="J7" s="629">
        <v>2017</v>
      </c>
      <c r="K7" s="931" t="s">
        <v>42</v>
      </c>
      <c r="L7" s="13"/>
    </row>
    <row r="8" spans="1:12" ht="12.75" customHeight="1">
      <c r="A8" s="933"/>
      <c r="B8" s="630">
        <v>43668.854166666664</v>
      </c>
      <c r="C8" s="630">
        <v>43703.8125</v>
      </c>
      <c r="D8" s="630">
        <v>43718.78125</v>
      </c>
      <c r="E8" s="630">
        <v>43369.875</v>
      </c>
      <c r="F8" s="932"/>
      <c r="G8" s="631">
        <v>43549.791666666664</v>
      </c>
      <c r="H8" s="631">
        <v>43214.78125</v>
      </c>
      <c r="I8" s="932"/>
      <c r="J8" s="631">
        <v>42801.8125</v>
      </c>
      <c r="K8" s="932"/>
      <c r="L8" s="14"/>
    </row>
    <row r="9" spans="1:12" ht="12.75" customHeight="1">
      <c r="A9" s="933"/>
      <c r="B9" s="632">
        <v>43668.854166666664</v>
      </c>
      <c r="C9" s="632">
        <v>43703.8125</v>
      </c>
      <c r="D9" s="632">
        <v>43718.78125</v>
      </c>
      <c r="E9" s="632">
        <v>43369.875</v>
      </c>
      <c r="F9" s="932"/>
      <c r="G9" s="633">
        <v>43549.791666666664</v>
      </c>
      <c r="H9" s="633">
        <v>43214.78125</v>
      </c>
      <c r="I9" s="932"/>
      <c r="J9" s="633">
        <v>42801.8125</v>
      </c>
      <c r="K9" s="932"/>
      <c r="L9" s="14"/>
    </row>
    <row r="10" spans="1:12" ht="12.75" customHeight="1">
      <c r="A10" s="634" t="s">
        <v>36</v>
      </c>
      <c r="B10" s="635">
        <v>2904.1955399999997</v>
      </c>
      <c r="C10" s="636">
        <v>3120.0297399999981</v>
      </c>
      <c r="D10" s="637">
        <v>3052.249209999999</v>
      </c>
      <c r="E10" s="635">
        <v>3169.9376999999999</v>
      </c>
      <c r="F10" s="638">
        <f>+IF(E10=0,"",D10/E10-1)</f>
        <v>-3.7126436270340846E-2</v>
      </c>
      <c r="G10" s="635">
        <v>4580.6239199999991</v>
      </c>
      <c r="H10" s="636">
        <v>4457.8647499999988</v>
      </c>
      <c r="I10" s="638">
        <f>+IF(H10=0,"",G10/H10-1)</f>
        <v>2.7537661388224111E-2</v>
      </c>
      <c r="J10" s="635">
        <v>4181.7234999999982</v>
      </c>
      <c r="K10" s="638">
        <f t="shared" ref="K10:K18" si="0">+IF(J10=0,"",H10/J10-1)</f>
        <v>6.6035272298611059E-2</v>
      </c>
      <c r="L10" s="14"/>
    </row>
    <row r="11" spans="1:12" ht="12.75" customHeight="1">
      <c r="A11" s="639" t="s">
        <v>37</v>
      </c>
      <c r="B11" s="640">
        <v>3479.0036200000004</v>
      </c>
      <c r="C11" s="641">
        <v>3300.2828599999998</v>
      </c>
      <c r="D11" s="642">
        <v>3270.9491799999996</v>
      </c>
      <c r="E11" s="640">
        <v>3252.8665200000005</v>
      </c>
      <c r="F11" s="643">
        <f>+IF(E11=0,"",D11/E11-1)</f>
        <v>5.5589923191803337E-3</v>
      </c>
      <c r="G11" s="640">
        <v>2106.5043700000006</v>
      </c>
      <c r="H11" s="641">
        <v>1943.7948299999998</v>
      </c>
      <c r="I11" s="643">
        <f>+IF(H11=0,"",G11/H11-1)</f>
        <v>8.3707157509005592E-2</v>
      </c>
      <c r="J11" s="640">
        <v>2286.1302900000001</v>
      </c>
      <c r="K11" s="643">
        <f>+IF(J11=0,"",H11/J11-1)</f>
        <v>-0.14974450996841493</v>
      </c>
      <c r="L11" s="14"/>
    </row>
    <row r="12" spans="1:12" ht="12.75" customHeight="1">
      <c r="A12" s="644" t="s">
        <v>38</v>
      </c>
      <c r="B12" s="645">
        <v>308.93804999999998</v>
      </c>
      <c r="C12" s="646">
        <v>270.27609999999999</v>
      </c>
      <c r="D12" s="647">
        <v>349.07803000000001</v>
      </c>
      <c r="E12" s="645">
        <v>131.39075</v>
      </c>
      <c r="F12" s="648">
        <f>+IF(E12=0,"",D12/E12-1)</f>
        <v>1.6567930390838019</v>
      </c>
      <c r="G12" s="645">
        <v>303.54068999999998</v>
      </c>
      <c r="H12" s="646">
        <v>309.01528000000002</v>
      </c>
      <c r="I12" s="648">
        <f>+IF(H12=0,"",G12/H12-1)</f>
        <v>-1.7716243675717336E-2</v>
      </c>
      <c r="J12" s="645">
        <v>91.209550000000007</v>
      </c>
      <c r="K12" s="648">
        <f>+IF(J12=0,"",H12/J12-1)</f>
        <v>2.3879706675452295</v>
      </c>
      <c r="L12" s="13"/>
    </row>
    <row r="13" spans="1:12" ht="12.75" customHeight="1">
      <c r="A13" s="649" t="s">
        <v>30</v>
      </c>
      <c r="B13" s="650">
        <v>0</v>
      </c>
      <c r="C13" s="651">
        <v>0</v>
      </c>
      <c r="D13" s="652">
        <v>0</v>
      </c>
      <c r="E13" s="650">
        <v>0</v>
      </c>
      <c r="F13" s="653" t="str">
        <f>+IF(E13=0,"",D13/E13-1)</f>
        <v/>
      </c>
      <c r="G13" s="650">
        <v>0</v>
      </c>
      <c r="H13" s="651">
        <v>0</v>
      </c>
      <c r="I13" s="653" t="str">
        <f>+IF(H13=0,"",G13/H13-1)</f>
        <v/>
      </c>
      <c r="J13" s="650">
        <v>0</v>
      </c>
      <c r="K13" s="653" t="str">
        <f t="shared" si="0"/>
        <v/>
      </c>
      <c r="L13" s="14"/>
    </row>
    <row r="14" spans="1:12" ht="12.75" customHeight="1">
      <c r="A14" s="654" t="s">
        <v>43</v>
      </c>
      <c r="B14" s="624">
        <f>+SUM(B10:B13)</f>
        <v>6692.1372099999999</v>
      </c>
      <c r="C14" s="625">
        <f t="shared" ref="C14:J14" si="1">+SUM(C10:C13)</f>
        <v>6690.5886999999975</v>
      </c>
      <c r="D14" s="626">
        <f t="shared" si="1"/>
        <v>6672.2764199999983</v>
      </c>
      <c r="E14" s="624">
        <f t="shared" si="1"/>
        <v>6554.1949699999996</v>
      </c>
      <c r="F14" s="685">
        <f>+IF(E14=0,"",D14/E14-1)</f>
        <v>1.8016163776098271E-2</v>
      </c>
      <c r="G14" s="682">
        <f t="shared" si="1"/>
        <v>6990.6689799999995</v>
      </c>
      <c r="H14" s="625">
        <f t="shared" si="1"/>
        <v>6710.6748599999983</v>
      </c>
      <c r="I14" s="685">
        <f>+IF(H14=0,"",G14/H14-1)</f>
        <v>4.1723690365174537E-2</v>
      </c>
      <c r="J14" s="624">
        <f t="shared" si="1"/>
        <v>6559.0633399999979</v>
      </c>
      <c r="K14" s="685">
        <f>+IF(J14=0,"",H14/J14-1)</f>
        <v>2.3114812609813962E-2</v>
      </c>
      <c r="L14" s="14"/>
    </row>
    <row r="15" spans="1:12" ht="6.75" customHeight="1">
      <c r="A15" s="655"/>
      <c r="B15" s="655"/>
      <c r="C15" s="655"/>
      <c r="D15" s="655"/>
      <c r="E15" s="655"/>
      <c r="F15" s="656"/>
      <c r="G15" s="655"/>
      <c r="H15" s="655"/>
      <c r="I15" s="656"/>
      <c r="J15" s="655"/>
      <c r="K15" s="656"/>
      <c r="L15" s="14"/>
    </row>
    <row r="16" spans="1:12" ht="12.75" customHeight="1">
      <c r="A16" s="657" t="s">
        <v>39</v>
      </c>
      <c r="B16" s="658">
        <v>47.143999999999998</v>
      </c>
      <c r="C16" s="659">
        <v>37.891759999999998</v>
      </c>
      <c r="D16" s="660">
        <v>0</v>
      </c>
      <c r="E16" s="658">
        <v>0</v>
      </c>
      <c r="F16" s="660">
        <v>0</v>
      </c>
      <c r="G16" s="658">
        <v>0</v>
      </c>
      <c r="H16" s="659">
        <v>0</v>
      </c>
      <c r="I16" s="660">
        <v>0</v>
      </c>
      <c r="J16" s="658">
        <v>36.515999999999998</v>
      </c>
      <c r="K16" s="661">
        <f t="shared" si="0"/>
        <v>-1</v>
      </c>
      <c r="L16" s="15"/>
    </row>
    <row r="17" spans="1:12" ht="12.75" customHeight="1">
      <c r="A17" s="662" t="s">
        <v>40</v>
      </c>
      <c r="B17" s="663">
        <v>0</v>
      </c>
      <c r="C17" s="664">
        <v>0</v>
      </c>
      <c r="D17" s="665">
        <v>0</v>
      </c>
      <c r="E17" s="663">
        <v>0</v>
      </c>
      <c r="F17" s="665">
        <v>0</v>
      </c>
      <c r="G17" s="663">
        <v>0</v>
      </c>
      <c r="H17" s="664">
        <v>0</v>
      </c>
      <c r="I17" s="665">
        <v>0</v>
      </c>
      <c r="J17" s="663">
        <v>0</v>
      </c>
      <c r="K17" s="666" t="str">
        <f t="shared" si="0"/>
        <v/>
      </c>
      <c r="L17" s="15"/>
    </row>
    <row r="18" spans="1:12" ht="24" customHeight="1">
      <c r="A18" s="667" t="s">
        <v>41</v>
      </c>
      <c r="B18" s="668">
        <f t="shared" ref="B18:J18" si="2">+B17-B16</f>
        <v>-47.143999999999998</v>
      </c>
      <c r="C18" s="669">
        <f t="shared" si="2"/>
        <v>-37.891759999999998</v>
      </c>
      <c r="D18" s="670">
        <f t="shared" si="2"/>
        <v>0</v>
      </c>
      <c r="E18" s="668">
        <f t="shared" si="2"/>
        <v>0</v>
      </c>
      <c r="F18" s="670">
        <f t="shared" si="2"/>
        <v>0</v>
      </c>
      <c r="G18" s="668">
        <f t="shared" si="2"/>
        <v>0</v>
      </c>
      <c r="H18" s="669">
        <f t="shared" si="2"/>
        <v>0</v>
      </c>
      <c r="I18" s="670">
        <f t="shared" si="2"/>
        <v>0</v>
      </c>
      <c r="J18" s="668">
        <f t="shared" si="2"/>
        <v>-36.515999999999998</v>
      </c>
      <c r="K18" s="671">
        <f t="shared" si="0"/>
        <v>-1</v>
      </c>
      <c r="L18" s="15"/>
    </row>
    <row r="19" spans="1:12" ht="6" customHeight="1">
      <c r="A19" s="672"/>
      <c r="B19" s="672"/>
      <c r="C19" s="672"/>
      <c r="D19" s="672"/>
      <c r="E19" s="672"/>
      <c r="F19" s="673"/>
      <c r="G19" s="672"/>
      <c r="H19" s="672"/>
      <c r="I19" s="673"/>
      <c r="J19" s="672"/>
      <c r="K19" s="673"/>
      <c r="L19" s="15"/>
    </row>
    <row r="20" spans="1:12" ht="24" customHeight="1">
      <c r="A20" s="674" t="s">
        <v>258</v>
      </c>
      <c r="B20" s="675">
        <f>+B14-B18</f>
        <v>6739.2812100000001</v>
      </c>
      <c r="C20" s="676">
        <f t="shared" ref="C20:D20" si="3">+C14-C18</f>
        <v>6728.4804599999979</v>
      </c>
      <c r="D20" s="680">
        <f t="shared" si="3"/>
        <v>6672.2764199999983</v>
      </c>
      <c r="E20" s="675">
        <f>+E14-E18</f>
        <v>6554.1949699999996</v>
      </c>
      <c r="F20" s="627">
        <f>+IF(E20=0,"",D20/E20-1)</f>
        <v>1.8016163776098271E-2</v>
      </c>
      <c r="G20" s="681">
        <f>+G14-G18</f>
        <v>6990.6689799999995</v>
      </c>
      <c r="H20" s="675">
        <f>+H14-H18</f>
        <v>6710.6748599999983</v>
      </c>
      <c r="I20" s="627">
        <f>+IF(H20=0,"",G20/H20-1)</f>
        <v>4.1723690365174537E-2</v>
      </c>
      <c r="J20" s="675">
        <f>+J14-J18</f>
        <v>6595.5793399999975</v>
      </c>
      <c r="K20" s="627">
        <f>+IF(J20=0,"",H20/J20-1)</f>
        <v>1.7450403378818313E-2</v>
      </c>
      <c r="L20" s="15"/>
    </row>
    <row r="21" spans="1:12" ht="11.25" customHeight="1">
      <c r="A21" s="270" t="s">
        <v>467</v>
      </c>
      <c r="B21" s="138"/>
      <c r="C21" s="138"/>
      <c r="D21" s="138"/>
      <c r="E21" s="138"/>
      <c r="F21" s="138"/>
      <c r="G21" s="138"/>
      <c r="H21" s="138"/>
      <c r="I21" s="138"/>
      <c r="J21" s="138"/>
      <c r="K21" s="138"/>
      <c r="L21" s="16"/>
    </row>
    <row r="22" spans="1:12" ht="17.25" customHeight="1">
      <c r="A22" s="924"/>
      <c r="B22" s="924"/>
      <c r="C22" s="924"/>
      <c r="D22" s="924"/>
      <c r="E22" s="924"/>
      <c r="F22" s="924"/>
      <c r="G22" s="924"/>
      <c r="H22" s="924"/>
      <c r="I22" s="924"/>
      <c r="J22" s="924"/>
      <c r="K22" s="924"/>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25" t="str">
        <f>"Gráfico N° 11: Comparación de la máxima potencia coincidente de potencia (MW) por tipo de generación en el SEIN en "&amp;'1. Resumen'!Q4</f>
        <v>Gráfico N° 11: Comparación de la máxima potencia coincidente de potencia (MW) por tipo de generación en el SEIN en setiembre</v>
      </c>
      <c r="B58" s="925"/>
      <c r="C58" s="925"/>
      <c r="D58" s="925"/>
      <c r="E58" s="925"/>
      <c r="F58" s="925"/>
      <c r="G58" s="925"/>
      <c r="H58" s="925"/>
      <c r="I58" s="925"/>
      <c r="J58" s="925"/>
      <c r="K58" s="925"/>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2"/>
  <sheetViews>
    <sheetView showGridLines="0" view="pageBreakPreview" zoomScale="130" zoomScaleNormal="100" zoomScaleSheetLayoutView="130" zoomScalePageLayoutView="115" workbookViewId="0">
      <selection activeCell="C6" sqref="C6"/>
    </sheetView>
  </sheetViews>
  <sheetFormatPr defaultColWidth="9.33203125" defaultRowHeight="11.25"/>
  <cols>
    <col min="1" max="1" width="26.6640625" customWidth="1"/>
    <col min="2" max="2" width="11.33203125" customWidth="1"/>
    <col min="3" max="3" width="10.83203125" customWidth="1"/>
    <col min="4" max="4" width="8.6640625" customWidth="1"/>
    <col min="10" max="10" width="11.83203125" customWidth="1"/>
    <col min="11" max="11" width="9.33203125" customWidth="1"/>
    <col min="12" max="12" width="27.83203125" style="447" customWidth="1"/>
    <col min="13" max="14" width="9.33203125" style="692"/>
    <col min="15" max="15" width="9.33203125" style="791"/>
  </cols>
  <sheetData>
    <row r="1" spans="1:15" ht="25.5" customHeight="1">
      <c r="A1" s="934" t="s">
        <v>262</v>
      </c>
      <c r="B1" s="934"/>
      <c r="C1" s="934"/>
      <c r="D1" s="934"/>
      <c r="E1" s="934"/>
      <c r="F1" s="934"/>
      <c r="G1" s="934"/>
      <c r="H1" s="934"/>
      <c r="I1" s="934"/>
      <c r="J1" s="934"/>
    </row>
    <row r="2" spans="1:15" ht="7.5" customHeight="1">
      <c r="A2" s="74"/>
      <c r="B2" s="73"/>
      <c r="C2" s="73"/>
      <c r="D2" s="73"/>
      <c r="E2" s="73"/>
      <c r="F2" s="73"/>
      <c r="G2" s="73"/>
      <c r="H2" s="73"/>
      <c r="I2" s="73"/>
      <c r="J2" s="73"/>
      <c r="K2" s="36"/>
      <c r="L2" s="856"/>
    </row>
    <row r="3" spans="1:15" ht="11.25" customHeight="1">
      <c r="A3" s="935" t="s">
        <v>124</v>
      </c>
      <c r="B3" s="937" t="str">
        <f>+'1. Resumen'!Q4</f>
        <v>setiembre</v>
      </c>
      <c r="C3" s="938"/>
      <c r="D3" s="939"/>
      <c r="E3" s="138"/>
      <c r="F3" s="138"/>
      <c r="G3" s="940" t="s">
        <v>504</v>
      </c>
      <c r="H3" s="940"/>
      <c r="I3" s="940"/>
      <c r="J3" s="138"/>
      <c r="K3" s="148"/>
      <c r="L3" s="856"/>
    </row>
    <row r="4" spans="1:15" ht="11.25" customHeight="1">
      <c r="A4" s="935"/>
      <c r="B4" s="524">
        <v>2019</v>
      </c>
      <c r="C4" s="525">
        <v>2018</v>
      </c>
      <c r="D4" s="939" t="s">
        <v>35</v>
      </c>
      <c r="E4" s="138"/>
      <c r="F4" s="138"/>
      <c r="G4" s="138"/>
      <c r="H4" s="138"/>
      <c r="I4" s="138"/>
      <c r="J4" s="138"/>
      <c r="K4" s="24"/>
      <c r="L4" s="857"/>
    </row>
    <row r="5" spans="1:15" ht="11.25" customHeight="1">
      <c r="A5" s="935"/>
      <c r="B5" s="526">
        <f>+'8. Max Potencia'!D8</f>
        <v>43718.78125</v>
      </c>
      <c r="C5" s="526">
        <f>+'8. Max Potencia'!E8</f>
        <v>43369.875</v>
      </c>
      <c r="D5" s="939"/>
      <c r="E5" s="138"/>
      <c r="F5" s="138"/>
      <c r="G5" s="138"/>
      <c r="H5" s="138"/>
      <c r="I5" s="138"/>
      <c r="J5" s="138"/>
      <c r="K5" s="24"/>
      <c r="L5" s="858"/>
    </row>
    <row r="6" spans="1:15" ht="11.25" customHeight="1" thickBot="1">
      <c r="A6" s="936"/>
      <c r="B6" s="527">
        <f>+'8. Max Potencia'!D9</f>
        <v>43718.78125</v>
      </c>
      <c r="C6" s="527">
        <f>+'8. Max Potencia'!E9</f>
        <v>43369.875</v>
      </c>
      <c r="D6" s="941"/>
      <c r="E6" s="138"/>
      <c r="F6" s="138"/>
      <c r="G6" s="138"/>
      <c r="H6" s="138"/>
      <c r="I6" s="138"/>
      <c r="J6" s="138"/>
      <c r="K6" s="25"/>
      <c r="L6" s="857" t="s">
        <v>261</v>
      </c>
      <c r="M6" s="692">
        <v>2019</v>
      </c>
      <c r="N6" s="692">
        <v>2018</v>
      </c>
    </row>
    <row r="7" spans="1:15" ht="9.75" customHeight="1">
      <c r="A7" s="394" t="s">
        <v>479</v>
      </c>
      <c r="B7" s="395">
        <v>1362.5624000000003</v>
      </c>
      <c r="C7" s="395">
        <v>1146.93066</v>
      </c>
      <c r="D7" s="396">
        <f>IF(C7=0,"",B7/C7-1)</f>
        <v>0.18800765165698885</v>
      </c>
      <c r="E7" s="138"/>
      <c r="F7" s="138"/>
      <c r="G7" s="138"/>
      <c r="H7" s="138"/>
      <c r="I7" s="138"/>
      <c r="J7" s="138"/>
      <c r="K7" s="23"/>
      <c r="L7" s="859" t="s">
        <v>122</v>
      </c>
      <c r="M7" s="860">
        <v>0</v>
      </c>
      <c r="N7" s="860">
        <v>0</v>
      </c>
      <c r="O7" s="792"/>
    </row>
    <row r="8" spans="1:15" ht="9.75" customHeight="1">
      <c r="A8" s="397" t="s">
        <v>89</v>
      </c>
      <c r="B8" s="398">
        <v>1048.7188299999998</v>
      </c>
      <c r="C8" s="398">
        <v>800.90036000000009</v>
      </c>
      <c r="D8" s="399">
        <f t="shared" ref="D8:D38" si="0">IF(C8=0,"",B8/C8-1)</f>
        <v>0.30942484530784786</v>
      </c>
      <c r="E8" s="138"/>
      <c r="F8" s="138"/>
      <c r="G8" s="138"/>
      <c r="H8" s="138"/>
      <c r="I8" s="138"/>
      <c r="J8" s="138"/>
      <c r="K8" s="26"/>
      <c r="L8" s="859" t="s">
        <v>247</v>
      </c>
      <c r="M8" s="860">
        <v>0</v>
      </c>
      <c r="N8" s="860">
        <v>0</v>
      </c>
      <c r="O8" s="792"/>
    </row>
    <row r="9" spans="1:15" ht="9.75" customHeight="1">
      <c r="A9" s="400" t="s">
        <v>88</v>
      </c>
      <c r="B9" s="401">
        <v>965.11921999999993</v>
      </c>
      <c r="C9" s="401">
        <v>986.46439999999996</v>
      </c>
      <c r="D9" s="402">
        <f t="shared" si="0"/>
        <v>-2.1638064181535577E-2</v>
      </c>
      <c r="E9" s="428"/>
      <c r="F9" s="138"/>
      <c r="G9" s="138"/>
      <c r="H9" s="138"/>
      <c r="I9" s="138"/>
      <c r="J9" s="138"/>
      <c r="K9" s="25"/>
      <c r="L9" s="859" t="s">
        <v>112</v>
      </c>
      <c r="M9" s="860">
        <v>0</v>
      </c>
      <c r="N9" s="860">
        <v>0</v>
      </c>
      <c r="O9" s="792"/>
    </row>
    <row r="10" spans="1:15" ht="9.75" customHeight="1">
      <c r="A10" s="397" t="s">
        <v>90</v>
      </c>
      <c r="B10" s="398">
        <v>857.92943999999989</v>
      </c>
      <c r="C10" s="398">
        <v>792.13103999999987</v>
      </c>
      <c r="D10" s="399">
        <f t="shared" si="0"/>
        <v>8.3065044389625253E-2</v>
      </c>
      <c r="E10" s="138"/>
      <c r="F10" s="138"/>
      <c r="G10" s="138"/>
      <c r="H10" s="138"/>
      <c r="I10" s="138"/>
      <c r="J10" s="138"/>
      <c r="K10" s="25"/>
      <c r="L10" s="859" t="s">
        <v>113</v>
      </c>
      <c r="M10" s="861">
        <v>0</v>
      </c>
      <c r="N10" s="861">
        <v>0</v>
      </c>
      <c r="O10" s="792"/>
    </row>
    <row r="11" spans="1:15" ht="9.75" customHeight="1">
      <c r="A11" s="400" t="s">
        <v>250</v>
      </c>
      <c r="B11" s="401">
        <v>540.20402000000001</v>
      </c>
      <c r="C11" s="401">
        <v>548.98491999999999</v>
      </c>
      <c r="D11" s="402">
        <f t="shared" si="0"/>
        <v>-1.5994792716710671E-2</v>
      </c>
      <c r="E11" s="138"/>
      <c r="F11" s="138"/>
      <c r="G11" s="138"/>
      <c r="H11" s="138"/>
      <c r="I11" s="138"/>
      <c r="J11" s="138"/>
      <c r="K11" s="25"/>
      <c r="L11" s="859" t="s">
        <v>482</v>
      </c>
      <c r="M11" s="861">
        <v>0</v>
      </c>
      <c r="N11" s="861">
        <v>0</v>
      </c>
      <c r="O11" s="792"/>
    </row>
    <row r="12" spans="1:15" ht="9.75" customHeight="1">
      <c r="A12" s="397" t="s">
        <v>91</v>
      </c>
      <c r="B12" s="398">
        <v>200.05469000000002</v>
      </c>
      <c r="C12" s="398">
        <v>231.81532000000004</v>
      </c>
      <c r="D12" s="399">
        <f t="shared" si="0"/>
        <v>-0.13700833059695972</v>
      </c>
      <c r="E12" s="138"/>
      <c r="F12" s="138"/>
      <c r="G12" s="138"/>
      <c r="H12" s="138"/>
      <c r="I12" s="138"/>
      <c r="J12" s="138"/>
      <c r="K12" s="23"/>
      <c r="L12" s="859" t="s">
        <v>119</v>
      </c>
      <c r="M12" s="860">
        <v>0</v>
      </c>
      <c r="N12" s="860">
        <v>0</v>
      </c>
      <c r="O12" s="792"/>
    </row>
    <row r="13" spans="1:15" ht="9.75" customHeight="1">
      <c r="A13" s="400" t="s">
        <v>92</v>
      </c>
      <c r="B13" s="401">
        <v>166.40378000000001</v>
      </c>
      <c r="C13" s="401">
        <v>150.21046000000001</v>
      </c>
      <c r="D13" s="402">
        <f t="shared" si="0"/>
        <v>0.10780421017284691</v>
      </c>
      <c r="E13" s="138"/>
      <c r="F13" s="138"/>
      <c r="G13" s="138"/>
      <c r="H13" s="138"/>
      <c r="I13" s="138"/>
      <c r="J13" s="138"/>
      <c r="K13" s="26"/>
      <c r="L13" s="859" t="s">
        <v>111</v>
      </c>
      <c r="M13" s="861">
        <v>0</v>
      </c>
      <c r="N13" s="861">
        <v>0</v>
      </c>
      <c r="O13" s="792"/>
    </row>
    <row r="14" spans="1:15" ht="9.75" customHeight="1">
      <c r="A14" s="397" t="s">
        <v>248</v>
      </c>
      <c r="B14" s="398">
        <v>156.12141</v>
      </c>
      <c r="C14" s="398">
        <v>161.04167000000001</v>
      </c>
      <c r="D14" s="399">
        <f t="shared" si="0"/>
        <v>-3.0552713468507964E-2</v>
      </c>
      <c r="E14" s="138"/>
      <c r="F14" s="138"/>
      <c r="G14" s="138"/>
      <c r="H14" s="138"/>
      <c r="I14" s="138"/>
      <c r="J14" s="138"/>
      <c r="K14" s="26"/>
      <c r="L14" s="859" t="s">
        <v>108</v>
      </c>
      <c r="M14" s="861">
        <v>0</v>
      </c>
      <c r="N14" s="861">
        <v>0</v>
      </c>
      <c r="O14" s="792"/>
    </row>
    <row r="15" spans="1:15" ht="9.75" customHeight="1">
      <c r="A15" s="400" t="s">
        <v>99</v>
      </c>
      <c r="B15" s="401">
        <v>126.6623</v>
      </c>
      <c r="C15" s="401">
        <v>36.500799999999998</v>
      </c>
      <c r="D15" s="402">
        <f t="shared" si="0"/>
        <v>2.4701239424889319</v>
      </c>
      <c r="E15" s="138"/>
      <c r="F15" s="138"/>
      <c r="G15" s="138"/>
      <c r="H15" s="138"/>
      <c r="I15" s="138"/>
      <c r="J15" s="138"/>
      <c r="K15" s="26"/>
      <c r="L15" s="859" t="s">
        <v>254</v>
      </c>
      <c r="M15" s="861">
        <v>0</v>
      </c>
      <c r="N15" s="861">
        <v>0</v>
      </c>
      <c r="O15" s="792"/>
    </row>
    <row r="16" spans="1:15" ht="9.75" customHeight="1">
      <c r="A16" s="397" t="s">
        <v>106</v>
      </c>
      <c r="B16" s="398">
        <v>121.80193</v>
      </c>
      <c r="C16" s="398">
        <v>164.32933</v>
      </c>
      <c r="D16" s="399">
        <f t="shared" si="0"/>
        <v>-0.25879372842328263</v>
      </c>
      <c r="E16" s="138"/>
      <c r="F16" s="138"/>
      <c r="G16" s="138"/>
      <c r="H16" s="138"/>
      <c r="I16" s="138"/>
      <c r="J16" s="138"/>
      <c r="K16" s="26"/>
      <c r="L16" s="859" t="s">
        <v>105</v>
      </c>
      <c r="M16" s="861">
        <v>0</v>
      </c>
      <c r="N16" s="861">
        <v>0</v>
      </c>
      <c r="O16" s="792"/>
    </row>
    <row r="17" spans="1:15" ht="9.75" customHeight="1">
      <c r="A17" s="400" t="s">
        <v>252</v>
      </c>
      <c r="B17" s="401">
        <v>108.10722999999999</v>
      </c>
      <c r="C17" s="401">
        <v>106.45755</v>
      </c>
      <c r="D17" s="402">
        <f t="shared" si="0"/>
        <v>1.549612967797942E-2</v>
      </c>
      <c r="E17" s="138"/>
      <c r="F17" s="138"/>
      <c r="G17" s="138"/>
      <c r="H17" s="138"/>
      <c r="I17" s="138"/>
      <c r="J17" s="138"/>
      <c r="K17" s="26"/>
      <c r="L17" s="859" t="s">
        <v>255</v>
      </c>
      <c r="M17" s="860">
        <v>0</v>
      </c>
      <c r="N17" s="860">
        <v>0</v>
      </c>
      <c r="O17" s="792"/>
    </row>
    <row r="18" spans="1:15" ht="9.75" customHeight="1">
      <c r="A18" s="397" t="s">
        <v>98</v>
      </c>
      <c r="B18" s="398">
        <v>103.18609000000001</v>
      </c>
      <c r="C18" s="398">
        <v>60.201239999999999</v>
      </c>
      <c r="D18" s="399">
        <f t="shared" si="0"/>
        <v>0.71401934578091764</v>
      </c>
      <c r="E18" s="138"/>
      <c r="F18" s="138"/>
      <c r="G18" s="138"/>
      <c r="H18" s="138"/>
      <c r="I18" s="138"/>
      <c r="J18" s="138"/>
      <c r="K18" s="26"/>
      <c r="L18" s="859" t="s">
        <v>120</v>
      </c>
      <c r="M18" s="861">
        <v>0</v>
      </c>
      <c r="N18" s="861">
        <v>0</v>
      </c>
      <c r="O18" s="792"/>
    </row>
    <row r="19" spans="1:15" ht="9.75" customHeight="1">
      <c r="A19" s="400" t="s">
        <v>93</v>
      </c>
      <c r="B19" s="401">
        <v>95.751440000000002</v>
      </c>
      <c r="C19" s="401">
        <v>112.90755</v>
      </c>
      <c r="D19" s="402">
        <f t="shared" si="0"/>
        <v>-0.15194829752306205</v>
      </c>
      <c r="E19" s="138"/>
      <c r="F19" s="138"/>
      <c r="G19" s="138"/>
      <c r="H19" s="138"/>
      <c r="I19" s="138"/>
      <c r="J19" s="138"/>
      <c r="K19" s="26"/>
      <c r="L19" s="859" t="s">
        <v>110</v>
      </c>
      <c r="M19" s="861">
        <v>0</v>
      </c>
      <c r="N19" s="861">
        <v>0</v>
      </c>
      <c r="O19" s="792"/>
    </row>
    <row r="20" spans="1:15" ht="9.75" customHeight="1">
      <c r="A20" s="397" t="s">
        <v>97</v>
      </c>
      <c r="B20" s="398">
        <v>91.44923</v>
      </c>
      <c r="C20" s="398">
        <v>91.824759999999998</v>
      </c>
      <c r="D20" s="399">
        <f t="shared" si="0"/>
        <v>-4.089637696847781E-3</v>
      </c>
      <c r="E20" s="138"/>
      <c r="F20" s="138"/>
      <c r="G20" s="138"/>
      <c r="H20" s="138"/>
      <c r="I20" s="138"/>
      <c r="J20" s="138"/>
      <c r="K20" s="29"/>
      <c r="L20" s="859" t="s">
        <v>101</v>
      </c>
      <c r="M20" s="861">
        <v>0</v>
      </c>
      <c r="N20" s="861">
        <v>293.75164000000001</v>
      </c>
      <c r="O20" s="792"/>
    </row>
    <row r="21" spans="1:15" ht="9.75" customHeight="1">
      <c r="A21" s="400" t="s">
        <v>100</v>
      </c>
      <c r="B21" s="401">
        <v>89.100359999999995</v>
      </c>
      <c r="C21" s="401">
        <v>27.201519999999999</v>
      </c>
      <c r="D21" s="402">
        <f t="shared" si="0"/>
        <v>2.275565483105356</v>
      </c>
      <c r="E21" s="138"/>
      <c r="F21" s="138"/>
      <c r="G21" s="138"/>
      <c r="H21" s="138"/>
      <c r="I21" s="138"/>
      <c r="J21" s="138"/>
      <c r="K21" s="26"/>
      <c r="L21" s="859" t="s">
        <v>606</v>
      </c>
      <c r="M21" s="860">
        <v>0.36243999999999998</v>
      </c>
      <c r="N21" s="860">
        <v>0</v>
      </c>
      <c r="O21" s="792"/>
    </row>
    <row r="22" spans="1:15" ht="9.75" customHeight="1">
      <c r="A22" s="397" t="s">
        <v>94</v>
      </c>
      <c r="B22" s="398">
        <v>84.324579999999997</v>
      </c>
      <c r="C22" s="398">
        <v>166.84458000000001</v>
      </c>
      <c r="D22" s="399">
        <f t="shared" si="0"/>
        <v>-0.49459203289672349</v>
      </c>
      <c r="E22" s="138"/>
      <c r="F22" s="138"/>
      <c r="G22" s="138"/>
      <c r="H22" s="138"/>
      <c r="I22" s="138"/>
      <c r="J22" s="138"/>
      <c r="K22" s="26"/>
      <c r="L22" s="859" t="s">
        <v>118</v>
      </c>
      <c r="M22" s="860">
        <v>0.57440000000000002</v>
      </c>
      <c r="N22" s="860">
        <v>1.3140000000000001</v>
      </c>
      <c r="O22" s="792"/>
    </row>
    <row r="23" spans="1:15" ht="9.75" customHeight="1">
      <c r="A23" s="400" t="s">
        <v>249</v>
      </c>
      <c r="B23" s="401">
        <v>80.44398000000001</v>
      </c>
      <c r="C23" s="401">
        <v>94.41113</v>
      </c>
      <c r="D23" s="402">
        <f t="shared" si="0"/>
        <v>-0.14793965499618522</v>
      </c>
      <c r="E23" s="138"/>
      <c r="F23" s="138"/>
      <c r="G23" s="138"/>
      <c r="H23" s="138"/>
      <c r="I23" s="138"/>
      <c r="J23" s="138"/>
      <c r="K23" s="26"/>
      <c r="L23" s="859" t="s">
        <v>116</v>
      </c>
      <c r="M23" s="861">
        <v>1.82311</v>
      </c>
      <c r="N23" s="861">
        <v>0</v>
      </c>
      <c r="O23" s="792"/>
    </row>
    <row r="24" spans="1:15" ht="9.75" customHeight="1">
      <c r="A24" s="397" t="s">
        <v>96</v>
      </c>
      <c r="B24" s="398">
        <v>78.869540000000001</v>
      </c>
      <c r="C24" s="398">
        <v>90.594169999999991</v>
      </c>
      <c r="D24" s="399">
        <f t="shared" si="0"/>
        <v>-0.12941925512425345</v>
      </c>
      <c r="E24" s="138"/>
      <c r="F24" s="138"/>
      <c r="G24" s="138"/>
      <c r="H24" s="138"/>
      <c r="I24" s="138"/>
      <c r="J24" s="138"/>
      <c r="K24" s="29"/>
      <c r="L24" s="859" t="s">
        <v>121</v>
      </c>
      <c r="M24" s="861">
        <v>3.09171</v>
      </c>
      <c r="N24" s="861">
        <v>0</v>
      </c>
      <c r="O24" s="792"/>
    </row>
    <row r="25" spans="1:15" ht="9.75" customHeight="1">
      <c r="A25" s="400" t="s">
        <v>95</v>
      </c>
      <c r="B25" s="401">
        <v>63.062710000000003</v>
      </c>
      <c r="C25" s="401">
        <v>206.23223999999999</v>
      </c>
      <c r="D25" s="402">
        <f t="shared" si="0"/>
        <v>-0.69421507519871772</v>
      </c>
      <c r="E25" s="138"/>
      <c r="F25" s="138"/>
      <c r="G25" s="138"/>
      <c r="H25" s="138"/>
      <c r="I25" s="138"/>
      <c r="J25" s="138"/>
      <c r="K25" s="26"/>
      <c r="L25" s="859" t="s">
        <v>495</v>
      </c>
      <c r="M25" s="860">
        <v>3.5722200000000002</v>
      </c>
      <c r="N25" s="860"/>
      <c r="O25" s="792"/>
    </row>
    <row r="26" spans="1:15" ht="9.75" customHeight="1">
      <c r="A26" s="397" t="s">
        <v>520</v>
      </c>
      <c r="B26" s="398">
        <v>52.570030000000003</v>
      </c>
      <c r="C26" s="398">
        <v>56.733849999999997</v>
      </c>
      <c r="D26" s="399">
        <f t="shared" si="0"/>
        <v>-7.33921635848791E-2</v>
      </c>
      <c r="E26" s="138"/>
      <c r="F26" s="138"/>
      <c r="G26" s="138"/>
      <c r="H26" s="138"/>
      <c r="I26" s="138"/>
      <c r="J26" s="138"/>
      <c r="K26" s="26"/>
      <c r="L26" s="859" t="s">
        <v>117</v>
      </c>
      <c r="M26" s="861">
        <v>3.6</v>
      </c>
      <c r="N26" s="861">
        <v>3.2</v>
      </c>
      <c r="O26" s="792"/>
    </row>
    <row r="27" spans="1:15" ht="9.75" customHeight="1">
      <c r="A27" s="400" t="s">
        <v>253</v>
      </c>
      <c r="B27" s="401">
        <v>30.129280000000001</v>
      </c>
      <c r="C27" s="401">
        <v>7.48719</v>
      </c>
      <c r="D27" s="402">
        <f t="shared" si="0"/>
        <v>3.0241105140914017</v>
      </c>
      <c r="E27" s="138"/>
      <c r="F27" s="138"/>
      <c r="G27" s="138"/>
      <c r="H27" s="138"/>
      <c r="I27" s="138"/>
      <c r="J27" s="138"/>
      <c r="K27" s="26"/>
      <c r="L27" s="859" t="s">
        <v>115</v>
      </c>
      <c r="M27" s="861">
        <v>4.79976</v>
      </c>
      <c r="N27" s="861">
        <v>1.70146</v>
      </c>
      <c r="O27" s="792"/>
    </row>
    <row r="28" spans="1:15" ht="9.75" customHeight="1">
      <c r="A28" s="397" t="s">
        <v>103</v>
      </c>
      <c r="B28" s="398">
        <v>28.671240000000001</v>
      </c>
      <c r="C28" s="398">
        <v>28.01699</v>
      </c>
      <c r="D28" s="399">
        <f t="shared" si="0"/>
        <v>2.3351901828140731E-2</v>
      </c>
      <c r="E28" s="138"/>
      <c r="F28" s="138"/>
      <c r="G28" s="138"/>
      <c r="H28" s="138"/>
      <c r="I28" s="138"/>
      <c r="J28" s="138"/>
      <c r="K28" s="26"/>
      <c r="L28" s="859" t="s">
        <v>480</v>
      </c>
      <c r="M28" s="861">
        <v>5.5581700000000005</v>
      </c>
      <c r="N28" s="861">
        <v>8.0169999999999995</v>
      </c>
      <c r="O28" s="792"/>
    </row>
    <row r="29" spans="1:15" ht="9.75" customHeight="1">
      <c r="A29" s="403" t="s">
        <v>102</v>
      </c>
      <c r="B29" s="404">
        <v>25.2</v>
      </c>
      <c r="C29" s="404">
        <v>41.58867</v>
      </c>
      <c r="D29" s="405">
        <f t="shared" si="0"/>
        <v>-0.39406573953915813</v>
      </c>
      <c r="E29" s="138"/>
      <c r="F29" s="138"/>
      <c r="G29" s="138"/>
      <c r="H29" s="138"/>
      <c r="I29" s="138"/>
      <c r="J29" s="138"/>
      <c r="K29" s="26"/>
      <c r="L29" s="859" t="s">
        <v>521</v>
      </c>
      <c r="M29" s="861">
        <v>7.8780000000000001</v>
      </c>
      <c r="N29" s="861"/>
      <c r="O29" s="792"/>
    </row>
    <row r="30" spans="1:15" ht="9.75" customHeight="1">
      <c r="A30" s="406" t="s">
        <v>114</v>
      </c>
      <c r="B30" s="407">
        <v>24.336960000000001</v>
      </c>
      <c r="C30" s="407">
        <v>3.8841299999999999</v>
      </c>
      <c r="D30" s="408">
        <f t="shared" si="0"/>
        <v>5.2657429076781677</v>
      </c>
      <c r="E30" s="138"/>
      <c r="F30" s="138"/>
      <c r="G30" s="138"/>
      <c r="H30" s="138"/>
      <c r="I30" s="138"/>
      <c r="J30" s="138"/>
      <c r="K30" s="26"/>
      <c r="L30" s="859" t="s">
        <v>502</v>
      </c>
      <c r="M30" s="861">
        <v>9.7369200000000014</v>
      </c>
      <c r="N30" s="861">
        <v>18.52233</v>
      </c>
      <c r="O30" s="792"/>
    </row>
    <row r="31" spans="1:15" ht="9.75" customHeight="1">
      <c r="A31" s="409" t="s">
        <v>490</v>
      </c>
      <c r="B31" s="410">
        <v>20.067729999999997</v>
      </c>
      <c r="C31" s="410"/>
      <c r="D31" s="411" t="str">
        <f t="shared" si="0"/>
        <v/>
      </c>
      <c r="E31" s="138"/>
      <c r="F31" s="138"/>
      <c r="G31" s="138"/>
      <c r="H31" s="138"/>
      <c r="I31" s="138"/>
      <c r="J31" s="138"/>
      <c r="K31" s="26"/>
      <c r="L31" s="859" t="s">
        <v>562</v>
      </c>
      <c r="M31" s="861">
        <v>12.04551</v>
      </c>
      <c r="N31" s="861"/>
      <c r="O31" s="792"/>
    </row>
    <row r="32" spans="1:15" ht="9.75" customHeight="1">
      <c r="A32" s="406" t="s">
        <v>109</v>
      </c>
      <c r="B32" s="407">
        <v>19.562089999999998</v>
      </c>
      <c r="C32" s="407">
        <v>20.758320000000001</v>
      </c>
      <c r="D32" s="408">
        <f t="shared" si="0"/>
        <v>-5.7626532397612285E-2</v>
      </c>
      <c r="E32" s="138"/>
      <c r="F32" s="138"/>
      <c r="G32" s="138"/>
      <c r="H32" s="138"/>
      <c r="I32" s="138"/>
      <c r="J32" s="138"/>
      <c r="K32" s="26"/>
      <c r="L32" s="859" t="s">
        <v>251</v>
      </c>
      <c r="M32" s="861">
        <v>14.03251</v>
      </c>
      <c r="N32" s="861">
        <v>16.865650000000002</v>
      </c>
      <c r="O32" s="792"/>
    </row>
    <row r="33" spans="1:15" ht="19.5" customHeight="1">
      <c r="A33" s="585" t="s">
        <v>107</v>
      </c>
      <c r="B33" s="410">
        <v>18.3766</v>
      </c>
      <c r="C33" s="410">
        <v>13.7403</v>
      </c>
      <c r="D33" s="411">
        <f t="shared" si="0"/>
        <v>0.33742349148126327</v>
      </c>
      <c r="E33" s="138"/>
      <c r="F33" s="138"/>
      <c r="G33" s="138"/>
      <c r="H33" s="138"/>
      <c r="I33" s="138"/>
      <c r="J33" s="138"/>
      <c r="K33" s="26"/>
      <c r="L33" s="859" t="s">
        <v>720</v>
      </c>
      <c r="M33" s="861">
        <v>14.119540000000001</v>
      </c>
      <c r="N33" s="861">
        <v>25.129190000000001</v>
      </c>
      <c r="O33" s="792"/>
    </row>
    <row r="34" spans="1:15" ht="9.75" customHeight="1">
      <c r="A34" s="406" t="s">
        <v>104</v>
      </c>
      <c r="B34" s="407">
        <v>16.727219999999999</v>
      </c>
      <c r="C34" s="407">
        <v>17.507999999999999</v>
      </c>
      <c r="D34" s="408">
        <f t="shared" si="0"/>
        <v>-4.4595613433858761E-2</v>
      </c>
      <c r="E34" s="138"/>
      <c r="F34" s="138"/>
      <c r="G34" s="138"/>
      <c r="H34" s="138"/>
      <c r="I34" s="138"/>
      <c r="J34" s="138"/>
      <c r="K34" s="26"/>
      <c r="L34" s="859" t="s">
        <v>463</v>
      </c>
      <c r="M34" s="861">
        <v>15.5678</v>
      </c>
      <c r="N34" s="861">
        <v>19.992550000000001</v>
      </c>
      <c r="O34" s="792"/>
    </row>
    <row r="35" spans="1:15" ht="11.25" customHeight="1">
      <c r="A35" s="585" t="s">
        <v>463</v>
      </c>
      <c r="B35" s="410">
        <v>15.5678</v>
      </c>
      <c r="C35" s="410">
        <v>19.992550000000001</v>
      </c>
      <c r="D35" s="411">
        <f t="shared" si="0"/>
        <v>-0.22131994167827518</v>
      </c>
      <c r="E35" s="138"/>
      <c r="F35" s="138"/>
      <c r="G35" s="138"/>
      <c r="H35" s="138"/>
      <c r="I35" s="138"/>
      <c r="J35" s="138"/>
      <c r="K35" s="26"/>
      <c r="L35" s="859" t="s">
        <v>104</v>
      </c>
      <c r="M35" s="861">
        <v>16.727219999999999</v>
      </c>
      <c r="N35" s="861">
        <v>17.507999999999999</v>
      </c>
      <c r="O35" s="792"/>
    </row>
    <row r="36" spans="1:15" ht="9.75" customHeight="1">
      <c r="A36" s="406" t="s">
        <v>722</v>
      </c>
      <c r="B36" s="407">
        <v>14.119540000000001</v>
      </c>
      <c r="C36" s="407">
        <v>25.129190000000001</v>
      </c>
      <c r="D36" s="408">
        <f t="shared" si="0"/>
        <v>-0.43812196095457112</v>
      </c>
      <c r="E36" s="138"/>
      <c r="F36" s="138"/>
      <c r="G36" s="138"/>
      <c r="H36" s="138"/>
      <c r="I36" s="138"/>
      <c r="J36" s="138"/>
      <c r="K36" s="34"/>
      <c r="L36" s="859" t="s">
        <v>107</v>
      </c>
      <c r="M36" s="861">
        <v>18.3766</v>
      </c>
      <c r="N36" s="861">
        <v>13.7403</v>
      </c>
      <c r="O36" s="792"/>
    </row>
    <row r="37" spans="1:15" ht="16.5" customHeight="1">
      <c r="A37" s="585" t="s">
        <v>251</v>
      </c>
      <c r="B37" s="410">
        <v>14.03251</v>
      </c>
      <c r="C37" s="410">
        <v>16.865650000000002</v>
      </c>
      <c r="D37" s="411">
        <f t="shared" si="0"/>
        <v>-0.16798285272135982</v>
      </c>
      <c r="E37" s="138"/>
      <c r="F37" s="138"/>
      <c r="G37" s="138"/>
      <c r="H37" s="138"/>
      <c r="I37" s="138"/>
      <c r="J37" s="138"/>
      <c r="K37" s="34"/>
      <c r="L37" s="859" t="s">
        <v>109</v>
      </c>
      <c r="M37" s="860">
        <v>19.562089999999998</v>
      </c>
      <c r="N37" s="860">
        <v>20.758320000000001</v>
      </c>
      <c r="O37" s="792"/>
    </row>
    <row r="38" spans="1:15" ht="9.75" customHeight="1">
      <c r="A38" s="406" t="s">
        <v>562</v>
      </c>
      <c r="B38" s="407">
        <v>12.04551</v>
      </c>
      <c r="C38" s="407"/>
      <c r="D38" s="408" t="str">
        <f t="shared" si="0"/>
        <v/>
      </c>
      <c r="E38" s="138"/>
      <c r="F38" s="138"/>
      <c r="G38" s="138"/>
      <c r="H38" s="138"/>
      <c r="I38" s="138"/>
      <c r="J38" s="138"/>
      <c r="K38" s="29"/>
      <c r="L38" s="859" t="s">
        <v>490</v>
      </c>
      <c r="M38" s="861">
        <v>20.067729999999997</v>
      </c>
      <c r="N38" s="861"/>
      <c r="O38" s="792"/>
    </row>
    <row r="39" spans="1:15" ht="20.25" customHeight="1">
      <c r="A39" s="585" t="s">
        <v>502</v>
      </c>
      <c r="B39" s="410">
        <v>9.7369200000000014</v>
      </c>
      <c r="C39" s="410">
        <v>18.52233</v>
      </c>
      <c r="D39" s="411">
        <v>0.80673282017991266</v>
      </c>
      <c r="E39" s="138"/>
      <c r="F39" s="138"/>
      <c r="G39" s="138"/>
      <c r="H39" s="138"/>
      <c r="I39" s="138"/>
      <c r="J39" s="138"/>
      <c r="K39" s="29"/>
      <c r="L39" s="859" t="s">
        <v>114</v>
      </c>
      <c r="M39" s="861">
        <v>24.336960000000001</v>
      </c>
      <c r="N39" s="861">
        <v>3.8841299999999999</v>
      </c>
      <c r="O39" s="792"/>
    </row>
    <row r="40" spans="1:15" ht="13.5" customHeight="1">
      <c r="A40" s="848" t="s">
        <v>521</v>
      </c>
      <c r="B40" s="407">
        <v>7.8780000000000001</v>
      </c>
      <c r="C40" s="407"/>
      <c r="D40" s="408">
        <v>-0.30543840994741733</v>
      </c>
      <c r="E40" s="138"/>
      <c r="F40" s="138"/>
      <c r="G40" s="138"/>
      <c r="H40" s="138"/>
      <c r="I40" s="138"/>
      <c r="J40" s="138"/>
      <c r="K40" s="29"/>
      <c r="L40" s="859" t="s">
        <v>102</v>
      </c>
      <c r="M40" s="861">
        <v>25.2</v>
      </c>
      <c r="N40" s="861">
        <v>41.58867</v>
      </c>
      <c r="O40" s="792"/>
    </row>
    <row r="41" spans="1:15" ht="9.75" customHeight="1">
      <c r="A41" s="409" t="s">
        <v>480</v>
      </c>
      <c r="B41" s="410">
        <v>5.5581700000000005</v>
      </c>
      <c r="C41" s="410">
        <v>8.0169999999999995</v>
      </c>
      <c r="D41" s="411" t="s">
        <v>597</v>
      </c>
      <c r="E41" s="138"/>
      <c r="F41" s="138"/>
      <c r="G41" s="138"/>
      <c r="H41" s="138"/>
      <c r="I41" s="138"/>
      <c r="J41" s="138"/>
      <c r="K41" s="34"/>
      <c r="L41" s="859" t="s">
        <v>103</v>
      </c>
      <c r="M41" s="861">
        <v>28.671240000000001</v>
      </c>
      <c r="N41" s="861">
        <v>28.01699</v>
      </c>
      <c r="O41" s="792"/>
    </row>
    <row r="42" spans="1:15" ht="9.75" customHeight="1">
      <c r="A42" s="406" t="s">
        <v>115</v>
      </c>
      <c r="B42" s="407">
        <v>4.79976</v>
      </c>
      <c r="C42" s="407">
        <v>1.70146</v>
      </c>
      <c r="D42" s="408" t="s">
        <v>597</v>
      </c>
      <c r="E42" s="138"/>
      <c r="F42" s="138"/>
      <c r="G42" s="138"/>
      <c r="H42" s="138"/>
      <c r="I42" s="138"/>
      <c r="J42" s="138"/>
      <c r="K42" s="34"/>
      <c r="L42" s="859" t="s">
        <v>253</v>
      </c>
      <c r="M42" s="861">
        <v>30.129280000000001</v>
      </c>
      <c r="N42" s="861">
        <v>7.48719</v>
      </c>
      <c r="O42" s="792"/>
    </row>
    <row r="43" spans="1:15" ht="9.75" customHeight="1">
      <c r="A43" s="409" t="s">
        <v>117</v>
      </c>
      <c r="B43" s="410">
        <v>3.6</v>
      </c>
      <c r="C43" s="410">
        <v>3.2</v>
      </c>
      <c r="D43" s="411">
        <v>-0.97275450001460051</v>
      </c>
      <c r="E43" s="138"/>
      <c r="F43" s="138"/>
      <c r="G43" s="138"/>
      <c r="H43" s="138"/>
      <c r="I43" s="138"/>
      <c r="J43" s="138"/>
      <c r="K43" s="34"/>
      <c r="L43" s="859" t="s">
        <v>520</v>
      </c>
      <c r="M43" s="861">
        <v>52.570030000000003</v>
      </c>
      <c r="N43" s="861">
        <v>56.733849999999997</v>
      </c>
      <c r="O43" s="792"/>
    </row>
    <row r="44" spans="1:15" ht="9.75" customHeight="1">
      <c r="A44" s="406" t="s">
        <v>495</v>
      </c>
      <c r="B44" s="407">
        <v>3.5722200000000002</v>
      </c>
      <c r="C44" s="407"/>
      <c r="D44" s="408">
        <v>1.2848532110091742</v>
      </c>
      <c r="E44" s="138"/>
      <c r="F44" s="138"/>
      <c r="G44" s="138"/>
      <c r="H44" s="138"/>
      <c r="I44" s="138"/>
      <c r="J44" s="138"/>
      <c r="L44" s="859" t="s">
        <v>95</v>
      </c>
      <c r="M44" s="861">
        <v>63.062710000000003</v>
      </c>
      <c r="N44" s="861">
        <v>206.23223999999999</v>
      </c>
      <c r="O44" s="792"/>
    </row>
    <row r="45" spans="1:15" ht="9.75" customHeight="1">
      <c r="A45" s="409" t="s">
        <v>121</v>
      </c>
      <c r="B45" s="410">
        <v>3.09171</v>
      </c>
      <c r="C45" s="410">
        <v>0</v>
      </c>
      <c r="D45" s="411">
        <v>-0.1244162047468178</v>
      </c>
      <c r="E45" s="138"/>
      <c r="F45" s="138"/>
      <c r="G45" s="138"/>
      <c r="H45" s="138"/>
      <c r="I45" s="138"/>
      <c r="J45" s="138"/>
      <c r="L45" s="859" t="s">
        <v>96</v>
      </c>
      <c r="M45" s="861">
        <v>78.869540000000001</v>
      </c>
      <c r="N45" s="861">
        <v>90.594169999999991</v>
      </c>
      <c r="O45" s="792"/>
    </row>
    <row r="46" spans="1:15" ht="9.75" customHeight="1">
      <c r="A46" s="406" t="s">
        <v>116</v>
      </c>
      <c r="B46" s="407">
        <v>1.82311</v>
      </c>
      <c r="C46" s="407">
        <v>0</v>
      </c>
      <c r="D46" s="408">
        <v>0.125</v>
      </c>
      <c r="E46" s="138"/>
      <c r="F46" s="138"/>
      <c r="G46" s="138"/>
      <c r="H46" s="138"/>
      <c r="I46" s="138"/>
      <c r="J46" s="138"/>
      <c r="L46" s="859" t="s">
        <v>249</v>
      </c>
      <c r="M46" s="861">
        <v>80.44398000000001</v>
      </c>
      <c r="N46" s="861">
        <v>94.41113</v>
      </c>
      <c r="O46" s="792"/>
    </row>
    <row r="47" spans="1:15" ht="9.75" customHeight="1">
      <c r="A47" s="409" t="s">
        <v>118</v>
      </c>
      <c r="B47" s="410">
        <v>0.57440000000000002</v>
      </c>
      <c r="C47" s="410">
        <v>1.3140000000000001</v>
      </c>
      <c r="D47" s="411">
        <v>-0.15899408382004021</v>
      </c>
      <c r="E47" s="138"/>
      <c r="F47" s="138"/>
      <c r="G47" s="138"/>
      <c r="H47" s="138"/>
      <c r="I47" s="138"/>
      <c r="J47" s="138"/>
      <c r="L47" s="859" t="s">
        <v>94</v>
      </c>
      <c r="M47" s="861">
        <v>84.324579999999997</v>
      </c>
      <c r="N47" s="861">
        <v>166.84458000000001</v>
      </c>
      <c r="O47" s="792"/>
    </row>
    <row r="48" spans="1:15" ht="9.75" customHeight="1">
      <c r="A48" s="406" t="s">
        <v>723</v>
      </c>
      <c r="B48" s="407">
        <v>0.36243999999999998</v>
      </c>
      <c r="C48" s="407">
        <v>0</v>
      </c>
      <c r="D48" s="408">
        <v>-0.2501370252329429</v>
      </c>
      <c r="E48" s="138"/>
      <c r="F48" s="138"/>
      <c r="G48" s="138"/>
      <c r="H48" s="138"/>
      <c r="I48" s="138"/>
      <c r="J48" s="138"/>
      <c r="L48" s="859" t="s">
        <v>100</v>
      </c>
      <c r="M48" s="861">
        <v>89.100359999999995</v>
      </c>
      <c r="N48" s="861">
        <v>27.201519999999999</v>
      </c>
      <c r="O48" s="792"/>
    </row>
    <row r="49" spans="1:15" ht="20.25" customHeight="1">
      <c r="A49" s="585" t="s">
        <v>122</v>
      </c>
      <c r="B49" s="410">
        <v>0</v>
      </c>
      <c r="C49" s="410">
        <v>0</v>
      </c>
      <c r="D49" s="411">
        <v>-3.9633817985998965E-2</v>
      </c>
      <c r="E49" s="138"/>
      <c r="F49" s="138"/>
      <c r="G49" s="138"/>
      <c r="H49" s="138"/>
      <c r="I49" s="138"/>
      <c r="J49" s="138"/>
      <c r="L49" s="859" t="s">
        <v>97</v>
      </c>
      <c r="M49" s="861">
        <v>91.44923</v>
      </c>
      <c r="N49" s="861">
        <v>91.824759999999998</v>
      </c>
      <c r="O49" s="792"/>
    </row>
    <row r="50" spans="1:15" ht="10.5" customHeight="1">
      <c r="A50" s="847" t="s">
        <v>247</v>
      </c>
      <c r="B50" s="407">
        <v>0</v>
      </c>
      <c r="C50" s="407">
        <v>0</v>
      </c>
      <c r="D50" s="408">
        <v>-0.94423467905896019</v>
      </c>
      <c r="E50" s="138"/>
      <c r="F50" s="138"/>
      <c r="G50" s="138"/>
      <c r="H50" s="138"/>
      <c r="I50" s="138"/>
      <c r="J50" s="138"/>
      <c r="L50" s="859" t="s">
        <v>93</v>
      </c>
      <c r="M50" s="861">
        <v>95.751440000000002</v>
      </c>
      <c r="N50" s="861">
        <v>112.90755</v>
      </c>
      <c r="O50" s="792"/>
    </row>
    <row r="51" spans="1:15" ht="9.75" customHeight="1">
      <c r="A51" s="585" t="s">
        <v>112</v>
      </c>
      <c r="B51" s="410">
        <v>0</v>
      </c>
      <c r="C51" s="410">
        <v>0</v>
      </c>
      <c r="D51" s="411" t="s">
        <v>597</v>
      </c>
      <c r="E51" s="138"/>
      <c r="F51" s="138"/>
      <c r="G51" s="138"/>
      <c r="H51" s="138"/>
      <c r="I51" s="138"/>
      <c r="J51" s="138"/>
      <c r="L51" s="859" t="s">
        <v>98</v>
      </c>
      <c r="M51" s="861">
        <v>103.18609000000001</v>
      </c>
      <c r="N51" s="861">
        <v>60.201239999999999</v>
      </c>
      <c r="O51" s="792"/>
    </row>
    <row r="52" spans="1:15" ht="9.75" customHeight="1">
      <c r="A52" s="406" t="s">
        <v>113</v>
      </c>
      <c r="B52" s="407">
        <v>0</v>
      </c>
      <c r="C52" s="407">
        <v>0</v>
      </c>
      <c r="D52" s="408" t="s">
        <v>597</v>
      </c>
      <c r="E52" s="138"/>
      <c r="F52" s="138"/>
      <c r="G52" s="138"/>
      <c r="H52" s="138"/>
      <c r="I52" s="138"/>
      <c r="J52" s="138"/>
      <c r="L52" s="859" t="s">
        <v>252</v>
      </c>
      <c r="M52" s="861">
        <v>108.10722999999999</v>
      </c>
      <c r="N52" s="861">
        <v>106.45755</v>
      </c>
      <c r="O52" s="792"/>
    </row>
    <row r="53" spans="1:15" ht="9.75" customHeight="1">
      <c r="A53" s="409" t="s">
        <v>482</v>
      </c>
      <c r="B53" s="410">
        <v>0</v>
      </c>
      <c r="C53" s="410">
        <v>0</v>
      </c>
      <c r="D53" s="411" t="s">
        <v>597</v>
      </c>
      <c r="E53" s="138"/>
      <c r="F53" s="138"/>
      <c r="G53" s="138"/>
      <c r="H53" s="138"/>
      <c r="I53" s="138"/>
      <c r="J53" s="138"/>
      <c r="L53" s="859" t="s">
        <v>106</v>
      </c>
      <c r="M53" s="861">
        <v>121.80193</v>
      </c>
      <c r="N53" s="861">
        <v>164.32933</v>
      </c>
      <c r="O53" s="792"/>
    </row>
    <row r="54" spans="1:15" ht="9.75" customHeight="1">
      <c r="A54" s="406" t="s">
        <v>119</v>
      </c>
      <c r="B54" s="407">
        <v>0</v>
      </c>
      <c r="C54" s="407">
        <v>0</v>
      </c>
      <c r="D54" s="408" t="s">
        <v>597</v>
      </c>
      <c r="E54" s="138"/>
      <c r="F54" s="138"/>
      <c r="G54" s="138"/>
      <c r="H54" s="138"/>
      <c r="I54" s="138"/>
      <c r="J54" s="138"/>
      <c r="L54" s="859" t="s">
        <v>99</v>
      </c>
      <c r="M54" s="861">
        <v>126.6623</v>
      </c>
      <c r="N54" s="861">
        <v>36.500799999999998</v>
      </c>
      <c r="O54" s="792"/>
    </row>
    <row r="55" spans="1:15" ht="9.75" customHeight="1">
      <c r="A55" s="409" t="s">
        <v>111</v>
      </c>
      <c r="B55" s="410">
        <v>0</v>
      </c>
      <c r="C55" s="410">
        <v>0</v>
      </c>
      <c r="D55" s="411" t="s">
        <v>597</v>
      </c>
      <c r="E55" s="138"/>
      <c r="F55" s="138"/>
      <c r="G55" s="138"/>
      <c r="H55" s="138"/>
      <c r="I55" s="138"/>
      <c r="J55" s="138"/>
      <c r="L55" s="859" t="s">
        <v>248</v>
      </c>
      <c r="M55" s="861">
        <v>156.12141</v>
      </c>
      <c r="N55" s="861">
        <v>161.04167000000001</v>
      </c>
      <c r="O55" s="792"/>
    </row>
    <row r="56" spans="1:15" ht="9.75" customHeight="1">
      <c r="A56" s="406" t="s">
        <v>108</v>
      </c>
      <c r="B56" s="407">
        <v>0</v>
      </c>
      <c r="C56" s="407">
        <v>0</v>
      </c>
      <c r="D56" s="408" t="s">
        <v>597</v>
      </c>
      <c r="E56" s="138"/>
      <c r="F56" s="138"/>
      <c r="G56" s="138"/>
      <c r="H56" s="138"/>
      <c r="I56" s="138"/>
      <c r="J56" s="138"/>
      <c r="L56" s="859" t="s">
        <v>92</v>
      </c>
      <c r="M56" s="861">
        <v>166.40378000000001</v>
      </c>
      <c r="N56" s="861">
        <v>150.21046000000001</v>
      </c>
      <c r="O56" s="792"/>
    </row>
    <row r="57" spans="1:15" ht="9.75" customHeight="1">
      <c r="A57" s="409" t="s">
        <v>254</v>
      </c>
      <c r="B57" s="410">
        <v>0</v>
      </c>
      <c r="C57" s="410">
        <v>0</v>
      </c>
      <c r="D57" s="411" t="s">
        <v>597</v>
      </c>
      <c r="E57" s="138"/>
      <c r="F57" s="138"/>
      <c r="G57" s="138"/>
      <c r="H57" s="138"/>
      <c r="I57" s="138"/>
      <c r="J57" s="138"/>
      <c r="L57" s="859" t="s">
        <v>91</v>
      </c>
      <c r="M57" s="861">
        <v>200.05469000000002</v>
      </c>
      <c r="N57" s="861">
        <v>231.81532000000004</v>
      </c>
      <c r="O57" s="792"/>
    </row>
    <row r="58" spans="1:15" ht="9.75" customHeight="1">
      <c r="A58" s="406" t="s">
        <v>105</v>
      </c>
      <c r="B58" s="407">
        <v>0</v>
      </c>
      <c r="C58" s="407">
        <v>0</v>
      </c>
      <c r="D58" s="408" t="s">
        <v>597</v>
      </c>
      <c r="E58" s="138"/>
      <c r="F58" s="138"/>
      <c r="G58" s="138"/>
      <c r="H58" s="138"/>
      <c r="I58" s="138"/>
      <c r="J58" s="138"/>
      <c r="L58" s="859" t="s">
        <v>250</v>
      </c>
      <c r="M58" s="861">
        <v>540.20402000000001</v>
      </c>
      <c r="N58" s="861">
        <v>548.98491999999999</v>
      </c>
      <c r="O58" s="792"/>
    </row>
    <row r="59" spans="1:15" ht="9.75" customHeight="1">
      <c r="A59" s="390" t="s">
        <v>255</v>
      </c>
      <c r="B59" s="391">
        <v>0</v>
      </c>
      <c r="C59" s="391">
        <v>0</v>
      </c>
      <c r="D59" s="411" t="s">
        <v>597</v>
      </c>
      <c r="E59" s="138"/>
      <c r="F59" s="138"/>
      <c r="G59" s="138"/>
      <c r="H59" s="138"/>
      <c r="I59" s="138"/>
      <c r="J59" s="138"/>
      <c r="L59" s="859" t="s">
        <v>90</v>
      </c>
      <c r="M59" s="861">
        <v>857.92943999999989</v>
      </c>
      <c r="N59" s="861">
        <v>792.13103999999987</v>
      </c>
      <c r="O59" s="792"/>
    </row>
    <row r="60" spans="1:15" ht="9.75" customHeight="1">
      <c r="A60" s="412" t="s">
        <v>120</v>
      </c>
      <c r="B60" s="413">
        <v>0</v>
      </c>
      <c r="C60" s="413">
        <v>0</v>
      </c>
      <c r="D60" s="414" t="s">
        <v>597</v>
      </c>
      <c r="E60" s="138"/>
      <c r="F60" s="138"/>
      <c r="G60" s="138"/>
      <c r="H60" s="138"/>
      <c r="I60" s="138"/>
      <c r="J60" s="138"/>
      <c r="L60" s="859" t="s">
        <v>88</v>
      </c>
      <c r="M60" s="861">
        <v>965.11921999999993</v>
      </c>
      <c r="N60" s="861">
        <v>986.46439999999996</v>
      </c>
      <c r="O60" s="792"/>
    </row>
    <row r="61" spans="1:15" ht="9.75" customHeight="1">
      <c r="A61" s="390" t="s">
        <v>110</v>
      </c>
      <c r="B61" s="391">
        <v>0</v>
      </c>
      <c r="C61" s="391">
        <v>0</v>
      </c>
      <c r="D61" s="402"/>
      <c r="E61" s="138"/>
      <c r="F61" s="138"/>
      <c r="G61" s="138"/>
      <c r="H61" s="138"/>
      <c r="I61" s="138"/>
      <c r="J61" s="138"/>
      <c r="L61" s="859" t="s">
        <v>89</v>
      </c>
      <c r="M61" s="861">
        <v>1048.7188299999998</v>
      </c>
      <c r="N61" s="861">
        <v>800.90036000000009</v>
      </c>
      <c r="O61" s="792"/>
    </row>
    <row r="62" spans="1:15" ht="9.75" customHeight="1">
      <c r="A62" s="412" t="s">
        <v>101</v>
      </c>
      <c r="B62" s="413">
        <v>0</v>
      </c>
      <c r="C62" s="413">
        <v>293.75164000000001</v>
      </c>
      <c r="D62" s="414"/>
      <c r="E62" s="138"/>
      <c r="F62" s="138"/>
      <c r="G62" s="138"/>
      <c r="H62" s="138"/>
      <c r="I62" s="138"/>
      <c r="J62" s="138"/>
      <c r="L62" s="859" t="s">
        <v>479</v>
      </c>
      <c r="M62" s="861">
        <v>1362.5624000000003</v>
      </c>
      <c r="N62" s="861">
        <v>1146.93066</v>
      </c>
      <c r="O62" s="792"/>
    </row>
    <row r="63" spans="1:15" ht="9.75" customHeight="1">
      <c r="A63" s="392" t="s">
        <v>43</v>
      </c>
      <c r="B63" s="677">
        <f>SUM(B7:B62)</f>
        <v>6672.2764199999983</v>
      </c>
      <c r="C63" s="677">
        <f>SUM(C7:C62)</f>
        <v>6554.1949699999996</v>
      </c>
      <c r="D63" s="393">
        <f>IF(C63=0,"",B63/C63-1)</f>
        <v>1.8016163776098271E-2</v>
      </c>
      <c r="E63" s="138"/>
      <c r="F63" s="138"/>
      <c r="G63" s="138"/>
      <c r="H63" s="138"/>
      <c r="I63" s="138"/>
      <c r="J63" s="138"/>
      <c r="L63" s="859"/>
      <c r="M63" s="861"/>
      <c r="N63" s="861"/>
      <c r="O63" s="792"/>
    </row>
    <row r="64" spans="1:15" ht="51.75" customHeight="1">
      <c r="A64" s="920" t="str">
        <f>"Cuadro N° 8: Participación de las empresas generadoras del COES en la máxima potencia coincidente (MW) en "&amp;'1. Resumen'!Q4</f>
        <v>Cuadro N° 8: Participación de las empresas generadoras del COES en la máxima potencia coincidente (MW) en setiembre</v>
      </c>
      <c r="B64" s="920"/>
      <c r="C64" s="920"/>
      <c r="D64" s="920"/>
      <c r="E64" s="132"/>
      <c r="F64" s="920" t="str">
        <f>"Gráfico N° 12: Comparación de la máxima potencia coincidente  (MW) de las empresas generadoras del COES en "&amp;'1. Resumen'!Q4</f>
        <v>Gráfico N° 12: Comparación de la máxima potencia coincidente  (MW) de las empresas generadoras del COES en setiembre</v>
      </c>
      <c r="G64" s="920"/>
      <c r="H64" s="920"/>
      <c r="I64" s="920"/>
      <c r="J64" s="920"/>
      <c r="L64" s="859"/>
      <c r="M64" s="862"/>
      <c r="N64" s="862"/>
    </row>
    <row r="65" spans="1:10" ht="33" customHeight="1">
      <c r="A65" s="923" t="s">
        <v>598</v>
      </c>
      <c r="B65" s="923"/>
      <c r="C65" s="923"/>
      <c r="D65" s="923"/>
      <c r="E65" s="923"/>
      <c r="F65" s="923"/>
      <c r="G65" s="923"/>
      <c r="H65" s="923"/>
      <c r="I65" s="923"/>
      <c r="J65" s="923"/>
    </row>
    <row r="66" spans="1:10" ht="24" customHeight="1">
      <c r="A66" s="922" t="s">
        <v>595</v>
      </c>
      <c r="B66" s="922"/>
      <c r="C66" s="922"/>
      <c r="D66" s="922"/>
      <c r="E66" s="922"/>
      <c r="F66" s="922"/>
      <c r="G66" s="922"/>
      <c r="H66" s="922"/>
      <c r="I66" s="922"/>
      <c r="J66" s="922"/>
    </row>
    <row r="67" spans="1:10" ht="12.75" customHeight="1">
      <c r="A67" s="922"/>
      <c r="B67" s="922"/>
      <c r="C67" s="922"/>
      <c r="D67" s="922"/>
      <c r="E67" s="922"/>
      <c r="F67" s="922"/>
      <c r="G67" s="922"/>
      <c r="H67" s="922"/>
      <c r="I67" s="922"/>
      <c r="J67" s="922"/>
    </row>
    <row r="68" spans="1:10">
      <c r="A68" s="922"/>
      <c r="B68" s="922"/>
      <c r="C68" s="922"/>
      <c r="D68" s="922"/>
      <c r="E68" s="922"/>
      <c r="F68" s="922"/>
      <c r="G68" s="922"/>
      <c r="H68" s="922"/>
      <c r="I68" s="922"/>
      <c r="J68" s="922"/>
    </row>
    <row r="69" spans="1:10">
      <c r="A69" s="915"/>
      <c r="B69" s="915"/>
      <c r="C69" s="915"/>
      <c r="D69" s="915"/>
      <c r="E69" s="915"/>
      <c r="F69" s="915"/>
      <c r="G69" s="915"/>
      <c r="H69" s="915"/>
      <c r="I69" s="915"/>
      <c r="J69" s="915"/>
    </row>
    <row r="70" spans="1:10">
      <c r="A70" s="914"/>
      <c r="B70" s="914"/>
      <c r="C70" s="914"/>
      <c r="D70" s="914"/>
      <c r="E70" s="914"/>
      <c r="F70" s="914"/>
      <c r="G70" s="914"/>
      <c r="H70" s="914"/>
      <c r="I70" s="914"/>
      <c r="J70" s="914"/>
    </row>
    <row r="71" spans="1:10">
      <c r="A71" s="943"/>
      <c r="B71" s="943"/>
      <c r="C71" s="943"/>
      <c r="D71" s="943"/>
      <c r="E71" s="943"/>
      <c r="F71" s="943"/>
      <c r="G71" s="943"/>
      <c r="H71" s="943"/>
      <c r="I71" s="943"/>
      <c r="J71" s="943"/>
    </row>
    <row r="72" spans="1:10">
      <c r="A72" s="942"/>
      <c r="B72" s="942"/>
      <c r="C72" s="942"/>
      <c r="D72" s="942"/>
      <c r="E72" s="942"/>
      <c r="F72" s="942"/>
      <c r="G72" s="942"/>
      <c r="H72" s="942"/>
      <c r="I72" s="942"/>
      <c r="J72" s="942"/>
    </row>
  </sheetData>
  <mergeCells count="15">
    <mergeCell ref="A72:J72"/>
    <mergeCell ref="A67:J67"/>
    <mergeCell ref="A68:J68"/>
    <mergeCell ref="A69:J69"/>
    <mergeCell ref="A70:J70"/>
    <mergeCell ref="A71:J71"/>
    <mergeCell ref="A65:J65"/>
    <mergeCell ref="A66:J66"/>
    <mergeCell ref="A64:D64"/>
    <mergeCell ref="F64:J64"/>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zoomScalePageLayoutView="130" workbookViewId="0">
      <selection activeCell="P22" sqref="P22"/>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28" customWidth="1"/>
    <col min="12" max="31" width="9.33203125" style="328"/>
    <col min="32" max="16384" width="9.33203125" style="46"/>
  </cols>
  <sheetData>
    <row r="1" spans="1:38" ht="11.25" customHeight="1"/>
    <row r="2" spans="1:38" ht="17.25" customHeight="1">
      <c r="A2" s="926" t="s">
        <v>263</v>
      </c>
      <c r="B2" s="926"/>
      <c r="C2" s="926"/>
      <c r="D2" s="926"/>
      <c r="E2" s="926"/>
      <c r="F2" s="926"/>
      <c r="G2" s="926"/>
      <c r="H2" s="926"/>
    </row>
    <row r="3" spans="1:38" ht="11.25" customHeight="1">
      <c r="A3" s="77"/>
      <c r="B3" s="77"/>
      <c r="C3" s="77"/>
      <c r="D3" s="77"/>
      <c r="E3" s="77"/>
      <c r="F3" s="82"/>
      <c r="G3" s="82"/>
      <c r="H3" s="82"/>
      <c r="I3" s="36"/>
      <c r="J3" s="337"/>
    </row>
    <row r="4" spans="1:38" ht="15.75" customHeight="1">
      <c r="A4" s="944" t="s">
        <v>550</v>
      </c>
      <c r="B4" s="944"/>
      <c r="C4" s="944"/>
      <c r="D4" s="944"/>
      <c r="E4" s="944"/>
      <c r="F4" s="944"/>
      <c r="G4" s="944"/>
      <c r="H4" s="944"/>
      <c r="I4" s="36"/>
      <c r="J4" s="337"/>
    </row>
    <row r="5" spans="1:38" ht="11.25" customHeight="1">
      <c r="A5" s="77"/>
      <c r="B5" s="164"/>
      <c r="C5" s="79"/>
      <c r="D5" s="79"/>
      <c r="E5" s="80"/>
      <c r="F5" s="76"/>
      <c r="G5" s="76"/>
      <c r="H5" s="81"/>
      <c r="I5" s="165"/>
      <c r="J5" s="338"/>
    </row>
    <row r="6" spans="1:38" ht="42.75" customHeight="1">
      <c r="A6" s="77"/>
      <c r="C6" s="528" t="s">
        <v>125</v>
      </c>
      <c r="D6" s="529" t="s">
        <v>718</v>
      </c>
      <c r="E6" s="529" t="s">
        <v>719</v>
      </c>
      <c r="F6" s="530" t="s">
        <v>126</v>
      </c>
      <c r="G6" s="169"/>
      <c r="H6" s="170"/>
    </row>
    <row r="7" spans="1:38" ht="11.25" customHeight="1">
      <c r="A7" s="77"/>
      <c r="C7" s="587" t="s">
        <v>127</v>
      </c>
      <c r="D7" s="588">
        <v>22.996999740600501</v>
      </c>
      <c r="E7" s="589">
        <v>29.792000000000002</v>
      </c>
      <c r="F7" s="590">
        <f>IF(E7=0,"",(D7-E7)/E7)</f>
        <v>-0.22808137283161589</v>
      </c>
      <c r="G7" s="137"/>
      <c r="H7" s="274"/>
    </row>
    <row r="8" spans="1:38" ht="11.25" customHeight="1">
      <c r="A8" s="77"/>
      <c r="C8" s="591" t="s">
        <v>128</v>
      </c>
      <c r="D8" s="592">
        <v>93.531997680664006</v>
      </c>
      <c r="E8" s="593">
        <v>97.497</v>
      </c>
      <c r="F8" s="594">
        <f t="shared" ref="F8:F20" si="0">IF(E8=0,"",(D8-E8)/E8)</f>
        <v>-4.0667941776013565E-2</v>
      </c>
      <c r="G8" s="137"/>
      <c r="H8" s="274"/>
    </row>
    <row r="9" spans="1:38" ht="11.25" customHeight="1">
      <c r="A9" s="77"/>
      <c r="C9" s="595" t="s">
        <v>129</v>
      </c>
      <c r="D9" s="596">
        <v>62.6570014953613</v>
      </c>
      <c r="E9" s="597">
        <v>91.875</v>
      </c>
      <c r="F9" s="598">
        <f t="shared" si="0"/>
        <v>-0.31801903134300624</v>
      </c>
      <c r="G9" s="137"/>
      <c r="H9" s="274"/>
      <c r="M9" s="339" t="s">
        <v>269</v>
      </c>
      <c r="N9" s="340"/>
      <c r="O9" s="340"/>
      <c r="P9" s="340"/>
      <c r="Q9" s="340"/>
      <c r="R9" s="340"/>
      <c r="S9" s="340"/>
      <c r="T9" s="340"/>
      <c r="U9" s="340"/>
      <c r="V9" s="340"/>
      <c r="W9" s="340"/>
      <c r="X9" s="340"/>
      <c r="Y9" s="340"/>
      <c r="Z9" s="340"/>
      <c r="AA9" s="340"/>
      <c r="AB9" s="340"/>
      <c r="AC9" s="340"/>
      <c r="AD9" s="340"/>
      <c r="AE9" s="340"/>
      <c r="AF9" s="217"/>
      <c r="AG9" s="217"/>
      <c r="AH9" s="217"/>
      <c r="AI9" s="217"/>
      <c r="AJ9" s="217"/>
      <c r="AK9" s="217"/>
      <c r="AL9" s="217"/>
    </row>
    <row r="10" spans="1:38" ht="11.25" customHeight="1">
      <c r="A10" s="77"/>
      <c r="C10" s="591" t="s">
        <v>130</v>
      </c>
      <c r="D10" s="592">
        <v>64.5260009765625</v>
      </c>
      <c r="E10" s="593">
        <v>47.484000000000002</v>
      </c>
      <c r="F10" s="594">
        <f t="shared" si="0"/>
        <v>0.35889986051222511</v>
      </c>
      <c r="G10" s="137"/>
      <c r="H10" s="274"/>
      <c r="M10" s="339" t="s">
        <v>270</v>
      </c>
      <c r="N10" s="340"/>
      <c r="O10" s="340"/>
      <c r="P10" s="340"/>
      <c r="Q10" s="340"/>
      <c r="R10" s="340"/>
      <c r="S10" s="340"/>
      <c r="T10" s="340"/>
      <c r="AD10" s="340"/>
      <c r="AE10" s="340"/>
      <c r="AF10" s="217"/>
      <c r="AG10" s="217"/>
      <c r="AH10" s="217"/>
      <c r="AI10" s="217"/>
      <c r="AJ10" s="217"/>
      <c r="AK10" s="217"/>
      <c r="AL10" s="217"/>
    </row>
    <row r="11" spans="1:38" ht="11.25" customHeight="1">
      <c r="A11" s="77"/>
      <c r="C11" s="595" t="s">
        <v>131</v>
      </c>
      <c r="D11" s="596">
        <v>16.159999847412099</v>
      </c>
      <c r="E11" s="597">
        <v>1.6679999999999999</v>
      </c>
      <c r="F11" s="598">
        <f>IF(E11=0,"",(D11-E11)/E11)</f>
        <v>8.6882493090000601</v>
      </c>
      <c r="G11" s="137"/>
      <c r="H11" s="274"/>
      <c r="M11" s="340"/>
      <c r="N11" s="341">
        <v>2016</v>
      </c>
      <c r="O11" s="341">
        <v>2017</v>
      </c>
      <c r="P11" s="341">
        <v>2018</v>
      </c>
      <c r="Q11" s="341">
        <v>2019</v>
      </c>
      <c r="R11" s="340"/>
      <c r="S11" s="340"/>
      <c r="T11" s="340"/>
      <c r="AD11" s="340"/>
      <c r="AE11" s="340"/>
      <c r="AF11" s="217"/>
      <c r="AG11" s="217"/>
      <c r="AH11" s="217"/>
      <c r="AI11" s="217"/>
      <c r="AJ11" s="217"/>
      <c r="AK11" s="217"/>
      <c r="AL11" s="217"/>
    </row>
    <row r="12" spans="1:38" ht="11.25" customHeight="1">
      <c r="A12" s="77"/>
      <c r="C12" s="591" t="s">
        <v>132</v>
      </c>
      <c r="D12" s="592">
        <v>4.7880001068115199</v>
      </c>
      <c r="E12" s="593">
        <v>15.513</v>
      </c>
      <c r="F12" s="594">
        <f t="shared" si="0"/>
        <v>-0.69135563032221237</v>
      </c>
      <c r="G12" s="137"/>
      <c r="H12" s="274"/>
      <c r="M12" s="342">
        <v>1</v>
      </c>
      <c r="N12" s="343">
        <v>138.54</v>
      </c>
      <c r="O12" s="343">
        <v>93.1</v>
      </c>
      <c r="P12" s="343">
        <v>104.46</v>
      </c>
      <c r="Q12" s="611">
        <v>117.2900009</v>
      </c>
      <c r="R12" s="340"/>
      <c r="S12" s="340"/>
      <c r="T12" s="340"/>
      <c r="AD12" s="340"/>
      <c r="AE12" s="340"/>
      <c r="AF12" s="217"/>
      <c r="AG12" s="217"/>
      <c r="AH12" s="217"/>
      <c r="AI12" s="217"/>
      <c r="AJ12" s="217"/>
      <c r="AK12" s="217"/>
      <c r="AL12" s="217"/>
    </row>
    <row r="13" spans="1:38" ht="11.25" customHeight="1">
      <c r="A13" s="77"/>
      <c r="C13" s="595" t="s">
        <v>133</v>
      </c>
      <c r="D13" s="596">
        <v>49.209999084472599</v>
      </c>
      <c r="E13" s="597">
        <v>69.31</v>
      </c>
      <c r="F13" s="598">
        <f t="shared" si="0"/>
        <v>-0.29000145600241528</v>
      </c>
      <c r="G13" s="137"/>
      <c r="H13" s="274"/>
      <c r="M13" s="342">
        <v>2</v>
      </c>
      <c r="N13" s="343">
        <v>140.53</v>
      </c>
      <c r="O13" s="343">
        <v>93.1</v>
      </c>
      <c r="P13" s="343">
        <v>103.4720001</v>
      </c>
      <c r="Q13" s="611">
        <v>116.0110016</v>
      </c>
      <c r="R13" s="340"/>
      <c r="S13" s="340"/>
      <c r="T13" s="340"/>
      <c r="AD13" s="340"/>
      <c r="AE13" s="340"/>
      <c r="AF13" s="217"/>
      <c r="AG13" s="217"/>
      <c r="AH13" s="217"/>
      <c r="AI13" s="217"/>
      <c r="AJ13" s="217"/>
      <c r="AK13" s="217"/>
      <c r="AL13" s="217"/>
    </row>
    <row r="14" spans="1:38" ht="11.25" customHeight="1">
      <c r="A14" s="77"/>
      <c r="C14" s="591" t="s">
        <v>134</v>
      </c>
      <c r="D14" s="592">
        <v>224.531005859375</v>
      </c>
      <c r="E14" s="593">
        <v>215.977</v>
      </c>
      <c r="F14" s="594">
        <f t="shared" si="0"/>
        <v>3.960609629439707E-2</v>
      </c>
      <c r="G14" s="137"/>
      <c r="H14" s="274"/>
      <c r="M14" s="342">
        <v>3</v>
      </c>
      <c r="N14" s="343">
        <v>140.53</v>
      </c>
      <c r="O14" s="343">
        <v>98.74</v>
      </c>
      <c r="P14" s="343">
        <v>106.08699799999999</v>
      </c>
      <c r="Q14" s="611">
        <v>117.6</v>
      </c>
      <c r="R14" s="340"/>
      <c r="S14" s="340"/>
      <c r="T14" s="340"/>
      <c r="AD14" s="340"/>
      <c r="AE14" s="340"/>
      <c r="AF14" s="217"/>
      <c r="AG14" s="217"/>
      <c r="AH14" s="217"/>
      <c r="AI14" s="217"/>
      <c r="AJ14" s="217"/>
      <c r="AK14" s="217"/>
      <c r="AL14" s="217"/>
    </row>
    <row r="15" spans="1:38" ht="11.25" customHeight="1">
      <c r="A15" s="77"/>
      <c r="C15" s="595" t="s">
        <v>135</v>
      </c>
      <c r="D15" s="596">
        <v>20.221000671386701</v>
      </c>
      <c r="E15" s="597">
        <v>9.08</v>
      </c>
      <c r="F15" s="598">
        <f t="shared" si="0"/>
        <v>1.2269824527958921</v>
      </c>
      <c r="G15" s="137"/>
      <c r="H15" s="274"/>
      <c r="M15" s="342">
        <v>4</v>
      </c>
      <c r="N15" s="343">
        <v>137.43800000000002</v>
      </c>
      <c r="O15" s="343">
        <v>98.74</v>
      </c>
      <c r="P15" s="343">
        <v>112.7200012</v>
      </c>
      <c r="Q15" s="611">
        <v>128.32000729999999</v>
      </c>
      <c r="R15" s="340"/>
      <c r="S15" s="340"/>
      <c r="T15" s="340"/>
      <c r="AD15" s="340"/>
      <c r="AE15" s="340"/>
      <c r="AF15" s="217"/>
      <c r="AG15" s="217"/>
      <c r="AH15" s="217"/>
      <c r="AI15" s="217"/>
      <c r="AJ15" s="217"/>
      <c r="AK15" s="217"/>
      <c r="AL15" s="217"/>
    </row>
    <row r="16" spans="1:38" ht="11.25" customHeight="1">
      <c r="A16" s="77"/>
      <c r="C16" s="591" t="s">
        <v>136</v>
      </c>
      <c r="D16" s="592">
        <v>141.73800659179599</v>
      </c>
      <c r="E16" s="593">
        <v>108.82899999999999</v>
      </c>
      <c r="F16" s="594">
        <f t="shared" si="0"/>
        <v>0.30239188627843683</v>
      </c>
      <c r="G16" s="137"/>
      <c r="H16" s="274"/>
      <c r="M16" s="342">
        <v>5</v>
      </c>
      <c r="N16" s="343">
        <v>137.43800000000002</v>
      </c>
      <c r="O16" s="343">
        <v>125.15</v>
      </c>
      <c r="P16" s="343">
        <v>122.3190002</v>
      </c>
      <c r="Q16" s="611">
        <v>139.2400055</v>
      </c>
      <c r="R16" s="340"/>
      <c r="S16" s="340"/>
      <c r="T16" s="340"/>
      <c r="AD16" s="340"/>
      <c r="AE16" s="340"/>
      <c r="AF16" s="217"/>
      <c r="AG16" s="217"/>
      <c r="AH16" s="217"/>
      <c r="AI16" s="217"/>
      <c r="AJ16" s="217"/>
      <c r="AK16" s="217"/>
      <c r="AL16" s="217"/>
    </row>
    <row r="17" spans="1:38" ht="11.25" customHeight="1">
      <c r="A17" s="77"/>
      <c r="C17" s="595" t="s">
        <v>137</v>
      </c>
      <c r="D17" s="596">
        <v>77.959999084472599</v>
      </c>
      <c r="E17" s="597">
        <v>115.51</v>
      </c>
      <c r="F17" s="598">
        <f t="shared" si="0"/>
        <v>-0.32508008757274182</v>
      </c>
      <c r="G17" s="137"/>
      <c r="H17" s="274"/>
      <c r="M17" s="342">
        <v>6</v>
      </c>
      <c r="N17" s="343">
        <v>137.43800000000002</v>
      </c>
      <c r="O17" s="343">
        <v>125.15</v>
      </c>
      <c r="P17" s="343">
        <v>126.1559982</v>
      </c>
      <c r="Q17" s="611">
        <v>150.94</v>
      </c>
      <c r="R17" s="340"/>
      <c r="S17" s="340"/>
      <c r="T17" s="340"/>
      <c r="AD17" s="340"/>
      <c r="AE17" s="340"/>
      <c r="AF17" s="217"/>
      <c r="AG17" s="217"/>
      <c r="AH17" s="217"/>
      <c r="AI17" s="217"/>
      <c r="AJ17" s="217"/>
      <c r="AK17" s="217"/>
      <c r="AL17" s="217"/>
    </row>
    <row r="18" spans="1:38" ht="11.25" customHeight="1">
      <c r="A18" s="77"/>
      <c r="C18" s="591" t="s">
        <v>138</v>
      </c>
      <c r="D18" s="592">
        <v>8.0299997329711896</v>
      </c>
      <c r="E18" s="593">
        <v>0.85</v>
      </c>
      <c r="F18" s="594">
        <f t="shared" si="0"/>
        <v>8.4470585093778716</v>
      </c>
      <c r="G18" s="137"/>
      <c r="H18" s="274"/>
      <c r="M18" s="342">
        <v>7</v>
      </c>
      <c r="N18" s="343">
        <v>151.05499267578099</v>
      </c>
      <c r="O18" s="343">
        <v>142.99</v>
      </c>
      <c r="P18" s="343">
        <v>142.9900055</v>
      </c>
      <c r="Q18" s="611">
        <v>162.4909973</v>
      </c>
      <c r="R18" s="340"/>
      <c r="S18" s="340"/>
      <c r="T18" s="340"/>
      <c r="AD18" s="340"/>
      <c r="AE18" s="340"/>
      <c r="AF18" s="217"/>
      <c r="AG18" s="217"/>
      <c r="AH18" s="217"/>
      <c r="AI18" s="217"/>
      <c r="AJ18" s="217"/>
      <c r="AK18" s="217"/>
      <c r="AL18" s="217"/>
    </row>
    <row r="19" spans="1:38" ht="12.75" customHeight="1">
      <c r="A19" s="77"/>
      <c r="C19" s="595" t="s">
        <v>139</v>
      </c>
      <c r="D19" s="596">
        <v>10.6009397506713</v>
      </c>
      <c r="E19" s="597">
        <v>23.027999999999999</v>
      </c>
      <c r="F19" s="598">
        <f t="shared" si="0"/>
        <v>-0.53965000214211822</v>
      </c>
      <c r="G19" s="137"/>
      <c r="H19" s="274"/>
      <c r="M19" s="342">
        <v>8</v>
      </c>
      <c r="N19" s="343">
        <v>151.05499267578099</v>
      </c>
      <c r="O19" s="343">
        <v>142.99</v>
      </c>
      <c r="P19" s="343">
        <v>134.13600159999999</v>
      </c>
      <c r="Q19" s="611">
        <v>169.03700259999999</v>
      </c>
      <c r="R19" s="340"/>
      <c r="S19" s="340"/>
      <c r="T19" s="340"/>
      <c r="AD19" s="340"/>
      <c r="AE19" s="340"/>
      <c r="AF19" s="217"/>
      <c r="AG19" s="217"/>
      <c r="AH19" s="217"/>
      <c r="AI19" s="217"/>
      <c r="AJ19" s="217"/>
      <c r="AK19" s="217"/>
      <c r="AL19" s="217"/>
    </row>
    <row r="20" spans="1:38" ht="13.5" customHeight="1">
      <c r="A20" s="77"/>
      <c r="C20" s="591" t="s">
        <v>140</v>
      </c>
      <c r="D20" s="592">
        <v>18.703189849853501</v>
      </c>
      <c r="E20" s="593">
        <v>16.632000000000001</v>
      </c>
      <c r="F20" s="594">
        <f t="shared" si="0"/>
        <v>0.12453041425285592</v>
      </c>
      <c r="G20" s="137"/>
      <c r="H20" s="274"/>
      <c r="M20" s="342">
        <v>9</v>
      </c>
      <c r="N20" s="343">
        <v>165.00500489999999</v>
      </c>
      <c r="O20" s="343">
        <v>159.53</v>
      </c>
      <c r="P20" s="343">
        <v>153.34500120000001</v>
      </c>
      <c r="Q20" s="611">
        <v>182.64300539999999</v>
      </c>
      <c r="R20" s="340"/>
      <c r="S20" s="340"/>
      <c r="T20" s="340"/>
      <c r="AD20" s="340"/>
      <c r="AE20" s="340"/>
      <c r="AF20" s="217"/>
      <c r="AG20" s="217"/>
      <c r="AH20" s="217"/>
      <c r="AI20" s="217"/>
      <c r="AJ20" s="217"/>
      <c r="AK20" s="217"/>
      <c r="AL20" s="217"/>
    </row>
    <row r="21" spans="1:38" ht="11.25" customHeight="1">
      <c r="A21" s="77"/>
      <c r="C21" s="595" t="s">
        <v>141</v>
      </c>
      <c r="D21" s="596">
        <v>5.4310002326965297</v>
      </c>
      <c r="E21" s="597">
        <v>2.6709999999999998</v>
      </c>
      <c r="F21" s="598">
        <f t="shared" ref="F21:F27" si="1">IF(E21=0,"",(D21-E21)/E21)</f>
        <v>1.0333209407325084</v>
      </c>
      <c r="M21" s="342">
        <v>10</v>
      </c>
      <c r="N21" s="343">
        <v>165.00500489999999</v>
      </c>
      <c r="O21" s="343">
        <v>159.53</v>
      </c>
      <c r="P21" s="343">
        <v>153.0590057</v>
      </c>
      <c r="Q21" s="611">
        <v>190.99600219999999</v>
      </c>
      <c r="R21" s="340"/>
      <c r="S21" s="340"/>
      <c r="T21" s="340"/>
      <c r="AD21" s="340"/>
      <c r="AE21" s="340"/>
      <c r="AF21" s="217"/>
      <c r="AG21" s="217"/>
      <c r="AH21" s="217"/>
      <c r="AI21" s="217"/>
      <c r="AJ21" s="217"/>
      <c r="AK21" s="217"/>
      <c r="AL21" s="217"/>
    </row>
    <row r="22" spans="1:38" ht="11.25" customHeight="1">
      <c r="A22" s="77"/>
      <c r="C22" s="591" t="s">
        <v>142</v>
      </c>
      <c r="D22" s="592">
        <v>0.78600001335143999</v>
      </c>
      <c r="E22" s="593">
        <v>1.5169999999999999</v>
      </c>
      <c r="F22" s="594">
        <f t="shared" si="1"/>
        <v>-0.48187210721724455</v>
      </c>
      <c r="G22" s="137"/>
      <c r="H22" s="274"/>
      <c r="M22" s="342">
        <v>11</v>
      </c>
      <c r="N22" s="343">
        <v>186.45199584960901</v>
      </c>
      <c r="O22" s="343">
        <v>184.94</v>
      </c>
      <c r="P22" s="343">
        <v>162.93200680000001</v>
      </c>
      <c r="Q22" s="384">
        <v>200.89500427246</v>
      </c>
      <c r="AF22" s="275"/>
      <c r="AG22" s="275"/>
      <c r="AH22" s="275"/>
      <c r="AI22" s="275"/>
      <c r="AJ22" s="275"/>
      <c r="AK22" s="275"/>
      <c r="AL22" s="275"/>
    </row>
    <row r="23" spans="1:38" ht="11.25" customHeight="1">
      <c r="A23" s="77"/>
      <c r="C23" s="595" t="s">
        <v>488</v>
      </c>
      <c r="D23" s="596">
        <v>0.216999992728233</v>
      </c>
      <c r="E23" s="597">
        <v>0.13900000000000001</v>
      </c>
      <c r="F23" s="598">
        <f t="shared" si="1"/>
        <v>0.56115102682182005</v>
      </c>
      <c r="G23" s="137"/>
      <c r="H23" s="274"/>
      <c r="M23" s="342">
        <v>12</v>
      </c>
      <c r="N23" s="343">
        <v>186.45199584960901</v>
      </c>
      <c r="O23" s="343">
        <v>184.94</v>
      </c>
      <c r="P23" s="343">
        <v>172.76199339999999</v>
      </c>
      <c r="Q23" s="384">
        <v>209.09500120000001</v>
      </c>
      <c r="AF23" s="275"/>
      <c r="AG23" s="275"/>
      <c r="AH23" s="275"/>
      <c r="AI23" s="275"/>
      <c r="AJ23" s="275"/>
      <c r="AK23" s="275"/>
      <c r="AL23" s="275"/>
    </row>
    <row r="24" spans="1:38" ht="11.25" customHeight="1">
      <c r="A24" s="77"/>
      <c r="C24" s="591" t="s">
        <v>143</v>
      </c>
      <c r="D24" s="593">
        <v>156.28199768066401</v>
      </c>
      <c r="E24" s="593">
        <v>154.08000179999999</v>
      </c>
      <c r="F24" s="594">
        <f t="shared" si="1"/>
        <v>1.4291250356566487E-2</v>
      </c>
      <c r="G24" s="137"/>
      <c r="H24" s="274"/>
      <c r="M24" s="342">
        <v>13</v>
      </c>
      <c r="N24" s="343">
        <v>195.64999389648401</v>
      </c>
      <c r="O24" s="343">
        <v>203.73</v>
      </c>
      <c r="P24" s="343">
        <v>182.13900760000001</v>
      </c>
      <c r="Q24" s="384">
        <v>215.7310028</v>
      </c>
      <c r="AF24" s="275"/>
      <c r="AG24" s="275"/>
      <c r="AH24" s="275"/>
      <c r="AI24" s="275"/>
      <c r="AJ24" s="275"/>
      <c r="AK24" s="275"/>
      <c r="AL24" s="275"/>
    </row>
    <row r="25" spans="1:38" ht="11.25" customHeight="1">
      <c r="A25" s="77"/>
      <c r="C25" s="595" t="s">
        <v>144</v>
      </c>
      <c r="D25" s="597">
        <v>21.642999649047798</v>
      </c>
      <c r="E25" s="597">
        <v>21.131999969999999</v>
      </c>
      <c r="F25" s="598">
        <f t="shared" si="1"/>
        <v>2.4181321208273661E-2</v>
      </c>
      <c r="G25" s="137"/>
      <c r="H25" s="274"/>
      <c r="M25" s="342">
        <v>14</v>
      </c>
      <c r="N25" s="343">
        <v>195.64999389648401</v>
      </c>
      <c r="O25" s="343">
        <v>203.73</v>
      </c>
      <c r="P25" s="343">
        <v>191.4750061</v>
      </c>
      <c r="Q25" s="384">
        <v>219.1710052</v>
      </c>
      <c r="AF25" s="275"/>
      <c r="AG25" s="275"/>
      <c r="AH25" s="275"/>
      <c r="AI25" s="275"/>
      <c r="AJ25" s="275"/>
      <c r="AK25" s="275"/>
      <c r="AL25" s="275"/>
    </row>
    <row r="26" spans="1:38" ht="11.25" customHeight="1">
      <c r="A26" s="77"/>
      <c r="C26" s="591" t="s">
        <v>145</v>
      </c>
      <c r="D26" s="593">
        <v>39.106529999999999</v>
      </c>
      <c r="E26" s="593">
        <v>25.675999999999998</v>
      </c>
      <c r="F26" s="594">
        <f t="shared" si="1"/>
        <v>0.52307719270914477</v>
      </c>
      <c r="G26" s="137"/>
      <c r="H26" s="137"/>
      <c r="M26" s="342">
        <v>15</v>
      </c>
      <c r="N26" s="343">
        <v>201.93600463867099</v>
      </c>
      <c r="O26" s="343">
        <v>203.73</v>
      </c>
      <c r="P26" s="343">
        <v>198.43899540000001</v>
      </c>
      <c r="Q26" s="384">
        <v>220.17399599999999</v>
      </c>
      <c r="AF26" s="275"/>
      <c r="AG26" s="275"/>
      <c r="AH26" s="275"/>
      <c r="AI26" s="275"/>
      <c r="AJ26" s="275"/>
      <c r="AK26" s="275"/>
      <c r="AL26" s="275"/>
    </row>
    <row r="27" spans="1:38" ht="11.25" customHeight="1">
      <c r="A27" s="77"/>
      <c r="C27" s="595" t="s">
        <v>146</v>
      </c>
      <c r="D27" s="596">
        <v>300.47900390625</v>
      </c>
      <c r="E27" s="597">
        <v>318.99200000000002</v>
      </c>
      <c r="F27" s="598">
        <f t="shared" si="1"/>
        <v>-5.8035925959741989E-2</v>
      </c>
      <c r="G27" s="137"/>
      <c r="H27" s="137"/>
      <c r="M27" s="342">
        <v>16</v>
      </c>
      <c r="N27" s="343">
        <v>201.93600463867099</v>
      </c>
      <c r="O27" s="343">
        <v>222.8</v>
      </c>
      <c r="P27" s="343">
        <v>201.52999879999999</v>
      </c>
      <c r="Q27" s="384">
        <v>220.3150024</v>
      </c>
      <c r="AF27" s="275"/>
      <c r="AG27" s="275"/>
      <c r="AH27" s="275"/>
      <c r="AI27" s="275"/>
      <c r="AJ27" s="275"/>
      <c r="AK27" s="275"/>
      <c r="AL27" s="275"/>
    </row>
    <row r="28" spans="1:38" ht="26.25" customHeight="1">
      <c r="A28" s="77"/>
      <c r="C28" s="945" t="str">
        <f>"Cuadro N°9: Volumen útil de los principales embalses y lagunas del SEIN al término del periodo mensual ("&amp;'1. Resumen'!Q7&amp;" de "&amp;'1. Resumen'!Q4&amp;") "</f>
        <v xml:space="preserve">Cuadro N°9: Volumen útil de los principales embalses y lagunas del SEIN al término del periodo mensual (30 de setiembre) </v>
      </c>
      <c r="D28" s="945"/>
      <c r="E28" s="945"/>
      <c r="F28" s="945"/>
      <c r="G28" s="137"/>
      <c r="H28" s="137"/>
      <c r="M28" s="342">
        <v>17</v>
      </c>
      <c r="N28" s="343">
        <v>201.93600463867099</v>
      </c>
      <c r="O28" s="343">
        <v>222.8</v>
      </c>
      <c r="P28" s="343">
        <v>206.03700259999999</v>
      </c>
      <c r="Q28" s="384">
        <v>220.56</v>
      </c>
      <c r="AF28" s="275"/>
      <c r="AG28" s="275"/>
      <c r="AH28" s="275"/>
      <c r="AI28" s="275"/>
      <c r="AJ28" s="275"/>
      <c r="AK28" s="275"/>
      <c r="AL28" s="275"/>
    </row>
    <row r="29" spans="1:38" ht="12" customHeight="1">
      <c r="A29" s="75"/>
      <c r="G29" s="137"/>
      <c r="H29" s="137"/>
      <c r="I29" s="167"/>
      <c r="J29" s="344"/>
      <c r="M29" s="342">
        <v>18</v>
      </c>
      <c r="N29" s="343">
        <v>207.58900451660099</v>
      </c>
      <c r="O29" s="343">
        <v>225.58</v>
      </c>
      <c r="P29" s="343">
        <v>213.67399599999999</v>
      </c>
      <c r="Q29" s="818">
        <v>224.15199279999999</v>
      </c>
      <c r="AF29" s="275"/>
      <c r="AG29" s="275"/>
      <c r="AH29" s="275"/>
      <c r="AI29" s="275"/>
      <c r="AJ29" s="275"/>
      <c r="AK29" s="275"/>
      <c r="AL29" s="275"/>
    </row>
    <row r="30" spans="1:38" ht="11.25" customHeight="1">
      <c r="A30" s="75"/>
      <c r="B30" s="173"/>
      <c r="C30" s="173"/>
      <c r="D30" s="173"/>
      <c r="E30" s="173"/>
      <c r="F30" s="171"/>
      <c r="G30" s="137"/>
      <c r="H30" s="137"/>
      <c r="M30" s="342">
        <v>19</v>
      </c>
      <c r="N30" s="343">
        <v>207.58900451660099</v>
      </c>
      <c r="O30" s="343">
        <v>225.58</v>
      </c>
      <c r="P30" s="343">
        <v>216.75700380000001</v>
      </c>
      <c r="Q30" s="818">
        <v>224.378006</v>
      </c>
      <c r="AF30" s="275"/>
      <c r="AG30" s="275"/>
      <c r="AH30" s="275"/>
      <c r="AI30" s="275"/>
      <c r="AJ30" s="275"/>
      <c r="AK30" s="275"/>
      <c r="AL30" s="275"/>
    </row>
    <row r="31" spans="1:38" ht="11.25" customHeight="1">
      <c r="A31" s="75"/>
      <c r="B31" s="173"/>
      <c r="C31" s="173"/>
      <c r="D31" s="173"/>
      <c r="E31" s="173"/>
      <c r="F31" s="171"/>
      <c r="G31" s="171"/>
      <c r="H31" s="171"/>
      <c r="I31" s="167"/>
      <c r="J31" s="344"/>
      <c r="M31" s="342">
        <v>20</v>
      </c>
      <c r="N31" s="343">
        <v>205.7</v>
      </c>
      <c r="O31" s="343">
        <v>226.61</v>
      </c>
      <c r="P31" s="343">
        <v>217.29400630000001</v>
      </c>
      <c r="Q31" s="818">
        <v>224.60401920000001</v>
      </c>
      <c r="AF31" s="275"/>
      <c r="AG31" s="275"/>
      <c r="AH31" s="275"/>
      <c r="AI31" s="275"/>
      <c r="AJ31" s="275"/>
      <c r="AK31" s="275"/>
      <c r="AL31" s="275"/>
    </row>
    <row r="32" spans="1:38" ht="13.5" customHeight="1">
      <c r="A32" s="944" t="s">
        <v>549</v>
      </c>
      <c r="B32" s="944"/>
      <c r="C32" s="944"/>
      <c r="D32" s="944"/>
      <c r="E32" s="944"/>
      <c r="F32" s="944"/>
      <c r="G32" s="944"/>
      <c r="H32" s="944"/>
      <c r="I32" s="56"/>
      <c r="J32" s="344"/>
      <c r="M32" s="342">
        <v>21</v>
      </c>
      <c r="N32" s="343">
        <v>205.7</v>
      </c>
      <c r="O32" s="343">
        <v>226.61</v>
      </c>
      <c r="P32" s="343">
        <v>218.3190002</v>
      </c>
      <c r="Q32" s="818">
        <v>223.4909973</v>
      </c>
      <c r="AF32" s="275"/>
      <c r="AG32" s="275"/>
      <c r="AH32" s="275"/>
      <c r="AI32" s="275"/>
      <c r="AJ32" s="275"/>
      <c r="AK32" s="275"/>
      <c r="AL32" s="275"/>
    </row>
    <row r="33" spans="1:38" ht="11.25" customHeight="1">
      <c r="A33" s="75"/>
      <c r="B33" s="82"/>
      <c r="C33" s="82"/>
      <c r="D33" s="82"/>
      <c r="E33" s="82"/>
      <c r="F33" s="82"/>
      <c r="G33" s="82"/>
      <c r="H33" s="82"/>
      <c r="I33" s="56"/>
      <c r="J33" s="344"/>
      <c r="M33" s="342">
        <v>22</v>
      </c>
      <c r="N33" s="343">
        <v>204.65</v>
      </c>
      <c r="O33" s="343">
        <v>227.42</v>
      </c>
      <c r="P33" s="343">
        <v>218.79899599999999</v>
      </c>
      <c r="Q33" s="818">
        <v>222.62600710000001</v>
      </c>
      <c r="AF33" s="275"/>
      <c r="AG33" s="275"/>
      <c r="AH33" s="275"/>
      <c r="AI33" s="275"/>
      <c r="AJ33" s="275"/>
      <c r="AK33" s="275"/>
      <c r="AL33" s="275"/>
    </row>
    <row r="34" spans="1:38" ht="11.25" customHeight="1">
      <c r="A34" s="75"/>
      <c r="B34" s="82"/>
      <c r="C34" s="82"/>
      <c r="D34" s="82"/>
      <c r="E34" s="82"/>
      <c r="F34" s="82"/>
      <c r="G34" s="82"/>
      <c r="H34" s="82"/>
      <c r="I34" s="56"/>
      <c r="J34" s="344"/>
      <c r="M34" s="342">
        <v>23</v>
      </c>
      <c r="N34" s="343">
        <v>204.65</v>
      </c>
      <c r="O34" s="343">
        <v>227.42</v>
      </c>
      <c r="P34" s="343">
        <v>217.8880005</v>
      </c>
      <c r="Q34" s="818">
        <v>221.62399289999999</v>
      </c>
      <c r="AF34" s="275"/>
      <c r="AG34" s="275"/>
      <c r="AH34" s="275"/>
      <c r="AI34" s="275"/>
      <c r="AJ34" s="275"/>
      <c r="AK34" s="275"/>
      <c r="AL34" s="275"/>
    </row>
    <row r="35" spans="1:38" ht="11.25" customHeight="1">
      <c r="A35" s="75"/>
      <c r="B35" s="82"/>
      <c r="C35" s="82"/>
      <c r="D35" s="82"/>
      <c r="E35" s="82"/>
      <c r="F35" s="82"/>
      <c r="G35" s="82"/>
      <c r="H35" s="82"/>
      <c r="I35" s="168"/>
      <c r="J35" s="344"/>
      <c r="M35" s="342">
        <v>24</v>
      </c>
      <c r="N35" s="343">
        <v>200.38</v>
      </c>
      <c r="O35" s="343">
        <v>227.45</v>
      </c>
      <c r="P35" s="343">
        <v>216.04899599999999</v>
      </c>
      <c r="Q35" s="818">
        <v>218.3840027</v>
      </c>
      <c r="AF35" s="275"/>
      <c r="AG35" s="275"/>
      <c r="AH35" s="275"/>
      <c r="AI35" s="275"/>
      <c r="AJ35" s="275"/>
      <c r="AK35" s="275"/>
      <c r="AL35" s="275"/>
    </row>
    <row r="36" spans="1:38" ht="11.25" customHeight="1">
      <c r="A36" s="75"/>
      <c r="B36" s="82"/>
      <c r="C36" s="82"/>
      <c r="D36" s="82"/>
      <c r="E36" s="82"/>
      <c r="F36" s="82"/>
      <c r="G36" s="82"/>
      <c r="H36" s="82"/>
      <c r="I36" s="56"/>
      <c r="J36" s="344"/>
      <c r="M36" s="342">
        <v>25</v>
      </c>
      <c r="N36" s="343">
        <v>200.38</v>
      </c>
      <c r="O36" s="343">
        <v>227.45</v>
      </c>
      <c r="P36" s="343">
        <v>212.24600219999999</v>
      </c>
      <c r="Q36" s="818">
        <v>215.08099369999999</v>
      </c>
      <c r="AF36" s="275"/>
      <c r="AG36" s="275"/>
      <c r="AH36" s="275"/>
      <c r="AI36" s="275"/>
      <c r="AJ36" s="275"/>
      <c r="AK36" s="275"/>
      <c r="AL36" s="275"/>
    </row>
    <row r="37" spans="1:38" ht="11.25" customHeight="1">
      <c r="A37" s="75"/>
      <c r="B37" s="82"/>
      <c r="C37" s="82"/>
      <c r="D37" s="82"/>
      <c r="E37" s="82"/>
      <c r="F37" s="82"/>
      <c r="G37" s="82"/>
      <c r="H37" s="82"/>
      <c r="I37" s="56"/>
      <c r="J37" s="345"/>
      <c r="M37" s="342">
        <v>26</v>
      </c>
      <c r="N37" s="343">
        <v>193.55099487304599</v>
      </c>
      <c r="O37" s="343">
        <v>225.56</v>
      </c>
      <c r="P37" s="343">
        <v>210.22099299999999</v>
      </c>
      <c r="Q37" s="818">
        <v>210.41900630000001</v>
      </c>
      <c r="AF37" s="275"/>
      <c r="AG37" s="275"/>
      <c r="AH37" s="275"/>
      <c r="AI37" s="275"/>
      <c r="AJ37" s="275"/>
      <c r="AK37" s="275"/>
      <c r="AL37" s="275"/>
    </row>
    <row r="38" spans="1:38" ht="11.25" customHeight="1">
      <c r="A38" s="75"/>
      <c r="B38" s="82"/>
      <c r="C38" s="82"/>
      <c r="D38" s="82"/>
      <c r="E38" s="82"/>
      <c r="F38" s="82"/>
      <c r="G38" s="82"/>
      <c r="H38" s="82"/>
      <c r="I38" s="56"/>
      <c r="J38" s="345"/>
      <c r="M38" s="342">
        <v>27</v>
      </c>
      <c r="N38" s="343">
        <v>193.55099487304599</v>
      </c>
      <c r="O38" s="343">
        <v>225.56</v>
      </c>
      <c r="P38" s="343">
        <v>209.85200499999999</v>
      </c>
      <c r="Q38" s="818">
        <v>204.23</v>
      </c>
      <c r="AF38" s="275"/>
      <c r="AG38" s="275"/>
      <c r="AH38" s="275"/>
      <c r="AI38" s="275"/>
      <c r="AJ38" s="275"/>
      <c r="AK38" s="275"/>
      <c r="AL38" s="275"/>
    </row>
    <row r="39" spans="1:38" ht="11.25" customHeight="1">
      <c r="A39" s="75"/>
      <c r="B39" s="82"/>
      <c r="C39" s="82"/>
      <c r="D39" s="82"/>
      <c r="E39" s="82"/>
      <c r="F39" s="82"/>
      <c r="G39" s="82"/>
      <c r="H39" s="82"/>
      <c r="I39" s="56"/>
      <c r="J39" s="346"/>
      <c r="M39" s="342">
        <v>28</v>
      </c>
      <c r="N39" s="343">
        <v>186.01199339999999</v>
      </c>
      <c r="O39" s="347">
        <v>225.56</v>
      </c>
      <c r="P39" s="347">
        <v>203.92900090000001</v>
      </c>
      <c r="Q39" s="818">
        <v>201.1309967</v>
      </c>
      <c r="AF39" s="275"/>
      <c r="AG39" s="275"/>
      <c r="AH39" s="275"/>
      <c r="AI39" s="275"/>
      <c r="AJ39" s="275"/>
      <c r="AK39" s="275"/>
      <c r="AL39" s="275"/>
    </row>
    <row r="40" spans="1:38" ht="11.25" customHeight="1">
      <c r="A40" s="75"/>
      <c r="B40" s="82"/>
      <c r="C40" s="82"/>
      <c r="D40" s="82"/>
      <c r="E40" s="82"/>
      <c r="F40" s="82"/>
      <c r="G40" s="82"/>
      <c r="H40" s="82"/>
      <c r="I40" s="56"/>
      <c r="J40" s="346"/>
      <c r="M40" s="342">
        <v>29</v>
      </c>
      <c r="N40" s="343">
        <v>186.01199339999999</v>
      </c>
      <c r="O40" s="343">
        <v>222.04</v>
      </c>
      <c r="P40" s="343">
        <v>200.56300350000001</v>
      </c>
      <c r="Q40" s="818">
        <v>196.16000366210901</v>
      </c>
      <c r="AF40" s="275"/>
      <c r="AG40" s="275"/>
      <c r="AH40" s="275"/>
      <c r="AI40" s="275"/>
      <c r="AJ40" s="275"/>
      <c r="AK40" s="275"/>
      <c r="AL40" s="275"/>
    </row>
    <row r="41" spans="1:38" ht="11.25" customHeight="1">
      <c r="A41" s="75"/>
      <c r="B41" s="82"/>
      <c r="C41" s="82"/>
      <c r="D41" s="82"/>
      <c r="E41" s="82"/>
      <c r="F41" s="82"/>
      <c r="G41" s="82"/>
      <c r="H41" s="82"/>
      <c r="I41" s="56"/>
      <c r="J41" s="346"/>
      <c r="M41" s="342">
        <v>30</v>
      </c>
      <c r="N41" s="343">
        <v>186.01199339999999</v>
      </c>
      <c r="O41" s="343">
        <v>222.04</v>
      </c>
      <c r="P41" s="343">
        <v>194.94900509999999</v>
      </c>
      <c r="Q41" s="818">
        <v>193.86</v>
      </c>
      <c r="AF41" s="275"/>
      <c r="AG41" s="275"/>
      <c r="AH41" s="275"/>
      <c r="AI41" s="275"/>
      <c r="AJ41" s="275"/>
      <c r="AK41" s="275"/>
      <c r="AL41" s="275"/>
    </row>
    <row r="42" spans="1:38" ht="11.25" customHeight="1">
      <c r="A42" s="75"/>
      <c r="B42" s="82"/>
      <c r="C42" s="82"/>
      <c r="D42" s="82"/>
      <c r="E42" s="82"/>
      <c r="F42" s="82"/>
      <c r="G42" s="82"/>
      <c r="H42" s="82"/>
      <c r="I42" s="168"/>
      <c r="J42" s="345"/>
      <c r="M42" s="342">
        <v>31</v>
      </c>
      <c r="N42" s="343">
        <v>178.58200070000001</v>
      </c>
      <c r="O42" s="343">
        <v>213.13</v>
      </c>
      <c r="P42" s="343">
        <v>188.386</v>
      </c>
      <c r="Q42" s="818">
        <v>186.24800110000001</v>
      </c>
      <c r="AF42" s="275"/>
      <c r="AG42" s="275"/>
      <c r="AH42" s="275"/>
      <c r="AI42" s="275"/>
      <c r="AJ42" s="275"/>
      <c r="AK42" s="275"/>
      <c r="AL42" s="275"/>
    </row>
    <row r="43" spans="1:38" ht="11.25" customHeight="1">
      <c r="A43" s="75"/>
      <c r="B43" s="82"/>
      <c r="C43" s="82"/>
      <c r="D43" s="82"/>
      <c r="E43" s="82"/>
      <c r="F43" s="82"/>
      <c r="G43" s="82"/>
      <c r="H43" s="82"/>
      <c r="I43" s="56"/>
      <c r="J43" s="345"/>
      <c r="M43" s="342">
        <v>32</v>
      </c>
      <c r="N43" s="343">
        <v>178.58200070000001</v>
      </c>
      <c r="O43" s="343">
        <v>213.13</v>
      </c>
      <c r="P43" s="343">
        <v>184.72900390000001</v>
      </c>
      <c r="Q43" s="328">
        <v>182.40899659999999</v>
      </c>
      <c r="AF43" s="275"/>
      <c r="AG43" s="275"/>
      <c r="AH43" s="275"/>
      <c r="AI43" s="275"/>
      <c r="AJ43" s="275"/>
      <c r="AK43" s="275"/>
      <c r="AL43" s="275"/>
    </row>
    <row r="44" spans="1:38" ht="11.25" customHeight="1">
      <c r="A44" s="75"/>
      <c r="B44" s="82"/>
      <c r="C44" s="82"/>
      <c r="D44" s="82"/>
      <c r="E44" s="82"/>
      <c r="F44" s="82"/>
      <c r="G44" s="82"/>
      <c r="H44" s="82"/>
      <c r="I44" s="56"/>
      <c r="J44" s="345"/>
      <c r="M44" s="342">
        <v>33</v>
      </c>
      <c r="N44" s="343">
        <v>169.01100159999999</v>
      </c>
      <c r="O44" s="343">
        <v>205.97</v>
      </c>
      <c r="P44" s="343">
        <v>178.8809967</v>
      </c>
      <c r="Q44" s="328">
        <v>178.6940002</v>
      </c>
      <c r="AF44" s="275"/>
      <c r="AG44" s="275"/>
      <c r="AH44" s="275"/>
      <c r="AI44" s="275"/>
      <c r="AJ44" s="275"/>
      <c r="AK44" s="275"/>
      <c r="AL44" s="275"/>
    </row>
    <row r="45" spans="1:38" ht="11.25" customHeight="1">
      <c r="A45" s="75"/>
      <c r="B45" s="82"/>
      <c r="C45" s="82"/>
      <c r="D45" s="82"/>
      <c r="E45" s="82"/>
      <c r="F45" s="82"/>
      <c r="G45" s="82"/>
      <c r="H45" s="82"/>
      <c r="I45" s="59"/>
      <c r="J45" s="348"/>
      <c r="M45" s="342">
        <v>34</v>
      </c>
      <c r="N45" s="343">
        <v>169.01100159999999</v>
      </c>
      <c r="O45" s="343">
        <v>199.49</v>
      </c>
      <c r="P45" s="343">
        <v>176.98599239999999</v>
      </c>
      <c r="Q45" s="328">
        <v>173.61300660000001</v>
      </c>
      <c r="AF45" s="275"/>
      <c r="AG45" s="275"/>
      <c r="AH45" s="275"/>
      <c r="AI45" s="275"/>
      <c r="AJ45" s="275"/>
      <c r="AK45" s="275"/>
      <c r="AL45" s="275"/>
    </row>
    <row r="46" spans="1:38" ht="11.25" customHeight="1">
      <c r="A46" s="75"/>
      <c r="B46" s="82"/>
      <c r="C46" s="82"/>
      <c r="D46" s="82"/>
      <c r="E46" s="82"/>
      <c r="F46" s="82"/>
      <c r="G46" s="82"/>
      <c r="H46" s="82"/>
      <c r="I46" s="59"/>
      <c r="J46" s="348"/>
      <c r="M46" s="342">
        <v>35</v>
      </c>
      <c r="N46" s="349">
        <v>158.09199523925699</v>
      </c>
      <c r="O46" s="343">
        <v>193.4</v>
      </c>
      <c r="P46" s="343">
        <v>173.36999510000001</v>
      </c>
      <c r="Q46" s="328">
        <v>170.0189972</v>
      </c>
      <c r="AF46" s="275"/>
      <c r="AG46" s="275"/>
      <c r="AH46" s="275"/>
      <c r="AI46" s="275"/>
      <c r="AJ46" s="275"/>
      <c r="AK46" s="275"/>
      <c r="AL46" s="275"/>
    </row>
    <row r="47" spans="1:38" ht="11.25" customHeight="1">
      <c r="A47" s="75"/>
      <c r="B47" s="82"/>
      <c r="C47" s="82"/>
      <c r="D47" s="82"/>
      <c r="E47" s="82"/>
      <c r="F47" s="82"/>
      <c r="G47" s="82"/>
      <c r="H47" s="82"/>
      <c r="I47" s="59"/>
      <c r="J47" s="348"/>
      <c r="M47" s="342">
        <v>36</v>
      </c>
      <c r="N47" s="349">
        <v>158.09199523925699</v>
      </c>
      <c r="O47" s="343">
        <v>187.93</v>
      </c>
      <c r="P47" s="343">
        <v>167.63</v>
      </c>
      <c r="Q47" s="328">
        <v>166.0690002</v>
      </c>
      <c r="AF47" s="275"/>
      <c r="AG47" s="275"/>
      <c r="AH47" s="275"/>
      <c r="AI47" s="275"/>
      <c r="AJ47" s="275"/>
      <c r="AK47" s="275"/>
      <c r="AL47" s="275"/>
    </row>
    <row r="48" spans="1:38" ht="11.25" customHeight="1">
      <c r="A48" s="75"/>
      <c r="B48" s="82"/>
      <c r="C48" s="82"/>
      <c r="D48" s="82"/>
      <c r="E48" s="82"/>
      <c r="F48" s="82"/>
      <c r="G48" s="82"/>
      <c r="H48" s="82"/>
      <c r="I48" s="59"/>
      <c r="J48" s="348"/>
      <c r="M48" s="342">
        <v>37</v>
      </c>
      <c r="N48" s="343">
        <v>147.0650024</v>
      </c>
      <c r="O48" s="343">
        <v>182.85</v>
      </c>
      <c r="P48" s="343">
        <v>162.30700680000001</v>
      </c>
      <c r="Q48" s="328">
        <v>159.17399599999999</v>
      </c>
      <c r="AF48" s="275"/>
      <c r="AG48" s="275"/>
      <c r="AH48" s="275"/>
      <c r="AI48" s="275"/>
      <c r="AJ48" s="275"/>
      <c r="AK48" s="275"/>
      <c r="AL48" s="275"/>
    </row>
    <row r="49" spans="1:38" ht="11.25" customHeight="1">
      <c r="A49" s="75"/>
      <c r="B49" s="82"/>
      <c r="C49" s="82"/>
      <c r="D49" s="82"/>
      <c r="E49" s="82"/>
      <c r="F49" s="82"/>
      <c r="G49" s="82"/>
      <c r="H49" s="82"/>
      <c r="I49" s="59"/>
      <c r="J49" s="348"/>
      <c r="M49" s="342">
        <v>38</v>
      </c>
      <c r="N49" s="343">
        <v>147.0650024</v>
      </c>
      <c r="O49" s="343">
        <v>179.77</v>
      </c>
      <c r="P49" s="343">
        <v>159.02699279999999</v>
      </c>
      <c r="Q49" s="328">
        <v>157.84</v>
      </c>
      <c r="AF49" s="275"/>
      <c r="AG49" s="275"/>
      <c r="AH49" s="275"/>
      <c r="AI49" s="275"/>
      <c r="AJ49" s="275"/>
      <c r="AK49" s="275"/>
      <c r="AL49" s="275"/>
    </row>
    <row r="50" spans="1:38" ht="12.75">
      <c r="A50" s="75"/>
      <c r="B50" s="82"/>
      <c r="C50" s="82"/>
      <c r="D50" s="82"/>
      <c r="E50" s="82"/>
      <c r="F50" s="82"/>
      <c r="G50" s="82"/>
      <c r="H50" s="82"/>
      <c r="I50" s="59"/>
      <c r="J50" s="348"/>
      <c r="M50" s="342">
        <v>39</v>
      </c>
      <c r="N50" s="343">
        <v>139.11000060000001</v>
      </c>
      <c r="O50" s="343">
        <v>173.62</v>
      </c>
      <c r="P50" s="343">
        <v>153.61700440000001</v>
      </c>
      <c r="Q50" s="328">
        <v>156.28199768066401</v>
      </c>
      <c r="AF50" s="275"/>
      <c r="AG50" s="275"/>
      <c r="AH50" s="275"/>
      <c r="AI50" s="275"/>
      <c r="AJ50" s="275"/>
      <c r="AK50" s="275"/>
      <c r="AL50" s="275"/>
    </row>
    <row r="51" spans="1:38" ht="10.5" customHeight="1">
      <c r="A51" s="75"/>
      <c r="B51" s="82"/>
      <c r="C51" s="82"/>
      <c r="D51" s="82"/>
      <c r="E51" s="82"/>
      <c r="F51" s="82"/>
      <c r="G51" s="82"/>
      <c r="H51" s="82"/>
      <c r="I51" s="59"/>
      <c r="J51" s="348"/>
      <c r="M51" s="342">
        <v>40</v>
      </c>
      <c r="N51" s="343">
        <v>139.11000060000001</v>
      </c>
      <c r="O51" s="343">
        <v>163</v>
      </c>
      <c r="P51" s="343">
        <v>151.72999569999999</v>
      </c>
      <c r="AF51" s="275"/>
      <c r="AG51" s="275"/>
      <c r="AH51" s="275"/>
      <c r="AI51" s="275"/>
      <c r="AJ51" s="275"/>
      <c r="AK51" s="275"/>
      <c r="AL51" s="275"/>
    </row>
    <row r="52" spans="1:38" ht="12.75">
      <c r="A52" s="75"/>
      <c r="B52" s="82"/>
      <c r="C52" s="82"/>
      <c r="D52" s="82"/>
      <c r="E52" s="82"/>
      <c r="F52" s="82"/>
      <c r="G52" s="82"/>
      <c r="H52" s="82"/>
      <c r="I52" s="59"/>
      <c r="J52" s="348"/>
      <c r="M52" s="342">
        <v>41</v>
      </c>
      <c r="N52" s="343">
        <v>139.11000060000001</v>
      </c>
      <c r="O52" s="343">
        <v>156.5</v>
      </c>
      <c r="P52" s="343">
        <v>147.996002197265</v>
      </c>
      <c r="AF52" s="275"/>
      <c r="AG52" s="275"/>
      <c r="AH52" s="275"/>
      <c r="AI52" s="275"/>
      <c r="AJ52" s="275"/>
      <c r="AK52" s="275"/>
      <c r="AL52" s="275"/>
    </row>
    <row r="53" spans="1:38" ht="12.75">
      <c r="A53" s="75"/>
      <c r="B53" s="82"/>
      <c r="C53" s="82"/>
      <c r="D53" s="82"/>
      <c r="E53" s="82"/>
      <c r="F53" s="82"/>
      <c r="G53" s="82"/>
      <c r="H53" s="82"/>
      <c r="I53" s="59"/>
      <c r="J53" s="348"/>
      <c r="M53" s="342">
        <v>42</v>
      </c>
      <c r="N53" s="343">
        <v>128.34500120000001</v>
      </c>
      <c r="O53" s="343">
        <v>152.78</v>
      </c>
      <c r="P53" s="343">
        <v>144.53999328613199</v>
      </c>
      <c r="AF53" s="275"/>
      <c r="AG53" s="275"/>
      <c r="AH53" s="275"/>
      <c r="AI53" s="275"/>
      <c r="AJ53" s="275"/>
      <c r="AK53" s="275"/>
      <c r="AL53" s="275"/>
    </row>
    <row r="54" spans="1:38" ht="12.75">
      <c r="A54" s="75"/>
      <c r="B54" s="82"/>
      <c r="C54" s="82"/>
      <c r="D54" s="82"/>
      <c r="E54" s="82"/>
      <c r="F54" s="82"/>
      <c r="G54" s="82"/>
      <c r="H54" s="82"/>
      <c r="I54" s="59"/>
      <c r="J54" s="348"/>
      <c r="M54" s="342">
        <v>43</v>
      </c>
      <c r="N54" s="343">
        <v>128.34500120000001</v>
      </c>
      <c r="O54" s="343">
        <v>148.63</v>
      </c>
      <c r="P54" s="343">
        <v>143.72300720214801</v>
      </c>
      <c r="AF54" s="275"/>
      <c r="AG54" s="275"/>
      <c r="AH54" s="275"/>
      <c r="AI54" s="275"/>
      <c r="AJ54" s="275"/>
      <c r="AK54" s="275"/>
      <c r="AL54" s="275"/>
    </row>
    <row r="55" spans="1:38" ht="12.75">
      <c r="A55" s="75"/>
      <c r="B55" s="82"/>
      <c r="C55" s="82"/>
      <c r="D55" s="82"/>
      <c r="E55" s="82"/>
      <c r="F55" s="82"/>
      <c r="G55" s="82"/>
      <c r="H55" s="82"/>
      <c r="I55" s="59"/>
      <c r="J55" s="348"/>
      <c r="M55" s="342">
        <v>44</v>
      </c>
      <c r="N55" s="343">
        <v>121.20099639999999</v>
      </c>
      <c r="O55" s="343">
        <v>142.91</v>
      </c>
      <c r="P55" s="343">
        <v>142.33900449999999</v>
      </c>
      <c r="AF55" s="275"/>
      <c r="AG55" s="275"/>
      <c r="AH55" s="275"/>
      <c r="AI55" s="275"/>
      <c r="AJ55" s="275"/>
      <c r="AK55" s="275"/>
      <c r="AL55" s="275"/>
    </row>
    <row r="56" spans="1:38" ht="12.75">
      <c r="A56" s="75"/>
      <c r="B56" s="82"/>
      <c r="C56" s="82"/>
      <c r="D56" s="82"/>
      <c r="E56" s="82"/>
      <c r="F56" s="82"/>
      <c r="G56" s="82"/>
      <c r="H56" s="82"/>
      <c r="I56" s="59"/>
      <c r="J56" s="348"/>
      <c r="M56" s="342">
        <v>45</v>
      </c>
      <c r="N56" s="343">
        <v>121.20099639999999</v>
      </c>
      <c r="O56" s="343">
        <v>137.04</v>
      </c>
      <c r="P56" s="343">
        <v>143.13200380000001</v>
      </c>
      <c r="AF56" s="275"/>
      <c r="AG56" s="275"/>
      <c r="AH56" s="275"/>
      <c r="AI56" s="275"/>
      <c r="AJ56" s="275"/>
      <c r="AK56" s="275"/>
      <c r="AL56" s="275"/>
    </row>
    <row r="57" spans="1:38" ht="12.75">
      <c r="A57" s="75"/>
      <c r="B57" s="82"/>
      <c r="C57" s="82"/>
      <c r="D57" s="82"/>
      <c r="E57" s="82"/>
      <c r="F57" s="82"/>
      <c r="G57" s="82"/>
      <c r="H57" s="82"/>
      <c r="M57" s="342">
        <v>46</v>
      </c>
      <c r="N57" s="343">
        <v>112.1429977</v>
      </c>
      <c r="O57" s="343">
        <v>131.22999999999999</v>
      </c>
      <c r="P57" s="343">
        <v>141.37</v>
      </c>
      <c r="AF57" s="275"/>
      <c r="AG57" s="275"/>
      <c r="AH57" s="275"/>
      <c r="AI57" s="275"/>
      <c r="AJ57" s="275"/>
      <c r="AK57" s="275"/>
      <c r="AL57" s="275"/>
    </row>
    <row r="58" spans="1:38" ht="12.75">
      <c r="A58" s="75"/>
      <c r="B58" s="82"/>
      <c r="C58" s="82"/>
      <c r="D58" s="82"/>
      <c r="E58" s="82"/>
      <c r="F58" s="82"/>
      <c r="G58" s="82"/>
      <c r="H58" s="82"/>
      <c r="M58" s="342">
        <v>47</v>
      </c>
      <c r="N58" s="343">
        <v>112.1429977</v>
      </c>
      <c r="O58" s="343">
        <v>125.5</v>
      </c>
      <c r="P58" s="343">
        <v>140.33900449999999</v>
      </c>
      <c r="AF58" s="275"/>
      <c r="AG58" s="275"/>
      <c r="AH58" s="275"/>
      <c r="AI58" s="275"/>
      <c r="AJ58" s="275"/>
      <c r="AK58" s="275"/>
      <c r="AL58" s="275"/>
    </row>
    <row r="59" spans="1:38" ht="12.75">
      <c r="A59" s="272" t="s">
        <v>507</v>
      </c>
      <c r="B59" s="82"/>
      <c r="C59" s="82"/>
      <c r="D59" s="82"/>
      <c r="E59" s="82"/>
      <c r="F59" s="82"/>
      <c r="G59" s="82"/>
      <c r="H59" s="82"/>
      <c r="M59" s="342">
        <v>48</v>
      </c>
      <c r="N59" s="343">
        <v>101.13500209999999</v>
      </c>
      <c r="O59" s="343">
        <v>120.41</v>
      </c>
      <c r="P59" s="343">
        <v>137.8150024</v>
      </c>
      <c r="AF59" s="275"/>
      <c r="AG59" s="275"/>
      <c r="AH59" s="275"/>
      <c r="AI59" s="275"/>
      <c r="AJ59" s="275"/>
      <c r="AK59" s="275"/>
      <c r="AL59" s="275"/>
    </row>
    <row r="60" spans="1:38" ht="12.75">
      <c r="A60" s="54"/>
      <c r="B60" s="82"/>
      <c r="C60" s="82"/>
      <c r="D60" s="82"/>
      <c r="E60" s="82"/>
      <c r="F60" s="82"/>
      <c r="G60" s="82"/>
      <c r="H60" s="82"/>
      <c r="M60" s="342">
        <v>49</v>
      </c>
      <c r="N60" s="343">
        <v>101.13500209999999</v>
      </c>
      <c r="O60" s="343">
        <v>115.91300200000001</v>
      </c>
      <c r="P60" s="343">
        <v>129.0279999</v>
      </c>
      <c r="AF60" s="275"/>
      <c r="AG60" s="275"/>
      <c r="AH60" s="275"/>
      <c r="AI60" s="275"/>
      <c r="AJ60" s="275"/>
      <c r="AK60" s="275"/>
      <c r="AL60" s="275"/>
    </row>
    <row r="61" spans="1:38">
      <c r="M61" s="342">
        <v>50</v>
      </c>
      <c r="N61" s="343">
        <v>96.752998349999999</v>
      </c>
      <c r="O61" s="343">
        <v>110.0599976</v>
      </c>
      <c r="P61" s="343">
        <v>129.30000000000001</v>
      </c>
      <c r="AD61" s="340"/>
      <c r="AE61" s="340"/>
      <c r="AF61" s="217"/>
      <c r="AG61" s="217"/>
      <c r="AH61" s="217"/>
      <c r="AI61" s="217"/>
      <c r="AJ61" s="217"/>
      <c r="AK61" s="217"/>
      <c r="AL61" s="217"/>
    </row>
    <row r="62" spans="1:38">
      <c r="M62" s="342">
        <v>51</v>
      </c>
      <c r="N62" s="343">
        <v>96.752998349999999</v>
      </c>
      <c r="O62" s="343">
        <v>107.5970001</v>
      </c>
      <c r="P62" s="343">
        <v>129</v>
      </c>
      <c r="AD62" s="340"/>
      <c r="AE62" s="340"/>
      <c r="AF62" s="217"/>
      <c r="AG62" s="217"/>
      <c r="AH62" s="217"/>
      <c r="AI62" s="217"/>
      <c r="AJ62" s="217"/>
      <c r="AK62" s="217"/>
      <c r="AL62" s="217"/>
    </row>
    <row r="63" spans="1:38">
      <c r="M63" s="342">
        <v>52</v>
      </c>
      <c r="N63" s="343">
        <v>96.752998349999999</v>
      </c>
      <c r="O63" s="343">
        <v>104.4029999</v>
      </c>
      <c r="P63" s="343">
        <v>130.4810028</v>
      </c>
      <c r="AD63" s="340"/>
      <c r="AE63" s="340"/>
      <c r="AF63" s="217"/>
      <c r="AG63" s="217"/>
      <c r="AH63" s="217"/>
      <c r="AI63" s="217"/>
      <c r="AJ63" s="217"/>
      <c r="AK63" s="217"/>
      <c r="AL63" s="217"/>
    </row>
    <row r="64" spans="1:38">
      <c r="M64" s="342">
        <v>53</v>
      </c>
      <c r="N64" s="343"/>
      <c r="O64" s="343"/>
      <c r="P64" s="350"/>
      <c r="AD64" s="340"/>
      <c r="AE64" s="340"/>
      <c r="AF64" s="217"/>
      <c r="AG64" s="217"/>
      <c r="AH64" s="217"/>
      <c r="AI64" s="217"/>
      <c r="AJ64" s="217"/>
      <c r="AK64" s="217"/>
      <c r="AL64" s="217"/>
    </row>
    <row r="65" spans="13:38">
      <c r="M65" s="340"/>
      <c r="N65" s="340"/>
      <c r="O65" s="340"/>
      <c r="P65" s="340"/>
      <c r="Q65" s="340"/>
      <c r="R65" s="340"/>
      <c r="S65" s="340"/>
      <c r="T65" s="340"/>
      <c r="AD65" s="340"/>
      <c r="AE65" s="340"/>
      <c r="AF65" s="217"/>
      <c r="AG65" s="217"/>
      <c r="AH65" s="217"/>
      <c r="AI65" s="217"/>
      <c r="AJ65" s="217"/>
      <c r="AK65" s="217"/>
      <c r="AL65" s="217"/>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85" zoomScaleNormal="100" zoomScaleSheetLayoutView="85" zoomScalePageLayoutView="115" workbookViewId="0">
      <selection activeCell="P22" sqref="P22"/>
    </sheetView>
  </sheetViews>
  <sheetFormatPr defaultColWidth="9.33203125" defaultRowHeight="11.25"/>
  <cols>
    <col min="10" max="11" width="9.33203125" customWidth="1"/>
    <col min="14" max="28" width="9.33203125" style="448"/>
    <col min="29" max="31" width="9.33203125" style="438"/>
  </cols>
  <sheetData>
    <row r="1" spans="1:23" ht="11.25" customHeight="1"/>
    <row r="2" spans="1:23" ht="11.25" customHeight="1">
      <c r="A2" s="318"/>
      <c r="B2" s="325"/>
      <c r="C2" s="325"/>
      <c r="D2" s="325"/>
      <c r="E2" s="325"/>
      <c r="F2" s="325"/>
      <c r="G2" s="326"/>
      <c r="H2" s="326"/>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51" t="s">
        <v>271</v>
      </c>
      <c r="T4" s="452" t="s">
        <v>272</v>
      </c>
    </row>
    <row r="5" spans="1:23" ht="11.25" customHeight="1">
      <c r="A5" s="946"/>
      <c r="B5" s="946"/>
      <c r="C5" s="946"/>
      <c r="D5" s="946"/>
      <c r="E5" s="946"/>
      <c r="F5" s="946"/>
      <c r="G5" s="946"/>
      <c r="H5" s="946"/>
      <c r="I5" s="946"/>
      <c r="J5" s="12"/>
      <c r="K5" s="12"/>
      <c r="L5" s="8"/>
      <c r="O5" s="453">
        <v>2016</v>
      </c>
      <c r="P5" s="453">
        <v>2017</v>
      </c>
      <c r="Q5" s="453">
        <v>2018</v>
      </c>
      <c r="R5" s="453">
        <v>2019</v>
      </c>
      <c r="T5" s="453">
        <v>2016</v>
      </c>
      <c r="U5" s="453">
        <v>2017</v>
      </c>
      <c r="V5" s="453">
        <v>2018</v>
      </c>
      <c r="W5" s="453">
        <v>2019</v>
      </c>
    </row>
    <row r="6" spans="1:23" ht="11.25" customHeight="1">
      <c r="A6" s="17"/>
      <c r="B6" s="159"/>
      <c r="C6" s="68"/>
      <c r="D6" s="69"/>
      <c r="E6" s="69"/>
      <c r="F6" s="70"/>
      <c r="G6" s="66"/>
      <c r="H6" s="66"/>
      <c r="I6" s="71"/>
      <c r="J6" s="12"/>
      <c r="K6" s="12"/>
      <c r="L6" s="5"/>
      <c r="N6" s="454">
        <v>1</v>
      </c>
      <c r="O6" s="455">
        <v>119.86</v>
      </c>
      <c r="P6" s="455">
        <v>27.559000019999999</v>
      </c>
      <c r="Q6" s="456">
        <v>34.76</v>
      </c>
      <c r="R6" s="448">
        <v>71.125</v>
      </c>
      <c r="S6" s="454">
        <v>1</v>
      </c>
      <c r="T6" s="455">
        <v>150.22999999999999</v>
      </c>
      <c r="U6" s="455">
        <v>122.19600180599998</v>
      </c>
      <c r="V6" s="456">
        <v>210.20000000000002</v>
      </c>
      <c r="W6" s="448">
        <v>190.20000426299998</v>
      </c>
    </row>
    <row r="7" spans="1:23" ht="11.25" customHeight="1">
      <c r="A7" s="17"/>
      <c r="B7" s="947"/>
      <c r="C7" s="947"/>
      <c r="D7" s="160"/>
      <c r="E7" s="160"/>
      <c r="F7" s="70"/>
      <c r="G7" s="66"/>
      <c r="H7" s="66"/>
      <c r="I7" s="71"/>
      <c r="J7" s="3"/>
      <c r="K7" s="3"/>
      <c r="L7" s="15"/>
      <c r="N7" s="454">
        <v>2</v>
      </c>
      <c r="O7" s="455">
        <v>113.21</v>
      </c>
      <c r="P7" s="455">
        <v>36.5890007</v>
      </c>
      <c r="Q7" s="456">
        <v>47.749000549999998</v>
      </c>
      <c r="R7" s="448">
        <v>79.228996280000004</v>
      </c>
      <c r="S7" s="454">
        <v>2</v>
      </c>
      <c r="T7" s="455">
        <v>145.21</v>
      </c>
      <c r="U7" s="455">
        <v>136.535000822</v>
      </c>
      <c r="V7" s="456">
        <v>216.70300435500002</v>
      </c>
      <c r="W7" s="448">
        <v>185.80498987600001</v>
      </c>
    </row>
    <row r="8" spans="1:23" ht="11.25" customHeight="1">
      <c r="A8" s="17"/>
      <c r="B8" s="161"/>
      <c r="C8" s="39"/>
      <c r="D8" s="162"/>
      <c r="E8" s="162"/>
      <c r="F8" s="70"/>
      <c r="G8" s="66"/>
      <c r="H8" s="66"/>
      <c r="I8" s="71"/>
      <c r="J8" s="4"/>
      <c r="K8" s="4"/>
      <c r="L8" s="12"/>
      <c r="N8" s="454">
        <v>3</v>
      </c>
      <c r="O8" s="455">
        <v>117.64</v>
      </c>
      <c r="P8" s="455">
        <v>63.17599869</v>
      </c>
      <c r="Q8" s="456">
        <v>67.130996699999997</v>
      </c>
      <c r="R8" s="448">
        <v>106.65</v>
      </c>
      <c r="S8" s="454">
        <v>3</v>
      </c>
      <c r="T8" s="455">
        <v>143.88</v>
      </c>
      <c r="U8" s="455">
        <v>170.80799961000002</v>
      </c>
      <c r="V8" s="456">
        <v>232.83600043999999</v>
      </c>
      <c r="W8" s="448">
        <v>190.06000000000003</v>
      </c>
    </row>
    <row r="9" spans="1:23" ht="11.25" customHeight="1">
      <c r="A9" s="17"/>
      <c r="B9" s="161"/>
      <c r="C9" s="39"/>
      <c r="D9" s="162"/>
      <c r="E9" s="162"/>
      <c r="F9" s="70"/>
      <c r="G9" s="66"/>
      <c r="H9" s="66"/>
      <c r="I9" s="71"/>
      <c r="J9" s="3"/>
      <c r="K9" s="6"/>
      <c r="L9" s="15"/>
      <c r="N9" s="454">
        <v>4</v>
      </c>
      <c r="O9" s="455">
        <v>117.64</v>
      </c>
      <c r="P9" s="455">
        <v>113.2139969</v>
      </c>
      <c r="Q9" s="456">
        <v>93.789001459999994</v>
      </c>
      <c r="R9" s="448">
        <v>140.34500120000001</v>
      </c>
      <c r="S9" s="454">
        <v>4</v>
      </c>
      <c r="T9" s="455">
        <v>139.38200000000001</v>
      </c>
      <c r="U9" s="455">
        <v>186.385000214</v>
      </c>
      <c r="V9" s="456">
        <v>271.78000545999998</v>
      </c>
      <c r="W9" s="448">
        <v>198.06799936900001</v>
      </c>
    </row>
    <row r="10" spans="1:23" ht="11.25" customHeight="1">
      <c r="A10" s="17"/>
      <c r="B10" s="161"/>
      <c r="C10" s="39"/>
      <c r="D10" s="162"/>
      <c r="E10" s="162"/>
      <c r="F10" s="70"/>
      <c r="G10" s="66"/>
      <c r="H10" s="66"/>
      <c r="I10" s="71"/>
      <c r="J10" s="3"/>
      <c r="K10" s="3"/>
      <c r="L10" s="15"/>
      <c r="N10" s="454">
        <v>5</v>
      </c>
      <c r="O10" s="455">
        <v>133.43</v>
      </c>
      <c r="P10" s="455">
        <v>156.8220062</v>
      </c>
      <c r="Q10" s="456">
        <v>111.01599880000001</v>
      </c>
      <c r="R10" s="448">
        <v>186.18299870000001</v>
      </c>
      <c r="S10" s="454">
        <v>5</v>
      </c>
      <c r="T10" s="455">
        <v>135.79099490000002</v>
      </c>
      <c r="U10" s="455">
        <v>204.80799868699998</v>
      </c>
      <c r="V10" s="456">
        <v>269.07999802</v>
      </c>
      <c r="W10" s="448">
        <v>217.55805158600003</v>
      </c>
    </row>
    <row r="11" spans="1:23" ht="11.25" customHeight="1">
      <c r="A11" s="17"/>
      <c r="B11" s="162"/>
      <c r="C11" s="39"/>
      <c r="D11" s="162"/>
      <c r="E11" s="162"/>
      <c r="F11" s="70"/>
      <c r="G11" s="66"/>
      <c r="H11" s="66"/>
      <c r="I11" s="71"/>
      <c r="J11" s="3"/>
      <c r="K11" s="3"/>
      <c r="L11" s="15"/>
      <c r="N11" s="454">
        <v>6</v>
      </c>
      <c r="O11" s="455">
        <v>159.2149963</v>
      </c>
      <c r="P11" s="455">
        <v>168.8840027</v>
      </c>
      <c r="Q11" s="456">
        <v>126.6029968</v>
      </c>
      <c r="R11" s="448">
        <v>222.22</v>
      </c>
      <c r="S11" s="454">
        <v>6</v>
      </c>
      <c r="T11" s="455">
        <v>150.04800029899999</v>
      </c>
      <c r="U11" s="455">
        <v>201.82999366799999</v>
      </c>
      <c r="V11" s="456">
        <v>273.52000047000001</v>
      </c>
      <c r="W11" s="448">
        <v>279.10000000000002</v>
      </c>
    </row>
    <row r="12" spans="1:23" ht="11.25" customHeight="1">
      <c r="A12" s="17"/>
      <c r="B12" s="162"/>
      <c r="C12" s="39"/>
      <c r="D12" s="162"/>
      <c r="E12" s="162"/>
      <c r="F12" s="70"/>
      <c r="G12" s="66"/>
      <c r="H12" s="66"/>
      <c r="I12" s="71"/>
      <c r="J12" s="3"/>
      <c r="K12" s="3"/>
      <c r="L12" s="15"/>
      <c r="N12" s="454">
        <v>7</v>
      </c>
      <c r="O12" s="455">
        <v>186.18299870000001</v>
      </c>
      <c r="P12" s="455">
        <v>196.28300479999999</v>
      </c>
      <c r="Q12" s="456">
        <v>135.7250061</v>
      </c>
      <c r="R12" s="448">
        <v>277.02099609999999</v>
      </c>
      <c r="S12" s="454">
        <v>7</v>
      </c>
      <c r="T12" s="455">
        <v>174.31999966699999</v>
      </c>
      <c r="U12" s="455">
        <v>199.59600258</v>
      </c>
      <c r="V12" s="456">
        <v>302.63299941999998</v>
      </c>
      <c r="W12" s="448">
        <v>338.21854399</v>
      </c>
    </row>
    <row r="13" spans="1:23" ht="11.25" customHeight="1">
      <c r="A13" s="17"/>
      <c r="B13" s="162"/>
      <c r="C13" s="39"/>
      <c r="D13" s="162"/>
      <c r="E13" s="162"/>
      <c r="F13" s="70"/>
      <c r="G13" s="66"/>
      <c r="H13" s="66"/>
      <c r="I13" s="71"/>
      <c r="J13" s="4"/>
      <c r="K13" s="4"/>
      <c r="L13" s="12"/>
      <c r="N13" s="454">
        <v>8</v>
      </c>
      <c r="O13" s="455">
        <v>206.53900150000001</v>
      </c>
      <c r="P13" s="455">
        <v>230.18899540000001</v>
      </c>
      <c r="Q13" s="456">
        <v>159.2149963</v>
      </c>
      <c r="R13" s="448">
        <v>293.06698610000001</v>
      </c>
      <c r="S13" s="454">
        <v>8</v>
      </c>
      <c r="T13" s="455">
        <v>262.93500039999998</v>
      </c>
      <c r="U13" s="455">
        <v>214.34299659800001</v>
      </c>
      <c r="V13" s="456">
        <v>328.23703</v>
      </c>
      <c r="W13" s="448">
        <v>388.64800643000001</v>
      </c>
    </row>
    <row r="14" spans="1:23" ht="11.25" customHeight="1">
      <c r="A14" s="17"/>
      <c r="B14" s="162"/>
      <c r="C14" s="39"/>
      <c r="D14" s="162"/>
      <c r="E14" s="162"/>
      <c r="F14" s="70"/>
      <c r="G14" s="66"/>
      <c r="H14" s="66"/>
      <c r="I14" s="71"/>
      <c r="J14" s="3"/>
      <c r="K14" s="6"/>
      <c r="L14" s="15"/>
      <c r="N14" s="454">
        <v>9</v>
      </c>
      <c r="O14" s="455">
        <v>240.9539948</v>
      </c>
      <c r="P14" s="455">
        <v>249.13000489999999</v>
      </c>
      <c r="Q14" s="456">
        <v>186.18299870000001</v>
      </c>
      <c r="R14" s="448">
        <v>294.29501340000002</v>
      </c>
      <c r="S14" s="454">
        <v>9</v>
      </c>
      <c r="T14" s="455">
        <v>279.08800121000002</v>
      </c>
      <c r="U14" s="455">
        <v>250.89400288000002</v>
      </c>
      <c r="V14" s="456">
        <v>343.54049999999995</v>
      </c>
      <c r="W14" s="448">
        <v>377.13099283000003</v>
      </c>
    </row>
    <row r="15" spans="1:23" ht="11.25" customHeight="1">
      <c r="A15" s="17"/>
      <c r="B15" s="162"/>
      <c r="C15" s="39"/>
      <c r="D15" s="162"/>
      <c r="E15" s="162"/>
      <c r="F15" s="70"/>
      <c r="G15" s="66"/>
      <c r="H15" s="66"/>
      <c r="I15" s="71"/>
      <c r="J15" s="3"/>
      <c r="K15" s="6"/>
      <c r="L15" s="15"/>
      <c r="N15" s="454">
        <v>10</v>
      </c>
      <c r="O15" s="455">
        <v>279.86401369999999</v>
      </c>
      <c r="P15" s="455">
        <v>311.77999999999997</v>
      </c>
      <c r="Q15" s="456">
        <v>203.96099849999999</v>
      </c>
      <c r="R15" s="448">
        <v>291.91101070000002</v>
      </c>
      <c r="S15" s="454">
        <v>10</v>
      </c>
      <c r="T15" s="455">
        <v>283.79400062561007</v>
      </c>
      <c r="U15" s="455">
        <v>298.99899296000001</v>
      </c>
      <c r="V15" s="456">
        <v>371.29100467000001</v>
      </c>
      <c r="W15" s="448">
        <v>385.62499995999997</v>
      </c>
    </row>
    <row r="16" spans="1:23" ht="11.25" customHeight="1">
      <c r="A16" s="17"/>
      <c r="B16" s="162"/>
      <c r="C16" s="39"/>
      <c r="D16" s="162"/>
      <c r="E16" s="162"/>
      <c r="F16" s="70"/>
      <c r="G16" s="66"/>
      <c r="H16" s="66"/>
      <c r="I16" s="71"/>
      <c r="J16" s="3"/>
      <c r="K16" s="6"/>
      <c r="L16" s="15"/>
      <c r="N16" s="454">
        <v>11</v>
      </c>
      <c r="O16" s="455">
        <v>308.83</v>
      </c>
      <c r="P16" s="455">
        <v>332.70800000000003</v>
      </c>
      <c r="Q16" s="456">
        <v>230.18899540000001</v>
      </c>
      <c r="R16" s="457">
        <v>301.204986572265</v>
      </c>
      <c r="S16" s="454">
        <v>11</v>
      </c>
      <c r="T16" s="455">
        <v>286.24</v>
      </c>
      <c r="U16" s="455">
        <v>321.03300188000003</v>
      </c>
      <c r="V16" s="456">
        <v>390.38299555999998</v>
      </c>
      <c r="W16" s="448">
        <v>389.38100242614604</v>
      </c>
    </row>
    <row r="17" spans="1:23" ht="11.25" customHeight="1">
      <c r="A17" s="17"/>
      <c r="B17" s="162"/>
      <c r="C17" s="39"/>
      <c r="D17" s="162"/>
      <c r="E17" s="162"/>
      <c r="F17" s="70"/>
      <c r="G17" s="66"/>
      <c r="H17" s="66"/>
      <c r="I17" s="71"/>
      <c r="J17" s="3"/>
      <c r="K17" s="6"/>
      <c r="L17" s="15"/>
      <c r="N17" s="454">
        <v>12</v>
      </c>
      <c r="O17" s="455">
        <v>308.829986572265</v>
      </c>
      <c r="P17" s="455">
        <v>344.881012</v>
      </c>
      <c r="Q17" s="456">
        <v>282.71701050000001</v>
      </c>
      <c r="R17" s="457">
        <v>310.0090027</v>
      </c>
      <c r="S17" s="454">
        <v>12</v>
      </c>
      <c r="T17" s="455">
        <v>285.01299476623473</v>
      </c>
      <c r="U17" s="455">
        <v>332.34900279999999</v>
      </c>
      <c r="V17" s="456">
        <v>412.41217171999995</v>
      </c>
      <c r="W17" s="448">
        <v>386.27799791999996</v>
      </c>
    </row>
    <row r="18" spans="1:23" ht="11.25" customHeight="1">
      <c r="A18" s="17"/>
      <c r="B18" s="162"/>
      <c r="C18" s="39"/>
      <c r="D18" s="162"/>
      <c r="E18" s="162"/>
      <c r="F18" s="70"/>
      <c r="G18" s="66"/>
      <c r="H18" s="66"/>
      <c r="I18" s="71"/>
      <c r="J18" s="3"/>
      <c r="K18" s="6"/>
      <c r="L18" s="15"/>
      <c r="N18" s="454">
        <v>13</v>
      </c>
      <c r="O18" s="455">
        <v>308.829986572265</v>
      </c>
      <c r="P18" s="455">
        <v>338.77499390000003</v>
      </c>
      <c r="Q18" s="456">
        <v>329.68899540000001</v>
      </c>
      <c r="R18" s="457">
        <v>333.91799930000002</v>
      </c>
      <c r="S18" s="454">
        <v>13</v>
      </c>
      <c r="T18" s="455">
        <v>279.96900081634436</v>
      </c>
      <c r="U18" s="455">
        <v>366.02899361000004</v>
      </c>
      <c r="V18" s="456">
        <v>410.83199501000001</v>
      </c>
      <c r="W18" s="448">
        <v>388.98099517000003</v>
      </c>
    </row>
    <row r="19" spans="1:23" ht="11.25" customHeight="1">
      <c r="A19" s="17"/>
      <c r="B19" s="162"/>
      <c r="C19" s="39"/>
      <c r="D19" s="162"/>
      <c r="E19" s="162"/>
      <c r="F19" s="70"/>
      <c r="G19" s="66"/>
      <c r="H19" s="66"/>
      <c r="I19" s="71"/>
      <c r="J19" s="3"/>
      <c r="K19" s="6"/>
      <c r="L19" s="15"/>
      <c r="N19" s="454">
        <v>14</v>
      </c>
      <c r="O19" s="455">
        <v>302.95901489257801</v>
      </c>
      <c r="P19" s="455">
        <v>338.77999390000002</v>
      </c>
      <c r="Q19" s="456">
        <v>329.68899540000001</v>
      </c>
      <c r="R19" s="457">
        <v>335.73699950000002</v>
      </c>
      <c r="S19" s="454">
        <v>14</v>
      </c>
      <c r="T19" s="455">
        <v>286.54100227355917</v>
      </c>
      <c r="U19" s="455">
        <v>382.58400344</v>
      </c>
      <c r="V19" s="456">
        <v>403.70400233999999</v>
      </c>
      <c r="W19" s="448">
        <v>393.36499596000004</v>
      </c>
    </row>
    <row r="20" spans="1:23" ht="11.25" customHeight="1">
      <c r="A20" s="17"/>
      <c r="B20" s="162"/>
      <c r="C20" s="39"/>
      <c r="D20" s="162"/>
      <c r="E20" s="162"/>
      <c r="F20" s="70"/>
      <c r="G20" s="66"/>
      <c r="H20" s="66"/>
      <c r="I20" s="71"/>
      <c r="J20" s="3"/>
      <c r="K20" s="6"/>
      <c r="L20" s="15"/>
      <c r="N20" s="454">
        <v>15</v>
      </c>
      <c r="O20" s="455">
        <v>311.781005859375</v>
      </c>
      <c r="P20" s="455">
        <v>347.94900510000002</v>
      </c>
      <c r="Q20" s="456">
        <v>326.67999270000001</v>
      </c>
      <c r="R20" s="457">
        <v>335.73699950000002</v>
      </c>
      <c r="S20" s="454">
        <v>15</v>
      </c>
      <c r="T20" s="455">
        <v>288.78499984741165</v>
      </c>
      <c r="U20" s="455">
        <v>385.29699126999998</v>
      </c>
      <c r="V20" s="456">
        <v>399.27400204999998</v>
      </c>
      <c r="W20" s="448">
        <v>385.77799804</v>
      </c>
    </row>
    <row r="21" spans="1:23" ht="11.25" customHeight="1">
      <c r="A21" s="17"/>
      <c r="B21" s="162"/>
      <c r="C21" s="39"/>
      <c r="D21" s="162"/>
      <c r="E21" s="162"/>
      <c r="F21" s="70"/>
      <c r="G21" s="66"/>
      <c r="H21" s="66"/>
      <c r="I21" s="71"/>
      <c r="J21" s="3"/>
      <c r="K21" s="7"/>
      <c r="L21" s="16"/>
      <c r="N21" s="454">
        <v>16</v>
      </c>
      <c r="O21" s="455">
        <v>320.69100952148398</v>
      </c>
      <c r="P21" s="455">
        <v>354.11401369999999</v>
      </c>
      <c r="Q21" s="456">
        <v>314.7409973</v>
      </c>
      <c r="R21" s="457">
        <v>335.73699950000002</v>
      </c>
      <c r="S21" s="454">
        <v>16</v>
      </c>
      <c r="T21" s="455">
        <v>293.26400000000001</v>
      </c>
      <c r="U21" s="455">
        <v>384.95899003</v>
      </c>
      <c r="V21" s="456">
        <v>394.58499913000003</v>
      </c>
      <c r="W21" s="448">
        <v>385.72399323999997</v>
      </c>
    </row>
    <row r="22" spans="1:23" ht="11.25" customHeight="1">
      <c r="A22" s="77"/>
      <c r="B22" s="162"/>
      <c r="C22" s="39"/>
      <c r="D22" s="162"/>
      <c r="E22" s="162"/>
      <c r="F22" s="70"/>
      <c r="G22" s="66"/>
      <c r="H22" s="66"/>
      <c r="I22" s="71"/>
      <c r="J22" s="3"/>
      <c r="K22" s="6"/>
      <c r="L22" s="15"/>
      <c r="N22" s="454">
        <v>17</v>
      </c>
      <c r="O22" s="455">
        <v>326.67999267578102</v>
      </c>
      <c r="P22" s="455">
        <v>351.02700809999999</v>
      </c>
      <c r="Q22" s="456">
        <v>305.89001459999997</v>
      </c>
      <c r="R22" s="457">
        <v>335.73699950000002</v>
      </c>
      <c r="S22" s="454">
        <v>17</v>
      </c>
      <c r="T22" s="455">
        <v>292.87300071716299</v>
      </c>
      <c r="U22" s="455">
        <v>381.86699488000005</v>
      </c>
      <c r="V22" s="456">
        <v>392.29800030000007</v>
      </c>
      <c r="W22" s="448">
        <v>388.74200823000001</v>
      </c>
    </row>
    <row r="23" spans="1:23" ht="11.25" customHeight="1">
      <c r="A23" s="77"/>
      <c r="B23" s="162"/>
      <c r="C23" s="39"/>
      <c r="D23" s="162"/>
      <c r="E23" s="162"/>
      <c r="F23" s="70"/>
      <c r="G23" s="66"/>
      <c r="H23" s="66"/>
      <c r="I23" s="71"/>
      <c r="J23" s="3"/>
      <c r="K23" s="6"/>
      <c r="L23" s="15"/>
      <c r="N23" s="454">
        <v>18</v>
      </c>
      <c r="O23" s="455">
        <v>314.74099731445301</v>
      </c>
      <c r="P23" s="455">
        <v>354.11401369999999</v>
      </c>
      <c r="Q23" s="456">
        <v>314.7409973</v>
      </c>
      <c r="R23" s="457">
        <v>335.73699950000002</v>
      </c>
      <c r="S23" s="454">
        <v>18</v>
      </c>
      <c r="T23" s="455">
        <v>289.06400012969908</v>
      </c>
      <c r="U23" s="455">
        <v>382.77999115</v>
      </c>
      <c r="V23" s="456">
        <v>390.15600400999995</v>
      </c>
      <c r="W23" s="448">
        <v>386.49800113000003</v>
      </c>
    </row>
    <row r="24" spans="1:23" ht="11.25" customHeight="1">
      <c r="A24" s="77"/>
      <c r="B24" s="162"/>
      <c r="C24" s="39"/>
      <c r="D24" s="162"/>
      <c r="E24" s="162"/>
      <c r="F24" s="70"/>
      <c r="G24" s="66"/>
      <c r="H24" s="66"/>
      <c r="I24" s="71"/>
      <c r="J24" s="6"/>
      <c r="K24" s="6"/>
      <c r="L24" s="15"/>
      <c r="N24" s="454">
        <v>19</v>
      </c>
      <c r="O24" s="455">
        <v>308.829986572265</v>
      </c>
      <c r="P24" s="455">
        <v>363.43499759999997</v>
      </c>
      <c r="Q24" s="456">
        <v>314.7409973</v>
      </c>
      <c r="R24" s="457">
        <v>314.7409973</v>
      </c>
      <c r="S24" s="454">
        <v>19</v>
      </c>
      <c r="T24" s="455">
        <v>283.7310012817382</v>
      </c>
      <c r="U24" s="455">
        <v>381.91700169999996</v>
      </c>
      <c r="V24" s="456">
        <v>386.47099490999994</v>
      </c>
      <c r="W24" s="448">
        <v>384.38200000000001</v>
      </c>
    </row>
    <row r="25" spans="1:23" ht="11.25" customHeight="1">
      <c r="A25" s="273" t="s">
        <v>508</v>
      </c>
      <c r="B25" s="162"/>
      <c r="C25" s="39"/>
      <c r="D25" s="162"/>
      <c r="E25" s="162"/>
      <c r="F25" s="70"/>
      <c r="G25" s="66"/>
      <c r="H25" s="66"/>
      <c r="I25" s="71"/>
      <c r="J25" s="3"/>
      <c r="K25" s="7"/>
      <c r="L25" s="16"/>
      <c r="N25" s="819">
        <v>20</v>
      </c>
      <c r="O25" s="820">
        <v>308.8</v>
      </c>
      <c r="P25" s="820">
        <v>366.56100459999999</v>
      </c>
      <c r="Q25" s="821">
        <v>314.7409973</v>
      </c>
      <c r="R25" s="822">
        <v>315.3340149</v>
      </c>
      <c r="S25" s="454">
        <v>20</v>
      </c>
      <c r="T25" s="455">
        <v>278.90000000000003</v>
      </c>
      <c r="U25" s="455">
        <v>379.35699083999998</v>
      </c>
      <c r="V25" s="456">
        <v>382.00799562999993</v>
      </c>
      <c r="W25" s="824">
        <v>381.56399727000002</v>
      </c>
    </row>
    <row r="26" spans="1:23" ht="11.25" customHeight="1">
      <c r="A26" s="54"/>
      <c r="B26" s="162"/>
      <c r="C26" s="39"/>
      <c r="D26" s="162"/>
      <c r="E26" s="162"/>
      <c r="F26" s="70"/>
      <c r="G26" s="66"/>
      <c r="H26" s="66"/>
      <c r="I26" s="71"/>
      <c r="J26" s="4"/>
      <c r="K26" s="6"/>
      <c r="L26" s="15"/>
      <c r="N26" s="454">
        <v>21</v>
      </c>
      <c r="O26" s="455">
        <v>311.781005859375</v>
      </c>
      <c r="P26" s="455">
        <v>357.21099850000002</v>
      </c>
      <c r="Q26" s="456">
        <v>314.7409973</v>
      </c>
      <c r="R26" s="823">
        <v>311.78100590000003</v>
      </c>
      <c r="S26" s="454">
        <v>21</v>
      </c>
      <c r="T26" s="455">
        <v>274.65599975585928</v>
      </c>
      <c r="U26" s="455">
        <v>375.59600258</v>
      </c>
      <c r="V26" s="456">
        <v>378.52099610999994</v>
      </c>
      <c r="W26" s="448">
        <v>376.47088237999998</v>
      </c>
    </row>
    <row r="27" spans="1:23" ht="11.25" customHeight="1">
      <c r="A27" s="77"/>
      <c r="B27" s="162"/>
      <c r="C27" s="39"/>
      <c r="D27" s="162"/>
      <c r="E27" s="162"/>
      <c r="F27" s="73"/>
      <c r="G27" s="73"/>
      <c r="H27" s="73"/>
      <c r="I27" s="73"/>
      <c r="J27" s="4"/>
      <c r="K27" s="6"/>
      <c r="L27" s="15"/>
      <c r="N27" s="454">
        <v>22</v>
      </c>
      <c r="O27" s="455">
        <v>314.74</v>
      </c>
      <c r="P27" s="455">
        <v>341.82</v>
      </c>
      <c r="Q27" s="456">
        <v>311.78100590000003</v>
      </c>
      <c r="R27" s="823">
        <v>310.60000609999997</v>
      </c>
      <c r="S27" s="454">
        <v>22</v>
      </c>
      <c r="T27" s="455">
        <v>269.74</v>
      </c>
      <c r="U27" s="455">
        <v>373.52000000000004</v>
      </c>
      <c r="V27" s="456">
        <v>375.20999716</v>
      </c>
      <c r="W27" s="448">
        <v>370.73099807</v>
      </c>
    </row>
    <row r="28" spans="1:23" ht="11.25" customHeight="1">
      <c r="A28" s="77"/>
      <c r="B28" s="162"/>
      <c r="C28" s="39"/>
      <c r="D28" s="162"/>
      <c r="E28" s="162"/>
      <c r="F28" s="73"/>
      <c r="G28" s="73"/>
      <c r="H28" s="73"/>
      <c r="I28" s="73"/>
      <c r="J28" s="4"/>
      <c r="K28" s="6"/>
      <c r="L28" s="15"/>
      <c r="N28" s="454">
        <v>23</v>
      </c>
      <c r="O28" s="455">
        <v>308.83</v>
      </c>
      <c r="P28" s="455">
        <v>326.67999270000001</v>
      </c>
      <c r="Q28" s="456">
        <v>308.82998659999998</v>
      </c>
      <c r="R28" s="823">
        <v>307.06500240000003</v>
      </c>
      <c r="S28" s="454">
        <v>23</v>
      </c>
      <c r="T28" s="455">
        <v>265.4609997</v>
      </c>
      <c r="U28" s="455">
        <v>369.22100255000004</v>
      </c>
      <c r="V28" s="456">
        <v>374.07600211999994</v>
      </c>
      <c r="W28" s="448">
        <v>363.24299430999997</v>
      </c>
    </row>
    <row r="29" spans="1:23" ht="11.25" customHeight="1">
      <c r="A29" s="77"/>
      <c r="B29" s="162"/>
      <c r="C29" s="39"/>
      <c r="D29" s="162"/>
      <c r="E29" s="162"/>
      <c r="F29" s="73"/>
      <c r="G29" s="73"/>
      <c r="H29" s="73"/>
      <c r="I29" s="73"/>
      <c r="J29" s="4"/>
      <c r="K29" s="6"/>
      <c r="L29" s="15"/>
      <c r="N29" s="454">
        <v>24</v>
      </c>
      <c r="O29" s="455">
        <v>300.04000000000002</v>
      </c>
      <c r="P29" s="455">
        <v>308.82998659999998</v>
      </c>
      <c r="Q29" s="456">
        <v>300.0379944</v>
      </c>
      <c r="R29" s="823">
        <v>302.9590149</v>
      </c>
      <c r="S29" s="454">
        <v>24</v>
      </c>
      <c r="T29" s="455">
        <v>261.10000000000002</v>
      </c>
      <c r="U29" s="455">
        <v>364.44200138999997</v>
      </c>
      <c r="V29" s="456">
        <v>370.89200402</v>
      </c>
      <c r="W29" s="448">
        <v>357.21200376000002</v>
      </c>
    </row>
    <row r="30" spans="1:23" ht="11.25" customHeight="1">
      <c r="A30" s="74"/>
      <c r="B30" s="73"/>
      <c r="C30" s="73"/>
      <c r="D30" s="73"/>
      <c r="E30" s="73"/>
      <c r="F30" s="73"/>
      <c r="G30" s="73"/>
      <c r="H30" s="73"/>
      <c r="I30" s="73"/>
      <c r="J30" s="3"/>
      <c r="K30" s="6"/>
      <c r="L30" s="15"/>
      <c r="N30" s="454">
        <v>25</v>
      </c>
      <c r="O30" s="455">
        <v>282.71701050000001</v>
      </c>
      <c r="P30" s="455">
        <v>291.33300780000002</v>
      </c>
      <c r="Q30" s="456">
        <v>294.22500609999997</v>
      </c>
      <c r="R30" s="823">
        <v>300.0379944</v>
      </c>
      <c r="S30" s="454">
        <v>25</v>
      </c>
      <c r="T30" s="455">
        <v>256.25999989000002</v>
      </c>
      <c r="U30" s="455">
        <v>359.61999897999999</v>
      </c>
      <c r="V30" s="456">
        <v>366.71700096999996</v>
      </c>
      <c r="W30" s="448">
        <v>352.1909981</v>
      </c>
    </row>
    <row r="31" spans="1:23" ht="11.25" customHeight="1">
      <c r="A31" s="74"/>
      <c r="B31" s="73"/>
      <c r="C31" s="73"/>
      <c r="D31" s="73"/>
      <c r="E31" s="73"/>
      <c r="F31" s="73"/>
      <c r="G31" s="73"/>
      <c r="H31" s="73"/>
      <c r="I31" s="73"/>
      <c r="J31" s="3"/>
      <c r="K31" s="6"/>
      <c r="L31" s="15"/>
      <c r="N31" s="454">
        <v>26</v>
      </c>
      <c r="O31" s="455">
        <v>262.95300292968699</v>
      </c>
      <c r="P31" s="455">
        <v>268.55099489999998</v>
      </c>
      <c r="Q31" s="456">
        <v>282.71701050000001</v>
      </c>
      <c r="R31" s="823">
        <v>296.06698610000001</v>
      </c>
      <c r="S31" s="454">
        <v>26</v>
      </c>
      <c r="T31" s="455">
        <v>252.54899978637627</v>
      </c>
      <c r="U31" s="455">
        <v>354.77499773999995</v>
      </c>
      <c r="V31" s="456">
        <v>361.43599508999995</v>
      </c>
      <c r="W31" s="448">
        <v>346.62612917400003</v>
      </c>
    </row>
    <row r="32" spans="1:23" ht="11.25" customHeight="1">
      <c r="A32" s="74"/>
      <c r="B32" s="73"/>
      <c r="C32" s="73"/>
      <c r="D32" s="73"/>
      <c r="E32" s="73"/>
      <c r="F32" s="73"/>
      <c r="G32" s="73"/>
      <c r="H32" s="73"/>
      <c r="I32" s="73"/>
      <c r="J32" s="3"/>
      <c r="K32" s="6"/>
      <c r="L32" s="15"/>
      <c r="N32" s="454">
        <v>27</v>
      </c>
      <c r="O32" s="455">
        <v>254.63000489999999</v>
      </c>
      <c r="P32" s="455">
        <v>265.7470093</v>
      </c>
      <c r="Q32" s="456">
        <v>271.36</v>
      </c>
      <c r="R32" s="823">
        <v>275.89</v>
      </c>
      <c r="S32" s="454">
        <v>27</v>
      </c>
      <c r="T32" s="455">
        <v>248.26700022</v>
      </c>
      <c r="U32" s="455">
        <v>349.77999684000002</v>
      </c>
      <c r="V32" s="456">
        <v>355.34</v>
      </c>
      <c r="W32" s="448">
        <v>341.25900444999996</v>
      </c>
    </row>
    <row r="33" spans="1:23" ht="11.25" customHeight="1">
      <c r="A33" s="74"/>
      <c r="B33" s="73"/>
      <c r="C33" s="73"/>
      <c r="D33" s="73"/>
      <c r="E33" s="73"/>
      <c r="F33" s="73"/>
      <c r="G33" s="73"/>
      <c r="H33" s="73"/>
      <c r="I33" s="73"/>
      <c r="J33" s="3"/>
      <c r="K33" s="6"/>
      <c r="L33" s="15"/>
      <c r="N33" s="454">
        <v>28</v>
      </c>
      <c r="O33" s="455">
        <v>240.9539948</v>
      </c>
      <c r="P33" s="458">
        <v>243.66999820000001</v>
      </c>
      <c r="Q33" s="456">
        <v>260.16900629999998</v>
      </c>
      <c r="R33" s="823">
        <v>248.58200070000001</v>
      </c>
      <c r="S33" s="454">
        <v>28</v>
      </c>
      <c r="T33" s="455">
        <v>243.86400222</v>
      </c>
      <c r="U33" s="455">
        <v>344.32400322999996</v>
      </c>
      <c r="V33" s="456">
        <v>349.01599981000004</v>
      </c>
      <c r="W33" s="448">
        <v>337.18899436699996</v>
      </c>
    </row>
    <row r="34" spans="1:23" ht="11.25" customHeight="1">
      <c r="A34" s="74"/>
      <c r="B34" s="73"/>
      <c r="C34" s="73"/>
      <c r="D34" s="73"/>
      <c r="E34" s="73"/>
      <c r="F34" s="73"/>
      <c r="G34" s="73"/>
      <c r="H34" s="73"/>
      <c r="I34" s="73"/>
      <c r="J34" s="3"/>
      <c r="K34" s="6"/>
      <c r="L34" s="15"/>
      <c r="N34" s="454">
        <v>29</v>
      </c>
      <c r="O34" s="455">
        <v>227.5220032</v>
      </c>
      <c r="P34" s="455">
        <v>227.5220032</v>
      </c>
      <c r="Q34" s="456">
        <v>251.88</v>
      </c>
      <c r="R34" s="823">
        <v>238.787994384765</v>
      </c>
      <c r="S34" s="454">
        <v>29</v>
      </c>
      <c r="T34" s="455">
        <v>239.07999988</v>
      </c>
      <c r="U34" s="455">
        <v>338.60699847999996</v>
      </c>
      <c r="V34" s="456">
        <v>343.97999999999996</v>
      </c>
      <c r="W34" s="448">
        <v>333.50600986443789</v>
      </c>
    </row>
    <row r="35" spans="1:23" ht="11.25" customHeight="1">
      <c r="A35" s="74"/>
      <c r="B35" s="73"/>
      <c r="C35" s="73"/>
      <c r="D35" s="73"/>
      <c r="E35" s="73"/>
      <c r="F35" s="73"/>
      <c r="G35" s="73"/>
      <c r="H35" s="73"/>
      <c r="I35" s="73"/>
      <c r="J35" s="6"/>
      <c r="K35" s="6"/>
      <c r="L35" s="15"/>
      <c r="N35" s="454">
        <v>30</v>
      </c>
      <c r="O35" s="455">
        <v>216.95199584960901</v>
      </c>
      <c r="P35" s="455">
        <v>216.95199579999999</v>
      </c>
      <c r="Q35" s="456">
        <v>232.8650055</v>
      </c>
      <c r="R35" s="823">
        <v>229.12</v>
      </c>
      <c r="S35" s="454">
        <v>30</v>
      </c>
      <c r="T35" s="455">
        <v>234.2539968490598</v>
      </c>
      <c r="U35" s="455">
        <v>332.49400331000004</v>
      </c>
      <c r="V35" s="456">
        <v>342.06599807739167</v>
      </c>
      <c r="W35" s="448">
        <v>324.04999999999995</v>
      </c>
    </row>
    <row r="36" spans="1:23" ht="11.25" customHeight="1">
      <c r="A36" s="74"/>
      <c r="B36" s="73"/>
      <c r="C36" s="73"/>
      <c r="D36" s="73"/>
      <c r="E36" s="73"/>
      <c r="F36" s="73"/>
      <c r="G36" s="73"/>
      <c r="H36" s="73"/>
      <c r="I36" s="73"/>
      <c r="J36" s="3"/>
      <c r="K36" s="6"/>
      <c r="L36" s="15"/>
      <c r="N36" s="454">
        <v>31</v>
      </c>
      <c r="O36" s="455">
        <v>216.95199579999999</v>
      </c>
      <c r="P36" s="455">
        <v>209.128006</v>
      </c>
      <c r="Q36" s="456">
        <v>211.726</v>
      </c>
      <c r="R36" s="823">
        <v>219.05400090000001</v>
      </c>
      <c r="S36" s="454">
        <v>31</v>
      </c>
      <c r="T36" s="455">
        <v>229.68000125999998</v>
      </c>
      <c r="U36" s="455">
        <v>324</v>
      </c>
      <c r="V36" s="456">
        <v>335.23199999999997</v>
      </c>
      <c r="W36" s="448">
        <v>318.10600236499999</v>
      </c>
    </row>
    <row r="37" spans="1:23" ht="11.25" customHeight="1">
      <c r="A37" s="74"/>
      <c r="B37" s="73"/>
      <c r="C37" s="73"/>
      <c r="D37" s="73"/>
      <c r="E37" s="73"/>
      <c r="F37" s="73"/>
      <c r="G37" s="73"/>
      <c r="H37" s="73"/>
      <c r="I37" s="73"/>
      <c r="J37" s="3"/>
      <c r="K37" s="10"/>
      <c r="L37" s="15"/>
      <c r="N37" s="454">
        <v>32</v>
      </c>
      <c r="O37" s="455">
        <v>201.39199830000001</v>
      </c>
      <c r="P37" s="455">
        <v>198.83200070000001</v>
      </c>
      <c r="Q37" s="456">
        <v>181.19200129999999</v>
      </c>
      <c r="R37" s="457">
        <v>209.128006</v>
      </c>
      <c r="S37" s="454">
        <v>32</v>
      </c>
      <c r="T37" s="455">
        <v>224.73799990999998</v>
      </c>
      <c r="U37" s="455">
        <v>320.73399734000003</v>
      </c>
      <c r="V37" s="456">
        <v>329.56800555999996</v>
      </c>
      <c r="W37" s="448">
        <v>312.078003352</v>
      </c>
    </row>
    <row r="38" spans="1:23" ht="11.25" customHeight="1">
      <c r="A38" s="74"/>
      <c r="B38" s="73"/>
      <c r="C38" s="73"/>
      <c r="D38" s="73"/>
      <c r="E38" s="73"/>
      <c r="F38" s="73"/>
      <c r="G38" s="73"/>
      <c r="H38" s="73"/>
      <c r="I38" s="73"/>
      <c r="J38" s="3"/>
      <c r="K38" s="10"/>
      <c r="L38" s="38"/>
      <c r="N38" s="454">
        <v>33</v>
      </c>
      <c r="O38" s="455">
        <v>193.74299621582</v>
      </c>
      <c r="P38" s="455">
        <v>188.69299319999999</v>
      </c>
      <c r="Q38" s="456">
        <v>152.0650024</v>
      </c>
      <c r="R38" s="457">
        <v>199.85499569999999</v>
      </c>
      <c r="S38" s="454">
        <v>33</v>
      </c>
      <c r="T38" s="455">
        <v>219.00299835205058</v>
      </c>
      <c r="U38" s="455">
        <v>314.19900131999998</v>
      </c>
      <c r="V38" s="456">
        <v>323.79099748000004</v>
      </c>
      <c r="W38" s="448">
        <v>312.078003352</v>
      </c>
    </row>
    <row r="39" spans="1:23" ht="11.25" customHeight="1">
      <c r="A39" s="74"/>
      <c r="B39" s="73"/>
      <c r="C39" s="73"/>
      <c r="D39" s="73"/>
      <c r="E39" s="73"/>
      <c r="F39" s="73"/>
      <c r="G39" s="73"/>
      <c r="H39" s="73"/>
      <c r="I39" s="73"/>
      <c r="J39" s="3"/>
      <c r="K39" s="7"/>
      <c r="L39" s="15"/>
      <c r="N39" s="454">
        <v>34</v>
      </c>
      <c r="O39" s="455">
        <v>181.19200129999999</v>
      </c>
      <c r="P39" s="455">
        <v>183.68200680000001</v>
      </c>
      <c r="Q39" s="456">
        <v>156.8220062</v>
      </c>
      <c r="R39" s="457">
        <v>188.69299319999999</v>
      </c>
      <c r="S39" s="454">
        <v>34</v>
      </c>
      <c r="T39" s="455">
        <v>214.38699817</v>
      </c>
      <c r="U39" s="455">
        <v>307.85200500000002</v>
      </c>
      <c r="V39" s="456">
        <v>317.64699750999995</v>
      </c>
      <c r="W39" s="448">
        <v>299.58200316099999</v>
      </c>
    </row>
    <row r="40" spans="1:23" ht="11.25" customHeight="1">
      <c r="A40" s="74"/>
      <c r="B40" s="73"/>
      <c r="C40" s="73"/>
      <c r="D40" s="73"/>
      <c r="E40" s="73"/>
      <c r="F40" s="73"/>
      <c r="G40" s="73"/>
      <c r="H40" s="73"/>
      <c r="I40" s="73"/>
      <c r="J40" s="3"/>
      <c r="K40" s="7"/>
      <c r="L40" s="15"/>
      <c r="N40" s="454">
        <v>35</v>
      </c>
      <c r="O40" s="455">
        <v>171.32600400000001</v>
      </c>
      <c r="P40" s="459">
        <v>176.23899840000001</v>
      </c>
      <c r="Q40" s="456">
        <v>156.82</v>
      </c>
      <c r="R40" s="457">
        <v>177.72099299999999</v>
      </c>
      <c r="S40" s="454">
        <v>35</v>
      </c>
      <c r="T40" s="455">
        <v>208.95000171000001</v>
      </c>
      <c r="U40" s="455">
        <v>300.83900069999999</v>
      </c>
      <c r="V40" s="456">
        <v>311.42</v>
      </c>
      <c r="W40" s="448">
        <v>292.71899843200003</v>
      </c>
    </row>
    <row r="41" spans="1:23" ht="11.25" customHeight="1">
      <c r="A41" s="74"/>
      <c r="B41" s="73"/>
      <c r="C41" s="73"/>
      <c r="D41" s="73"/>
      <c r="E41" s="73"/>
      <c r="F41" s="73"/>
      <c r="G41" s="73"/>
      <c r="H41" s="73"/>
      <c r="I41" s="73"/>
      <c r="J41" s="3"/>
      <c r="K41" s="7"/>
      <c r="L41" s="15"/>
      <c r="N41" s="454">
        <v>36</v>
      </c>
      <c r="O41" s="455">
        <v>164.02999879999999</v>
      </c>
      <c r="P41" s="459">
        <v>168.8840027</v>
      </c>
      <c r="Q41" s="456">
        <v>159.21</v>
      </c>
      <c r="R41" s="457">
        <v>164.99800110000001</v>
      </c>
      <c r="S41" s="454">
        <v>36</v>
      </c>
      <c r="T41" s="455">
        <v>202.97300145000003</v>
      </c>
      <c r="U41" s="455">
        <v>293.46100233999999</v>
      </c>
      <c r="V41" s="456">
        <v>305.20999999999998</v>
      </c>
      <c r="W41" s="448">
        <v>286.64699412499999</v>
      </c>
    </row>
    <row r="42" spans="1:23" ht="11.25" customHeight="1">
      <c r="A42" s="74"/>
      <c r="B42" s="73"/>
      <c r="C42" s="73"/>
      <c r="D42" s="73"/>
      <c r="E42" s="73"/>
      <c r="F42" s="73"/>
      <c r="G42" s="73"/>
      <c r="H42" s="73"/>
      <c r="I42" s="73"/>
      <c r="J42" s="6"/>
      <c r="K42" s="10"/>
      <c r="L42" s="15"/>
      <c r="N42" s="454">
        <v>37</v>
      </c>
      <c r="O42" s="455">
        <v>147.34800720000001</v>
      </c>
      <c r="P42" s="459">
        <v>159.2149963</v>
      </c>
      <c r="Q42" s="456">
        <v>159.2149963</v>
      </c>
      <c r="R42" s="457">
        <v>154.53400055</v>
      </c>
      <c r="S42" s="454">
        <v>37</v>
      </c>
      <c r="T42" s="455">
        <v>196.95000080099999</v>
      </c>
      <c r="U42" s="455">
        <v>287.76599501999999</v>
      </c>
      <c r="V42" s="456">
        <v>299.17000225600003</v>
      </c>
      <c r="W42" s="448">
        <v>280.605003845</v>
      </c>
    </row>
    <row r="43" spans="1:23" ht="11.25" customHeight="1">
      <c r="A43" s="74"/>
      <c r="B43" s="73"/>
      <c r="C43" s="73"/>
      <c r="D43" s="73"/>
      <c r="E43" s="73"/>
      <c r="F43" s="73"/>
      <c r="G43" s="73"/>
      <c r="H43" s="73"/>
      <c r="I43" s="73"/>
      <c r="J43" s="3"/>
      <c r="K43" s="10"/>
      <c r="L43" s="15"/>
      <c r="N43" s="454">
        <v>38</v>
      </c>
      <c r="O43" s="455">
        <v>131.14500430000001</v>
      </c>
      <c r="P43" s="459">
        <v>149.70199579999999</v>
      </c>
      <c r="Q43" s="456">
        <v>149.70199579999999</v>
      </c>
      <c r="R43" s="457">
        <v>144.07</v>
      </c>
      <c r="S43" s="454">
        <v>38</v>
      </c>
      <c r="T43" s="455">
        <v>190.78400421900002</v>
      </c>
      <c r="U43" s="455">
        <v>282.07300377000001</v>
      </c>
      <c r="V43" s="456">
        <v>292.45899891799996</v>
      </c>
      <c r="W43" s="448">
        <v>274.21999999999997</v>
      </c>
    </row>
    <row r="44" spans="1:23" ht="11.25" customHeight="1">
      <c r="A44" s="74"/>
      <c r="B44" s="73"/>
      <c r="C44" s="73"/>
      <c r="D44" s="73"/>
      <c r="E44" s="73"/>
      <c r="F44" s="73"/>
      <c r="G44" s="73"/>
      <c r="H44" s="73"/>
      <c r="I44" s="73"/>
      <c r="J44" s="3"/>
      <c r="K44" s="10"/>
      <c r="L44" s="15"/>
      <c r="N44" s="454">
        <v>39</v>
      </c>
      <c r="O44" s="455">
        <v>119.8639984</v>
      </c>
      <c r="P44" s="459">
        <v>138.02999879999999</v>
      </c>
      <c r="Q44" s="456">
        <v>117.6380005</v>
      </c>
      <c r="R44" s="457">
        <v>135.725006103515</v>
      </c>
      <c r="S44" s="454">
        <v>39</v>
      </c>
      <c r="T44" s="455">
        <v>184.44099947499998</v>
      </c>
      <c r="U44" s="455">
        <v>275.53000069000001</v>
      </c>
      <c r="V44" s="456">
        <v>286.11999916000002</v>
      </c>
      <c r="W44" s="448">
        <v>267.58499765396107</v>
      </c>
    </row>
    <row r="45" spans="1:23" ht="11.25" customHeight="1">
      <c r="A45" s="74"/>
      <c r="B45" s="73"/>
      <c r="C45" s="73"/>
      <c r="D45" s="73"/>
      <c r="E45" s="73"/>
      <c r="F45" s="73"/>
      <c r="G45" s="73"/>
      <c r="H45" s="73"/>
      <c r="I45" s="73"/>
      <c r="J45" s="11"/>
      <c r="K45" s="11"/>
      <c r="L45" s="11"/>
      <c r="N45" s="454">
        <v>40</v>
      </c>
      <c r="O45" s="455">
        <v>119.8639984</v>
      </c>
      <c r="P45" s="455">
        <v>131.14500430000001</v>
      </c>
      <c r="Q45" s="456">
        <v>91.680000309999997</v>
      </c>
      <c r="R45" s="457"/>
      <c r="S45" s="454">
        <v>40</v>
      </c>
      <c r="T45" s="455">
        <v>177.93399906500002</v>
      </c>
      <c r="U45" s="455">
        <v>268.25699615000002</v>
      </c>
      <c r="V45" s="456">
        <v>278.57999837699998</v>
      </c>
    </row>
    <row r="46" spans="1:23" ht="11.25" customHeight="1">
      <c r="A46" s="74"/>
      <c r="B46" s="73"/>
      <c r="C46" s="73"/>
      <c r="D46" s="73"/>
      <c r="E46" s="73"/>
      <c r="F46" s="73"/>
      <c r="G46" s="73"/>
      <c r="H46" s="73"/>
      <c r="I46" s="73"/>
      <c r="J46" s="11"/>
      <c r="K46" s="11"/>
      <c r="L46" s="11"/>
      <c r="N46" s="454">
        <v>41</v>
      </c>
      <c r="O46" s="455">
        <v>113.213996887207</v>
      </c>
      <c r="P46" s="455">
        <v>108.82900239999999</v>
      </c>
      <c r="Q46" s="456">
        <v>71.125</v>
      </c>
      <c r="R46" s="457"/>
      <c r="S46" s="454">
        <v>41</v>
      </c>
      <c r="T46" s="455">
        <v>171.68900227546672</v>
      </c>
      <c r="U46" s="455">
        <v>261.21399689000003</v>
      </c>
      <c r="V46" s="456">
        <v>271.23250496387476</v>
      </c>
    </row>
    <row r="47" spans="1:23" ht="11.25" customHeight="1">
      <c r="A47" s="74"/>
      <c r="B47" s="73"/>
      <c r="C47" s="73"/>
      <c r="D47" s="73"/>
      <c r="E47" s="73"/>
      <c r="F47" s="73"/>
      <c r="G47" s="73"/>
      <c r="H47" s="73"/>
      <c r="I47" s="73"/>
      <c r="J47" s="11"/>
      <c r="K47" s="11"/>
      <c r="L47" s="11"/>
      <c r="N47" s="454">
        <v>42</v>
      </c>
      <c r="O47" s="455">
        <v>100.1760025</v>
      </c>
      <c r="P47" s="455">
        <v>95.908996579999993</v>
      </c>
      <c r="Q47" s="456">
        <v>59.261001586913999</v>
      </c>
      <c r="R47" s="457"/>
      <c r="S47" s="454">
        <v>42</v>
      </c>
      <c r="T47" s="455">
        <v>165.69499874400003</v>
      </c>
      <c r="U47" s="455">
        <v>255.58900451</v>
      </c>
      <c r="V47" s="456">
        <v>256.27199935913058</v>
      </c>
    </row>
    <row r="48" spans="1:23" ht="11.25" customHeight="1">
      <c r="A48" s="74"/>
      <c r="B48" s="73"/>
      <c r="C48" s="73"/>
      <c r="D48" s="73"/>
      <c r="E48" s="73"/>
      <c r="F48" s="73"/>
      <c r="G48" s="73"/>
      <c r="H48" s="73"/>
      <c r="I48" s="73"/>
      <c r="J48" s="11"/>
      <c r="K48" s="11"/>
      <c r="L48" s="11"/>
      <c r="N48" s="454">
        <v>43</v>
      </c>
      <c r="O48" s="455">
        <v>89.581001279999995</v>
      </c>
      <c r="P48" s="455">
        <v>83.341003420000007</v>
      </c>
      <c r="Q48" s="456">
        <v>47.749000549316399</v>
      </c>
      <c r="R48" s="457"/>
      <c r="S48" s="454">
        <v>43</v>
      </c>
      <c r="T48" s="455">
        <v>160.397996525</v>
      </c>
      <c r="U48" s="455">
        <v>249.85500335</v>
      </c>
      <c r="V48" s="456">
        <v>249.67099761962871</v>
      </c>
    </row>
    <row r="49" spans="1:22" ht="11.25" customHeight="1">
      <c r="A49" s="74"/>
      <c r="B49" s="73"/>
      <c r="C49" s="73"/>
      <c r="D49" s="73"/>
      <c r="E49" s="73"/>
      <c r="F49" s="73"/>
      <c r="G49" s="73"/>
      <c r="H49" s="73"/>
      <c r="I49" s="73"/>
      <c r="J49" s="11"/>
      <c r="K49" s="11"/>
      <c r="L49" s="11"/>
      <c r="N49" s="454">
        <v>44</v>
      </c>
      <c r="O49" s="455">
        <v>75.156997680000003</v>
      </c>
      <c r="P49" s="455">
        <v>75.16</v>
      </c>
      <c r="Q49" s="456">
        <v>38.424999239999998</v>
      </c>
      <c r="R49" s="457"/>
      <c r="S49" s="454">
        <v>44</v>
      </c>
      <c r="T49" s="455">
        <v>154.79199918699999</v>
      </c>
      <c r="U49" s="455">
        <v>242.79000000000002</v>
      </c>
      <c r="V49" s="456">
        <v>249.67099761962871</v>
      </c>
    </row>
    <row r="50" spans="1:22" ht="12.75">
      <c r="A50" s="74"/>
      <c r="B50" s="73"/>
      <c r="C50" s="73"/>
      <c r="D50" s="73"/>
      <c r="E50" s="73"/>
      <c r="F50" s="73"/>
      <c r="G50" s="73"/>
      <c r="H50" s="73"/>
      <c r="I50" s="73"/>
      <c r="J50" s="11"/>
      <c r="K50" s="11"/>
      <c r="L50" s="11"/>
      <c r="N50" s="454">
        <v>45</v>
      </c>
      <c r="O50" s="455">
        <v>61.2140007</v>
      </c>
      <c r="P50" s="455">
        <v>65.149002080000002</v>
      </c>
      <c r="Q50" s="456">
        <v>31.142000199999998</v>
      </c>
      <c r="R50" s="457"/>
      <c r="S50" s="454">
        <v>45</v>
      </c>
      <c r="T50" s="455">
        <v>149.715000041</v>
      </c>
      <c r="U50" s="455">
        <v>235.60499572000001</v>
      </c>
      <c r="V50" s="456">
        <v>243.378839739</v>
      </c>
    </row>
    <row r="51" spans="1:22" ht="12.75">
      <c r="A51" s="74"/>
      <c r="B51" s="73"/>
      <c r="C51" s="73"/>
      <c r="D51" s="73"/>
      <c r="E51" s="73"/>
      <c r="F51" s="73"/>
      <c r="G51" s="73"/>
      <c r="H51" s="73"/>
      <c r="I51" s="73"/>
      <c r="J51" s="11"/>
      <c r="K51" s="11"/>
      <c r="L51" s="11"/>
      <c r="N51" s="454">
        <v>46</v>
      </c>
      <c r="O51" s="455">
        <v>43.990001679999999</v>
      </c>
      <c r="P51" s="455">
        <v>47.749000549999998</v>
      </c>
      <c r="Q51" s="456">
        <v>22.26</v>
      </c>
      <c r="R51" s="457"/>
      <c r="S51" s="454">
        <v>46</v>
      </c>
      <c r="T51" s="455">
        <v>144.11800040400001</v>
      </c>
      <c r="U51" s="455">
        <v>230.54900361099999</v>
      </c>
      <c r="V51" s="456">
        <v>236.34</v>
      </c>
    </row>
    <row r="52" spans="1:22" ht="12.75">
      <c r="A52" s="74"/>
      <c r="B52" s="73"/>
      <c r="C52" s="73"/>
      <c r="D52" s="73"/>
      <c r="E52" s="73"/>
      <c r="F52" s="73"/>
      <c r="G52" s="73"/>
      <c r="H52" s="73"/>
      <c r="I52" s="73"/>
      <c r="J52" s="11"/>
      <c r="K52" s="11"/>
      <c r="L52" s="11"/>
      <c r="N52" s="454">
        <v>47</v>
      </c>
      <c r="O52" s="455">
        <v>25.781999590000002</v>
      </c>
      <c r="P52" s="455">
        <v>34.763999939999998</v>
      </c>
      <c r="Q52" s="456">
        <v>17.044000629999999</v>
      </c>
      <c r="R52" s="457"/>
      <c r="S52" s="454">
        <v>47</v>
      </c>
      <c r="T52" s="455">
        <v>138.82499813000001</v>
      </c>
      <c r="U52" s="455">
        <v>223.60000467499998</v>
      </c>
      <c r="V52" s="456">
        <v>227.62000255999999</v>
      </c>
    </row>
    <row r="53" spans="1:22" ht="12.75">
      <c r="A53" s="74"/>
      <c r="B53" s="73"/>
      <c r="C53" s="73"/>
      <c r="D53" s="73"/>
      <c r="E53" s="73"/>
      <c r="F53" s="73"/>
      <c r="G53" s="73"/>
      <c r="H53" s="73"/>
      <c r="I53" s="73"/>
      <c r="J53" s="11"/>
      <c r="K53" s="11"/>
      <c r="L53" s="11"/>
      <c r="N53" s="454">
        <v>48</v>
      </c>
      <c r="O53" s="455">
        <v>29.344999309999999</v>
      </c>
      <c r="P53" s="455">
        <v>13.618000029999999</v>
      </c>
      <c r="Q53" s="456">
        <v>36.5890007</v>
      </c>
      <c r="R53" s="457"/>
      <c r="S53" s="454">
        <v>48</v>
      </c>
      <c r="T53" s="455">
        <v>133.112998957</v>
      </c>
      <c r="U53" s="455">
        <v>217.17600035300001</v>
      </c>
      <c r="V53" s="456">
        <v>220.01436420799999</v>
      </c>
    </row>
    <row r="54" spans="1:22" ht="13.5">
      <c r="A54" s="74"/>
      <c r="B54" s="73"/>
      <c r="C54" s="73"/>
      <c r="D54" s="73"/>
      <c r="E54" s="73"/>
      <c r="F54" s="73"/>
      <c r="G54" s="73"/>
      <c r="H54" s="73"/>
      <c r="I54" s="73"/>
      <c r="J54" s="11"/>
      <c r="K54" s="11"/>
      <c r="L54" s="11"/>
      <c r="N54" s="454">
        <v>49</v>
      </c>
      <c r="O54" s="460">
        <v>34.763999939999998</v>
      </c>
      <c r="P54" s="455">
        <v>8.5520000459999999</v>
      </c>
      <c r="Q54" s="456">
        <v>36.590000000000003</v>
      </c>
      <c r="R54" s="457"/>
      <c r="S54" s="454">
        <v>49</v>
      </c>
      <c r="T54" s="455">
        <v>128.370002666</v>
      </c>
      <c r="U54" s="455">
        <v>210.45100211699997</v>
      </c>
      <c r="V54" s="456">
        <v>212.37999999999997</v>
      </c>
    </row>
    <row r="55" spans="1:22" ht="12.75">
      <c r="A55" s="74"/>
      <c r="B55" s="73"/>
      <c r="C55" s="73"/>
      <c r="D55" s="73"/>
      <c r="E55" s="73"/>
      <c r="F55" s="73"/>
      <c r="G55" s="73"/>
      <c r="H55" s="73"/>
      <c r="I55" s="73"/>
      <c r="J55" s="11"/>
      <c r="K55" s="11"/>
      <c r="L55" s="11"/>
      <c r="N55" s="454">
        <v>50</v>
      </c>
      <c r="O55" s="455">
        <v>32.948001859999998</v>
      </c>
      <c r="P55" s="455">
        <v>13.618000029999999</v>
      </c>
      <c r="Q55" s="456">
        <v>34.763999939999998</v>
      </c>
      <c r="R55" s="457"/>
      <c r="S55" s="454">
        <v>50</v>
      </c>
      <c r="T55" s="455">
        <v>122.71499820000001</v>
      </c>
      <c r="U55" s="455">
        <v>203.37099885499998</v>
      </c>
      <c r="V55" s="456">
        <v>205.46782675599999</v>
      </c>
    </row>
    <row r="56" spans="1:22" ht="12.75">
      <c r="A56" s="74"/>
      <c r="B56" s="73"/>
      <c r="C56" s="73"/>
      <c r="D56" s="73"/>
      <c r="E56" s="73"/>
      <c r="F56" s="73"/>
      <c r="G56" s="73"/>
      <c r="H56" s="73"/>
      <c r="I56" s="73"/>
      <c r="J56" s="11"/>
      <c r="K56" s="11"/>
      <c r="L56" s="11"/>
      <c r="N56" s="454">
        <v>51</v>
      </c>
      <c r="O56" s="455">
        <v>25.781999590000002</v>
      </c>
      <c r="P56" s="455">
        <v>18.771999359999999</v>
      </c>
      <c r="Q56" s="456">
        <v>38.4</v>
      </c>
      <c r="R56" s="457"/>
      <c r="S56" s="454">
        <v>51</v>
      </c>
      <c r="T56" s="455">
        <v>120.15600296300001</v>
      </c>
      <c r="U56" s="455">
        <v>202.35899971500001</v>
      </c>
      <c r="V56" s="456">
        <v>199</v>
      </c>
    </row>
    <row r="57" spans="1:22" ht="12.75">
      <c r="A57" s="74"/>
      <c r="B57" s="73"/>
      <c r="C57" s="73"/>
      <c r="D57" s="73"/>
      <c r="E57" s="73"/>
      <c r="F57" s="73"/>
      <c r="G57" s="73"/>
      <c r="H57" s="73"/>
      <c r="I57" s="73"/>
      <c r="N57" s="454">
        <v>52</v>
      </c>
      <c r="O57" s="455">
        <v>22.256999969999999</v>
      </c>
      <c r="P57" s="455">
        <v>25.781999590000002</v>
      </c>
      <c r="Q57" s="456">
        <v>59.261001589999999</v>
      </c>
      <c r="R57" s="457"/>
      <c r="S57" s="454">
        <v>52</v>
      </c>
      <c r="T57" s="455">
        <v>116.12899696700001</v>
      </c>
      <c r="U57" s="455">
        <v>201.25199794899999</v>
      </c>
      <c r="V57" s="456">
        <v>192.88799664499999</v>
      </c>
    </row>
    <row r="58" spans="1:22" ht="12.75">
      <c r="A58" s="74"/>
      <c r="B58" s="73"/>
      <c r="C58" s="73"/>
      <c r="D58" s="73"/>
      <c r="E58" s="73"/>
      <c r="F58" s="73"/>
      <c r="G58" s="73"/>
      <c r="H58" s="73"/>
      <c r="I58" s="73"/>
      <c r="N58" s="454">
        <v>53</v>
      </c>
      <c r="O58" s="457"/>
      <c r="P58" s="457"/>
      <c r="Q58" s="457"/>
      <c r="R58" s="457"/>
      <c r="S58" s="454">
        <v>53</v>
      </c>
      <c r="T58" s="455"/>
      <c r="U58" s="455"/>
      <c r="V58" s="456"/>
    </row>
    <row r="59" spans="1:22" ht="12.75">
      <c r="B59" s="73"/>
      <c r="C59" s="73"/>
      <c r="D59" s="73"/>
      <c r="E59" s="73"/>
      <c r="F59" s="73"/>
      <c r="G59" s="73"/>
      <c r="H59" s="73"/>
      <c r="I59" s="73"/>
    </row>
    <row r="60" spans="1:22" ht="12.75">
      <c r="A60" s="74"/>
      <c r="B60" s="73"/>
      <c r="C60" s="73"/>
      <c r="D60" s="73"/>
      <c r="E60" s="73"/>
      <c r="F60" s="73"/>
      <c r="G60" s="73"/>
      <c r="H60" s="73"/>
      <c r="I60" s="73"/>
    </row>
    <row r="63" spans="1:22">
      <c r="A63" s="273" t="s">
        <v>509</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13"/>
  <sheetViews>
    <sheetView showGridLines="0" view="pageBreakPreview" zoomScale="115" zoomScaleNormal="100" zoomScaleSheetLayoutView="115" zoomScalePageLayoutView="130" workbookViewId="0">
      <selection activeCell="P22" sqref="P22"/>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48"/>
    <col min="12" max="12" width="3.1640625" style="449" bestFit="1" customWidth="1"/>
    <col min="13" max="21" width="9.33203125" style="448"/>
  </cols>
  <sheetData>
    <row r="1" spans="1:15" ht="11.25" customHeight="1"/>
    <row r="2" spans="1:15" ht="11.25" customHeight="1">
      <c r="A2" s="17"/>
      <c r="B2" s="17"/>
      <c r="C2" s="17"/>
      <c r="D2" s="17"/>
      <c r="E2" s="73"/>
      <c r="F2" s="73"/>
      <c r="G2" s="73"/>
    </row>
    <row r="3" spans="1:15" ht="17.25" customHeight="1">
      <c r="A3" s="948" t="s">
        <v>443</v>
      </c>
      <c r="B3" s="948"/>
      <c r="C3" s="948"/>
      <c r="D3" s="948"/>
      <c r="E3" s="948"/>
      <c r="F3" s="948"/>
      <c r="G3" s="948"/>
      <c r="H3" s="36"/>
      <c r="I3" s="36"/>
      <c r="K3" s="448" t="s">
        <v>273</v>
      </c>
      <c r="M3" s="448" t="s">
        <v>274</v>
      </c>
      <c r="N3" s="448" t="s">
        <v>275</v>
      </c>
      <c r="O3" s="448" t="s">
        <v>276</v>
      </c>
    </row>
    <row r="4" spans="1:15" ht="11.25" customHeight="1">
      <c r="A4" s="74"/>
      <c r="B4" s="73"/>
      <c r="C4" s="73"/>
      <c r="D4" s="73"/>
      <c r="E4" s="73"/>
      <c r="F4" s="73"/>
      <c r="G4" s="73"/>
      <c r="H4" s="36"/>
      <c r="I4" s="36"/>
      <c r="J4" s="25">
        <v>2016</v>
      </c>
      <c r="K4" s="448">
        <v>1</v>
      </c>
      <c r="L4" s="449">
        <v>1</v>
      </c>
      <c r="M4" s="450">
        <v>40.61</v>
      </c>
      <c r="N4" s="450">
        <v>96.75</v>
      </c>
      <c r="O4" s="450">
        <v>16.37</v>
      </c>
    </row>
    <row r="5" spans="1:15" ht="11.25" customHeight="1">
      <c r="A5" s="74"/>
      <c r="B5" s="73"/>
      <c r="C5" s="73"/>
      <c r="D5" s="73"/>
      <c r="E5" s="73"/>
      <c r="F5" s="73"/>
      <c r="G5" s="73"/>
      <c r="H5" s="12"/>
      <c r="I5" s="12"/>
      <c r="L5" s="449">
        <v>2</v>
      </c>
      <c r="M5" s="450">
        <v>29.82</v>
      </c>
      <c r="N5" s="450">
        <v>76.510000000000005</v>
      </c>
      <c r="O5" s="450">
        <v>15.9</v>
      </c>
    </row>
    <row r="6" spans="1:15" ht="29.25" customHeight="1">
      <c r="A6" s="136"/>
      <c r="C6" s="528" t="s">
        <v>147</v>
      </c>
      <c r="D6" s="531" t="str">
        <f>UPPER('1. Resumen'!Q4)&amp;"
 "&amp;'1. Resumen'!Q5</f>
        <v>SETIEMBRE
 2019</v>
      </c>
      <c r="E6" s="532" t="str">
        <f>UPPER('1. Resumen'!Q4)&amp;"
 "&amp;'1. Resumen'!Q5-1</f>
        <v>SETIEMBRE
 2018</v>
      </c>
      <c r="F6" s="533" t="s">
        <v>551</v>
      </c>
      <c r="G6" s="138"/>
      <c r="H6" s="24"/>
      <c r="I6" s="12"/>
      <c r="L6" s="449">
        <v>3</v>
      </c>
      <c r="M6" s="450">
        <v>27.06</v>
      </c>
      <c r="N6" s="450">
        <v>80.096000000000004</v>
      </c>
      <c r="O6" s="450">
        <v>29.21</v>
      </c>
    </row>
    <row r="7" spans="1:15" ht="11.25" customHeight="1">
      <c r="A7" s="174"/>
      <c r="C7" s="599" t="s">
        <v>148</v>
      </c>
      <c r="D7" s="600">
        <v>6.6203666528065952</v>
      </c>
      <c r="E7" s="600">
        <v>7.8788999999999998</v>
      </c>
      <c r="F7" s="601">
        <f>IF(E7=0,"",(D7-E7)/E7)</f>
        <v>-0.15973465168911963</v>
      </c>
      <c r="G7" s="138"/>
      <c r="H7" s="25"/>
      <c r="I7" s="3"/>
      <c r="K7" s="448">
        <v>4</v>
      </c>
      <c r="L7" s="449">
        <v>4</v>
      </c>
      <c r="M7" s="450">
        <v>27.93</v>
      </c>
      <c r="N7" s="450">
        <v>77.09</v>
      </c>
      <c r="O7" s="450">
        <v>20.7</v>
      </c>
    </row>
    <row r="8" spans="1:15" ht="11.25" customHeight="1">
      <c r="A8" s="174"/>
      <c r="C8" s="602" t="s">
        <v>154</v>
      </c>
      <c r="D8" s="603">
        <v>7.2203333695729537</v>
      </c>
      <c r="E8" s="603">
        <v>7.2897999999999996</v>
      </c>
      <c r="F8" s="604">
        <f t="shared" ref="F8:F30" si="0">IF(E8=0,"",(D8-E8)/E8)</f>
        <v>-9.5292916715199218E-3</v>
      </c>
      <c r="G8" s="138"/>
      <c r="H8" s="23"/>
      <c r="I8" s="3"/>
      <c r="L8" s="449">
        <v>5</v>
      </c>
      <c r="M8" s="450">
        <v>49.585999999999999</v>
      </c>
      <c r="N8" s="450">
        <v>140.12</v>
      </c>
      <c r="O8" s="450">
        <v>74.02</v>
      </c>
    </row>
    <row r="9" spans="1:15" ht="11.25" customHeight="1">
      <c r="A9" s="174"/>
      <c r="C9" s="605" t="s">
        <v>155</v>
      </c>
      <c r="D9" s="606">
        <v>27.087433369954397</v>
      </c>
      <c r="E9" s="606">
        <v>35.01117</v>
      </c>
      <c r="F9" s="607">
        <f t="shared" si="0"/>
        <v>-0.22632024665401365</v>
      </c>
      <c r="G9" s="138"/>
      <c r="H9" s="25"/>
      <c r="I9" s="3"/>
      <c r="L9" s="449">
        <v>6</v>
      </c>
      <c r="M9" s="450">
        <v>57</v>
      </c>
      <c r="N9" s="450">
        <v>144.66999999999999</v>
      </c>
      <c r="O9" s="450">
        <v>78.08</v>
      </c>
    </row>
    <row r="10" spans="1:15" ht="11.25" customHeight="1">
      <c r="A10" s="174"/>
      <c r="C10" s="602" t="s">
        <v>162</v>
      </c>
      <c r="D10" s="603">
        <v>30.595066324869759</v>
      </c>
      <c r="E10" s="603">
        <v>23.973230000000001</v>
      </c>
      <c r="F10" s="604">
        <f t="shared" si="0"/>
        <v>0.27621794496902408</v>
      </c>
      <c r="G10" s="138"/>
      <c r="H10" s="25"/>
      <c r="I10" s="3"/>
      <c r="L10" s="449">
        <v>7</v>
      </c>
      <c r="M10" s="450">
        <v>52.31</v>
      </c>
      <c r="N10" s="450">
        <v>117.32</v>
      </c>
      <c r="O10" s="450">
        <v>41.34</v>
      </c>
    </row>
    <row r="11" spans="1:15" ht="11.25" customHeight="1">
      <c r="A11" s="174"/>
      <c r="C11" s="605" t="s">
        <v>163</v>
      </c>
      <c r="D11" s="606">
        <v>4.596333305040992</v>
      </c>
      <c r="E11" s="606">
        <v>4.7411669999999999</v>
      </c>
      <c r="F11" s="607">
        <f t="shared" si="0"/>
        <v>-3.0548110825669689E-2</v>
      </c>
      <c r="G11" s="138"/>
      <c r="H11" s="25"/>
      <c r="I11" s="3"/>
      <c r="K11" s="448">
        <v>8</v>
      </c>
      <c r="L11" s="449">
        <v>8</v>
      </c>
      <c r="M11" s="450">
        <v>57.96</v>
      </c>
      <c r="N11" s="450">
        <v>140.31</v>
      </c>
      <c r="O11" s="450">
        <v>96.52</v>
      </c>
    </row>
    <row r="12" spans="1:15" ht="11.25" customHeight="1">
      <c r="A12" s="174"/>
      <c r="C12" s="602" t="s">
        <v>165</v>
      </c>
      <c r="D12" s="603">
        <v>1.2979333420594514</v>
      </c>
      <c r="E12" s="603">
        <v>1.6511</v>
      </c>
      <c r="F12" s="604">
        <f t="shared" si="0"/>
        <v>-0.21389780021836871</v>
      </c>
      <c r="G12" s="138"/>
      <c r="H12" s="25"/>
      <c r="I12" s="3"/>
      <c r="L12" s="449">
        <v>9</v>
      </c>
      <c r="M12" s="450">
        <v>100.51885660000001</v>
      </c>
      <c r="N12" s="450">
        <v>268.94750210000001</v>
      </c>
      <c r="O12" s="450">
        <v>150.104332</v>
      </c>
    </row>
    <row r="13" spans="1:15" ht="11.25" customHeight="1">
      <c r="A13" s="174"/>
      <c r="C13" s="605" t="s">
        <v>153</v>
      </c>
      <c r="D13" s="606">
        <v>10.297222222222222</v>
      </c>
      <c r="E13" s="606">
        <v>9.40625</v>
      </c>
      <c r="F13" s="607">
        <f t="shared" si="0"/>
        <v>9.4721299372462195E-2</v>
      </c>
      <c r="G13" s="138"/>
      <c r="H13" s="23"/>
      <c r="I13" s="3"/>
      <c r="L13" s="449">
        <v>10</v>
      </c>
      <c r="M13" s="450">
        <v>75.15657152448378</v>
      </c>
      <c r="N13" s="450">
        <v>243.71150207519463</v>
      </c>
      <c r="O13" s="450">
        <v>181.79733530680286</v>
      </c>
    </row>
    <row r="14" spans="1:15" ht="11.25" customHeight="1">
      <c r="A14" s="174"/>
      <c r="C14" s="602" t="s">
        <v>264</v>
      </c>
      <c r="D14" s="603">
        <v>15.395389874776161</v>
      </c>
      <c r="E14" s="603">
        <v>14.500109999999999</v>
      </c>
      <c r="F14" s="604">
        <f t="shared" si="0"/>
        <v>6.1742971244780988E-2</v>
      </c>
      <c r="G14" s="138"/>
      <c r="H14" s="25"/>
      <c r="I14" s="3"/>
      <c r="L14" s="449">
        <v>11</v>
      </c>
      <c r="M14" s="450">
        <v>52.24</v>
      </c>
      <c r="N14" s="450">
        <v>154.21</v>
      </c>
      <c r="O14" s="450">
        <v>79.12</v>
      </c>
    </row>
    <row r="15" spans="1:15" ht="11.25" customHeight="1">
      <c r="A15" s="174"/>
      <c r="C15" s="605" t="s">
        <v>265</v>
      </c>
      <c r="D15" s="606">
        <v>33.808000183105428</v>
      </c>
      <c r="E15" s="606">
        <v>33.000500000000002</v>
      </c>
      <c r="F15" s="607">
        <f t="shared" si="0"/>
        <v>2.446933177089514E-2</v>
      </c>
      <c r="G15" s="138"/>
      <c r="H15" s="25"/>
      <c r="I15" s="3"/>
      <c r="K15" s="448">
        <v>12</v>
      </c>
      <c r="L15" s="449">
        <v>12</v>
      </c>
      <c r="M15" s="450">
        <v>44.628571101597331</v>
      </c>
      <c r="N15" s="450">
        <v>116.62271445138057</v>
      </c>
      <c r="O15" s="450">
        <v>41.373285293579045</v>
      </c>
    </row>
    <row r="16" spans="1:15" ht="11.25" customHeight="1">
      <c r="A16" s="174"/>
      <c r="C16" s="602" t="s">
        <v>160</v>
      </c>
      <c r="D16" s="603">
        <v>12.352000109354611</v>
      </c>
      <c r="E16" s="603">
        <v>12.480729999999999</v>
      </c>
      <c r="F16" s="604">
        <f t="shared" si="0"/>
        <v>-1.031429176381417E-2</v>
      </c>
      <c r="G16" s="138"/>
      <c r="H16" s="25"/>
      <c r="I16" s="3"/>
      <c r="L16" s="449">
        <v>13</v>
      </c>
      <c r="M16" s="450">
        <v>42.599998474121001</v>
      </c>
      <c r="N16" s="450">
        <v>120.78800201416</v>
      </c>
      <c r="O16" s="450">
        <v>93.665000915527301</v>
      </c>
    </row>
    <row r="17" spans="1:17" ht="11.25" customHeight="1">
      <c r="A17" s="174"/>
      <c r="C17" s="605" t="s">
        <v>164</v>
      </c>
      <c r="D17" s="606">
        <v>7.6701334158579497</v>
      </c>
      <c r="E17" s="606">
        <v>7.5990000000000002</v>
      </c>
      <c r="F17" s="607">
        <f t="shared" si="0"/>
        <v>9.3608916775825141E-3</v>
      </c>
      <c r="G17" s="138"/>
      <c r="H17" s="25"/>
      <c r="I17" s="3"/>
      <c r="L17" s="449">
        <v>14</v>
      </c>
      <c r="M17" s="450">
        <v>49.743000030517535</v>
      </c>
      <c r="N17" s="450">
        <v>125.66285814557708</v>
      </c>
      <c r="O17" s="450">
        <v>131.74585723876913</v>
      </c>
    </row>
    <row r="18" spans="1:17" ht="11.25" customHeight="1">
      <c r="A18" s="174"/>
      <c r="C18" s="602" t="s">
        <v>266</v>
      </c>
      <c r="D18" s="603">
        <v>12.112055651346802</v>
      </c>
      <c r="E18" s="603">
        <v>11.08329</v>
      </c>
      <c r="F18" s="604">
        <f t="shared" si="0"/>
        <v>9.2821323934211067E-2</v>
      </c>
      <c r="G18" s="138"/>
      <c r="H18" s="25"/>
      <c r="I18" s="3"/>
      <c r="L18" s="449">
        <v>15</v>
      </c>
      <c r="M18" s="450">
        <v>54.414285387311615</v>
      </c>
      <c r="N18" s="450">
        <v>127.68985639299636</v>
      </c>
      <c r="O18" s="450">
        <v>71.706143515450577</v>
      </c>
    </row>
    <row r="19" spans="1:17" ht="11.25" customHeight="1">
      <c r="A19" s="174"/>
      <c r="C19" s="605" t="s">
        <v>267</v>
      </c>
      <c r="D19" s="606">
        <v>14.36854726388888</v>
      </c>
      <c r="E19" s="606">
        <v>12.737611652777774</v>
      </c>
      <c r="F19" s="607">
        <f t="shared" si="0"/>
        <v>0.1280409275749459</v>
      </c>
      <c r="G19" s="138"/>
      <c r="H19" s="25"/>
      <c r="I19" s="3"/>
      <c r="K19" s="448">
        <v>16</v>
      </c>
      <c r="L19" s="449">
        <v>16</v>
      </c>
      <c r="M19" s="450">
        <v>47.73</v>
      </c>
      <c r="N19" s="450">
        <v>97.4</v>
      </c>
      <c r="O19" s="450">
        <v>53.49</v>
      </c>
      <c r="Q19" s="826"/>
    </row>
    <row r="20" spans="1:17" ht="11.25" customHeight="1">
      <c r="A20" s="174"/>
      <c r="C20" s="602" t="s">
        <v>268</v>
      </c>
      <c r="D20" s="603">
        <v>1.4324333310127215</v>
      </c>
      <c r="E20" s="603">
        <v>1.466167</v>
      </c>
      <c r="F20" s="604">
        <f t="shared" si="0"/>
        <v>-2.3008067285158154E-2</v>
      </c>
      <c r="G20" s="138"/>
      <c r="H20" s="25"/>
      <c r="I20" s="3"/>
      <c r="L20" s="449">
        <v>17</v>
      </c>
      <c r="M20" s="450">
        <v>42.142857687813873</v>
      </c>
      <c r="N20" s="450">
        <v>85.487143380301248</v>
      </c>
      <c r="O20" s="450">
        <v>51.424428122384178</v>
      </c>
    </row>
    <row r="21" spans="1:17" ht="11.25" customHeight="1">
      <c r="A21" s="174"/>
      <c r="C21" s="605" t="s">
        <v>151</v>
      </c>
      <c r="D21" s="606">
        <v>93.536199442545538</v>
      </c>
      <c r="E21" s="606">
        <v>88.293499999999995</v>
      </c>
      <c r="F21" s="607">
        <f t="shared" si="0"/>
        <v>5.9378090601749207E-2</v>
      </c>
      <c r="G21" s="138"/>
      <c r="H21" s="25"/>
      <c r="I21" s="3"/>
      <c r="L21" s="449">
        <v>18</v>
      </c>
      <c r="M21" s="450">
        <v>27.452428545270582</v>
      </c>
      <c r="N21" s="450">
        <v>62.369998931884716</v>
      </c>
      <c r="O21" s="450">
        <v>34.353571755545424</v>
      </c>
    </row>
    <row r="22" spans="1:17" ht="11.25" customHeight="1">
      <c r="A22" s="174"/>
      <c r="C22" s="602" t="s">
        <v>149</v>
      </c>
      <c r="D22" s="603">
        <v>2.6233333369096119</v>
      </c>
      <c r="E22" s="603">
        <v>3.4333330000000002</v>
      </c>
      <c r="F22" s="604">
        <f t="shared" si="0"/>
        <v>-0.23592225487314752</v>
      </c>
      <c r="G22" s="138"/>
      <c r="H22" s="25"/>
      <c r="I22" s="3"/>
      <c r="L22" s="449">
        <v>19</v>
      </c>
      <c r="M22" s="450">
        <v>21.857142584664455</v>
      </c>
      <c r="N22" s="450">
        <v>58.684285300118525</v>
      </c>
      <c r="O22" s="450">
        <v>29.207143238612552</v>
      </c>
    </row>
    <row r="23" spans="1:17" ht="11.25" customHeight="1">
      <c r="A23" s="174"/>
      <c r="C23" s="605" t="s">
        <v>150</v>
      </c>
      <c r="D23" s="606">
        <v>16.653966136773374</v>
      </c>
      <c r="E23" s="606">
        <v>27.249929999999999</v>
      </c>
      <c r="F23" s="607">
        <f t="shared" si="0"/>
        <v>-0.3888437094416986</v>
      </c>
      <c r="G23" s="138"/>
      <c r="H23" s="25"/>
      <c r="I23" s="3"/>
      <c r="K23" s="448">
        <v>20</v>
      </c>
      <c r="L23" s="449">
        <v>20</v>
      </c>
      <c r="M23" s="450">
        <v>19.5</v>
      </c>
      <c r="N23" s="450">
        <v>54</v>
      </c>
      <c r="O23" s="450">
        <v>22.1</v>
      </c>
    </row>
    <row r="24" spans="1:17" ht="11.25" customHeight="1">
      <c r="A24" s="174"/>
      <c r="C24" s="602" t="s">
        <v>166</v>
      </c>
      <c r="D24" s="603">
        <v>8.1070999105771175</v>
      </c>
      <c r="E24" s="603">
        <v>8.0169329999999999</v>
      </c>
      <c r="F24" s="604">
        <f t="shared" si="0"/>
        <v>1.124705801796244E-2</v>
      </c>
      <c r="G24" s="138"/>
      <c r="H24" s="26"/>
      <c r="I24" s="3"/>
      <c r="L24" s="449">
        <v>21</v>
      </c>
      <c r="M24" s="450">
        <v>19.485713958740185</v>
      </c>
      <c r="N24" s="450">
        <v>50.756999969482365</v>
      </c>
      <c r="O24" s="450">
        <v>17.473428726196214</v>
      </c>
    </row>
    <row r="25" spans="1:17" ht="11.25" customHeight="1">
      <c r="A25" s="138"/>
      <c r="C25" s="605" t="s">
        <v>156</v>
      </c>
      <c r="D25" s="606">
        <v>7.0571800549824868</v>
      </c>
      <c r="E25" s="606">
        <v>5.6944749999999997</v>
      </c>
      <c r="F25" s="607">
        <f t="shared" si="0"/>
        <v>0.23930301827341188</v>
      </c>
      <c r="G25" s="158"/>
      <c r="H25" s="25"/>
      <c r="I25" s="3"/>
      <c r="L25" s="449">
        <v>22</v>
      </c>
      <c r="M25" s="450">
        <v>16.329999999999998</v>
      </c>
      <c r="N25" s="450">
        <v>46.59</v>
      </c>
      <c r="O25" s="450">
        <v>17.04</v>
      </c>
    </row>
    <row r="26" spans="1:17" ht="11.25" customHeight="1">
      <c r="A26" s="175"/>
      <c r="C26" s="602" t="s">
        <v>157</v>
      </c>
      <c r="D26" s="603">
        <v>4.8116666475931762</v>
      </c>
      <c r="E26" s="603">
        <v>9.3810000000000002</v>
      </c>
      <c r="F26" s="604">
        <f t="shared" si="0"/>
        <v>-0.48708382394273786</v>
      </c>
      <c r="G26" s="138"/>
      <c r="H26" s="23"/>
      <c r="I26" s="3"/>
      <c r="L26" s="449">
        <v>23</v>
      </c>
      <c r="M26" s="450">
        <v>15.18</v>
      </c>
      <c r="N26" s="450">
        <v>40.29</v>
      </c>
      <c r="O26" s="450">
        <v>22.12</v>
      </c>
    </row>
    <row r="27" spans="1:17" ht="11.25" customHeight="1">
      <c r="A27" s="138"/>
      <c r="C27" s="605" t="s">
        <v>158</v>
      </c>
      <c r="D27" s="606">
        <v>0.19259999965627952</v>
      </c>
      <c r="E27" s="606">
        <v>3.557633</v>
      </c>
      <c r="F27" s="607">
        <f t="shared" si="0"/>
        <v>-0.94586288139999841</v>
      </c>
      <c r="G27" s="138"/>
      <c r="H27" s="23"/>
      <c r="I27" s="3"/>
      <c r="K27" s="448">
        <v>24</v>
      </c>
      <c r="L27" s="449">
        <v>24</v>
      </c>
      <c r="M27" s="450">
        <v>15.1</v>
      </c>
      <c r="N27" s="450">
        <v>35.630000000000003</v>
      </c>
      <c r="O27" s="450">
        <v>13.87</v>
      </c>
    </row>
    <row r="28" spans="1:17" ht="11.25" customHeight="1">
      <c r="A28" s="138"/>
      <c r="C28" s="602" t="s">
        <v>159</v>
      </c>
      <c r="D28" s="603">
        <v>0.53035366634527814</v>
      </c>
      <c r="E28" s="603">
        <v>1.6970000000000001</v>
      </c>
      <c r="F28" s="604">
        <f t="shared" si="0"/>
        <v>-0.68747574169400227</v>
      </c>
      <c r="G28" s="138"/>
      <c r="H28" s="23"/>
      <c r="I28" s="3"/>
      <c r="L28" s="449">
        <v>25</v>
      </c>
      <c r="M28" s="450">
        <v>18.016999930000001</v>
      </c>
      <c r="N28" s="450">
        <v>34.608428410000002</v>
      </c>
      <c r="O28" s="450">
        <v>10.78285721</v>
      </c>
    </row>
    <row r="29" spans="1:17" ht="11.25" customHeight="1">
      <c r="A29" s="158"/>
      <c r="C29" s="605" t="s">
        <v>161</v>
      </c>
      <c r="D29" s="606">
        <v>3.5579933370153083</v>
      </c>
      <c r="E29" s="606">
        <v>4.2496590000000003</v>
      </c>
      <c r="F29" s="607">
        <f t="shared" si="0"/>
        <v>-0.1627579208083971</v>
      </c>
      <c r="G29" s="176"/>
      <c r="H29" s="23"/>
      <c r="I29" s="3"/>
      <c r="L29" s="449">
        <v>26</v>
      </c>
      <c r="M29" s="450">
        <v>16.489714209999999</v>
      </c>
      <c r="N29" s="450">
        <v>34.074285510000003</v>
      </c>
      <c r="O29" s="450">
        <v>9.5958572120000003</v>
      </c>
    </row>
    <row r="30" spans="1:17" ht="11.25" customHeight="1">
      <c r="A30" s="175"/>
      <c r="C30" s="608" t="s">
        <v>152</v>
      </c>
      <c r="D30" s="609">
        <v>6.5472222222222225</v>
      </c>
      <c r="E30" s="609">
        <v>5.3395833333333336</v>
      </c>
      <c r="F30" s="610">
        <f t="shared" si="0"/>
        <v>0.22616725191832487</v>
      </c>
      <c r="G30" s="138"/>
      <c r="H30" s="25"/>
      <c r="I30" s="3"/>
      <c r="L30" s="449">
        <v>27</v>
      </c>
      <c r="M30" s="450">
        <v>16.199999810000001</v>
      </c>
      <c r="N30" s="450">
        <v>29.599571770000001</v>
      </c>
      <c r="O30" s="450">
        <v>7.8892858370000001</v>
      </c>
    </row>
    <row r="31" spans="1:17" ht="11.25" customHeight="1">
      <c r="A31" s="137"/>
      <c r="C31" s="274" t="str">
        <f>"Cuadro N°10: Promedio de caudales en "&amp;'1. Resumen'!Q4</f>
        <v>Cuadro N°10: Promedio de caudales en setiembre</v>
      </c>
      <c r="D31" s="137"/>
      <c r="E31" s="137"/>
      <c r="F31" s="137"/>
      <c r="G31" s="137"/>
      <c r="H31" s="25"/>
      <c r="I31" s="6"/>
      <c r="K31" s="448">
        <v>28</v>
      </c>
      <c r="L31" s="449">
        <v>28</v>
      </c>
      <c r="M31" s="450">
        <v>12.016285760000001</v>
      </c>
      <c r="N31" s="450">
        <v>29.3955713</v>
      </c>
      <c r="O31" s="450">
        <v>7.2334286140000001</v>
      </c>
    </row>
    <row r="32" spans="1:17" ht="11.25" customHeight="1">
      <c r="A32" s="137"/>
      <c r="B32" s="137"/>
      <c r="C32" s="137"/>
      <c r="D32" s="137"/>
      <c r="E32" s="137"/>
      <c r="F32" s="137"/>
      <c r="G32" s="137"/>
      <c r="H32" s="25"/>
      <c r="I32" s="6"/>
      <c r="L32" s="449">
        <v>29</v>
      </c>
      <c r="M32" s="450">
        <v>10.423571450000001</v>
      </c>
      <c r="N32" s="450">
        <v>32.468857079999999</v>
      </c>
      <c r="O32" s="450">
        <v>6.729428564</v>
      </c>
    </row>
    <row r="33" spans="1:15" ht="11.25" customHeight="1">
      <c r="A33" s="137"/>
      <c r="B33" s="137"/>
      <c r="C33" s="137"/>
      <c r="D33" s="137"/>
      <c r="E33" s="137"/>
      <c r="F33" s="137"/>
      <c r="G33" s="137"/>
      <c r="H33" s="25"/>
      <c r="I33" s="6"/>
      <c r="L33" s="449">
        <v>30</v>
      </c>
      <c r="M33" s="450">
        <v>10.043285640000001</v>
      </c>
      <c r="N33" s="450">
        <v>32.112285890000003</v>
      </c>
      <c r="O33" s="450">
        <v>5.6338571819999999</v>
      </c>
    </row>
    <row r="34" spans="1:15" ht="11.25" customHeight="1">
      <c r="A34" s="137"/>
      <c r="B34" s="137"/>
      <c r="C34" s="137"/>
      <c r="D34" s="137"/>
      <c r="E34" s="137"/>
      <c r="F34" s="137"/>
      <c r="G34" s="137"/>
      <c r="H34" s="25"/>
      <c r="I34" s="6"/>
      <c r="L34" s="449">
        <v>31</v>
      </c>
      <c r="M34" s="450">
        <v>10.086428642272944</v>
      </c>
      <c r="N34" s="450">
        <v>29.132714407784558</v>
      </c>
      <c r="O34" s="450">
        <v>5.181999887738904</v>
      </c>
    </row>
    <row r="35" spans="1:15" ht="17.25" customHeight="1">
      <c r="A35" s="948" t="s">
        <v>444</v>
      </c>
      <c r="B35" s="948"/>
      <c r="C35" s="948"/>
      <c r="D35" s="948"/>
      <c r="E35" s="948"/>
      <c r="F35" s="948"/>
      <c r="G35" s="948"/>
      <c r="H35" s="25"/>
      <c r="I35" s="6"/>
      <c r="K35" s="448">
        <v>32</v>
      </c>
      <c r="L35" s="449">
        <v>32</v>
      </c>
      <c r="M35" s="450">
        <v>12.08228561</v>
      </c>
      <c r="N35" s="450">
        <v>34.150143489999998</v>
      </c>
      <c r="O35" s="450">
        <v>4.8032856669999999</v>
      </c>
    </row>
    <row r="36" spans="1:15" ht="11.25" customHeight="1">
      <c r="A36" s="137"/>
      <c r="B36" s="137"/>
      <c r="C36" s="137"/>
      <c r="D36" s="137"/>
      <c r="E36" s="137"/>
      <c r="F36" s="137"/>
      <c r="G36" s="137"/>
      <c r="H36" s="25"/>
      <c r="I36" s="6"/>
      <c r="L36" s="449">
        <v>33</v>
      </c>
      <c r="M36" s="450">
        <v>11.874000004359614</v>
      </c>
      <c r="N36" s="450">
        <v>35.225571223667643</v>
      </c>
      <c r="O36" s="450">
        <v>4.3821428843906904</v>
      </c>
    </row>
    <row r="37" spans="1:15" ht="11.25" customHeight="1">
      <c r="A37" s="136"/>
      <c r="B37" s="138"/>
      <c r="C37" s="138"/>
      <c r="D37" s="138"/>
      <c r="E37" s="138"/>
      <c r="F37" s="138"/>
      <c r="G37" s="138"/>
      <c r="H37" s="26"/>
      <c r="I37" s="6"/>
      <c r="L37" s="449">
        <v>34</v>
      </c>
      <c r="M37" s="450">
        <v>10.842857090000001</v>
      </c>
      <c r="N37" s="450">
        <v>35.168570930000001</v>
      </c>
      <c r="O37" s="450">
        <v>13.837000059999999</v>
      </c>
    </row>
    <row r="38" spans="1:15" ht="11.25" customHeight="1">
      <c r="A38" s="74"/>
      <c r="B38" s="73"/>
      <c r="C38" s="73"/>
      <c r="D38" s="73"/>
      <c r="E38" s="73"/>
      <c r="F38" s="73"/>
      <c r="G38" s="73"/>
      <c r="H38" s="3"/>
      <c r="I38" s="6"/>
      <c r="L38" s="449">
        <v>35</v>
      </c>
      <c r="M38" s="450">
        <v>10.48142842</v>
      </c>
      <c r="N38" s="450">
        <v>37.824428560000001</v>
      </c>
      <c r="O38" s="450">
        <v>3.922857182</v>
      </c>
    </row>
    <row r="39" spans="1:15" ht="11.25" customHeight="1">
      <c r="A39" s="74"/>
      <c r="B39" s="73"/>
      <c r="C39" s="73"/>
      <c r="D39" s="73"/>
      <c r="E39" s="73"/>
      <c r="F39" s="73"/>
      <c r="G39" s="73"/>
      <c r="H39" s="3"/>
      <c r="I39" s="10"/>
      <c r="K39" s="448">
        <v>36</v>
      </c>
      <c r="L39" s="449">
        <v>36</v>
      </c>
      <c r="M39" s="450">
        <v>11.85</v>
      </c>
      <c r="N39" s="450">
        <v>39.78</v>
      </c>
      <c r="O39" s="450">
        <v>4.9800000000000004</v>
      </c>
    </row>
    <row r="40" spans="1:15" ht="11.25" customHeight="1">
      <c r="A40" s="74"/>
      <c r="B40" s="73"/>
      <c r="C40" s="73"/>
      <c r="D40" s="73"/>
      <c r="E40" s="73"/>
      <c r="F40" s="73"/>
      <c r="G40" s="73"/>
      <c r="H40" s="3"/>
      <c r="I40" s="10"/>
      <c r="L40" s="449">
        <v>37</v>
      </c>
      <c r="M40" s="450">
        <v>12.08</v>
      </c>
      <c r="N40" s="450">
        <v>44.25</v>
      </c>
      <c r="O40" s="450">
        <v>4.92</v>
      </c>
    </row>
    <row r="41" spans="1:15" ht="11.25" customHeight="1">
      <c r="A41" s="74"/>
      <c r="B41" s="73"/>
      <c r="C41" s="73"/>
      <c r="D41" s="73"/>
      <c r="E41" s="73"/>
      <c r="F41" s="73"/>
      <c r="G41" s="73"/>
      <c r="H41" s="3"/>
      <c r="I41" s="7"/>
      <c r="L41" s="449">
        <v>38</v>
      </c>
      <c r="M41" s="450">
        <v>11.88371427</v>
      </c>
      <c r="N41" s="450">
        <v>41.311858039999997</v>
      </c>
      <c r="O41" s="450">
        <v>4.6447142870000002</v>
      </c>
    </row>
    <row r="42" spans="1:15" ht="11.25" customHeight="1">
      <c r="A42" s="74"/>
      <c r="B42" s="73"/>
      <c r="C42" s="73"/>
      <c r="D42" s="73"/>
      <c r="E42" s="73"/>
      <c r="F42" s="73"/>
      <c r="G42" s="73"/>
      <c r="H42" s="3"/>
      <c r="I42" s="7"/>
      <c r="K42" s="448">
        <v>39</v>
      </c>
      <c r="L42" s="449">
        <v>39</v>
      </c>
      <c r="M42" s="450">
        <v>13.06</v>
      </c>
      <c r="N42" s="450">
        <v>41.13</v>
      </c>
      <c r="O42" s="450">
        <v>4.2699999999999996</v>
      </c>
    </row>
    <row r="43" spans="1:15" ht="11.25" customHeight="1">
      <c r="A43" s="74"/>
      <c r="B43" s="73"/>
      <c r="C43" s="73"/>
      <c r="D43" s="73"/>
      <c r="E43" s="73"/>
      <c r="F43" s="73"/>
      <c r="G43" s="73"/>
      <c r="H43" s="3"/>
      <c r="I43" s="7"/>
      <c r="L43" s="449">
        <v>40</v>
      </c>
      <c r="M43" s="450">
        <v>15.945571764285715</v>
      </c>
      <c r="N43" s="450">
        <v>46.466000694285704</v>
      </c>
      <c r="O43" s="450">
        <v>5.3634285927142864</v>
      </c>
    </row>
    <row r="44" spans="1:15" ht="11.25" customHeight="1">
      <c r="A44" s="74"/>
      <c r="B44" s="73"/>
      <c r="C44" s="73"/>
      <c r="D44" s="73"/>
      <c r="E44" s="73"/>
      <c r="F44" s="73"/>
      <c r="G44" s="73"/>
      <c r="H44" s="6"/>
      <c r="I44" s="10"/>
      <c r="L44" s="449">
        <v>41</v>
      </c>
      <c r="M44" s="450">
        <v>15.848856789725129</v>
      </c>
      <c r="N44" s="450">
        <v>37.273714882986837</v>
      </c>
      <c r="O44" s="450">
        <v>6.9682856968470812</v>
      </c>
    </row>
    <row r="45" spans="1:15" ht="11.25" customHeight="1">
      <c r="A45" s="74"/>
      <c r="B45" s="73"/>
      <c r="C45" s="73"/>
      <c r="D45" s="73"/>
      <c r="E45" s="73"/>
      <c r="F45" s="73"/>
      <c r="G45" s="73"/>
      <c r="H45" s="3"/>
      <c r="I45" s="10"/>
      <c r="L45" s="449">
        <v>42</v>
      </c>
      <c r="M45" s="450">
        <v>15.549142972857144</v>
      </c>
      <c r="N45" s="450">
        <v>48.572000228571433</v>
      </c>
      <c r="O45" s="450">
        <v>11.100428648285714</v>
      </c>
    </row>
    <row r="46" spans="1:15" ht="11.25" customHeight="1">
      <c r="A46" s="74"/>
      <c r="B46" s="73"/>
      <c r="C46" s="73"/>
      <c r="D46" s="73"/>
      <c r="E46" s="73"/>
      <c r="F46" s="73"/>
      <c r="G46" s="73"/>
      <c r="H46" s="3"/>
      <c r="I46" s="10"/>
      <c r="K46" s="448">
        <v>43</v>
      </c>
      <c r="L46" s="449">
        <v>43</v>
      </c>
      <c r="M46" s="450">
        <v>13.17</v>
      </c>
      <c r="N46" s="450">
        <v>35.32</v>
      </c>
      <c r="O46" s="450">
        <v>6.01</v>
      </c>
    </row>
    <row r="47" spans="1:15" ht="11.25" customHeight="1">
      <c r="A47" s="74"/>
      <c r="B47" s="73"/>
      <c r="C47" s="73"/>
      <c r="D47" s="73"/>
      <c r="E47" s="73"/>
      <c r="F47" s="73"/>
      <c r="G47" s="73"/>
      <c r="H47" s="11"/>
      <c r="I47" s="11"/>
      <c r="L47" s="449">
        <v>44</v>
      </c>
      <c r="M47" s="450">
        <v>13.18</v>
      </c>
      <c r="N47" s="450">
        <v>36.83</v>
      </c>
      <c r="O47" s="450">
        <v>4.57</v>
      </c>
    </row>
    <row r="48" spans="1:15" ht="11.25" customHeight="1">
      <c r="A48" s="74"/>
      <c r="B48" s="73"/>
      <c r="C48" s="73"/>
      <c r="D48" s="73"/>
      <c r="E48" s="73"/>
      <c r="F48" s="73"/>
      <c r="G48" s="73"/>
      <c r="H48" s="11"/>
      <c r="I48" s="11"/>
      <c r="L48" s="449">
        <v>45</v>
      </c>
      <c r="M48" s="450">
        <v>13.49</v>
      </c>
      <c r="N48" s="450">
        <v>39.520000000000003</v>
      </c>
      <c r="O48" s="450">
        <v>4.83</v>
      </c>
    </row>
    <row r="49" spans="1:15" ht="11.25" customHeight="1">
      <c r="A49" s="74"/>
      <c r="B49" s="73"/>
      <c r="C49" s="73"/>
      <c r="D49" s="73"/>
      <c r="E49" s="73"/>
      <c r="F49" s="73"/>
      <c r="G49" s="73"/>
      <c r="H49" s="11"/>
      <c r="I49" s="11"/>
      <c r="L49" s="449">
        <v>46</v>
      </c>
      <c r="M49" s="450">
        <v>15.4</v>
      </c>
      <c r="N49" s="450">
        <v>53.38</v>
      </c>
      <c r="O49" s="450">
        <v>3.73</v>
      </c>
    </row>
    <row r="50" spans="1:15" ht="11.25" customHeight="1">
      <c r="A50" s="74"/>
      <c r="B50" s="73"/>
      <c r="C50" s="73"/>
      <c r="D50" s="73"/>
      <c r="E50" s="73"/>
      <c r="F50" s="73"/>
      <c r="G50" s="73"/>
      <c r="H50" s="11"/>
      <c r="I50" s="11"/>
      <c r="L50" s="449">
        <v>47</v>
      </c>
      <c r="M50" s="450">
        <v>16.408999999999999</v>
      </c>
      <c r="N50" s="450">
        <v>61.853000000000002</v>
      </c>
      <c r="O50" s="450">
        <v>2.5211429999999999</v>
      </c>
    </row>
    <row r="51" spans="1:15" ht="11.25" customHeight="1">
      <c r="A51" s="74"/>
      <c r="B51" s="73"/>
      <c r="C51" s="73"/>
      <c r="D51" s="73"/>
      <c r="E51" s="73"/>
      <c r="F51" s="73"/>
      <c r="G51" s="73"/>
      <c r="H51" s="11"/>
      <c r="I51" s="11"/>
      <c r="K51" s="448">
        <v>48</v>
      </c>
      <c r="L51" s="449">
        <v>48</v>
      </c>
      <c r="M51" s="450">
        <v>16.328857422857144</v>
      </c>
      <c r="N51" s="450">
        <v>65.330427987142869</v>
      </c>
      <c r="O51" s="450">
        <v>3.571428503285714</v>
      </c>
    </row>
    <row r="52" spans="1:15" ht="11.25" customHeight="1">
      <c r="A52" s="74"/>
      <c r="B52" s="73"/>
      <c r="C52" s="73"/>
      <c r="D52" s="73"/>
      <c r="E52" s="73"/>
      <c r="F52" s="73"/>
      <c r="G52" s="73"/>
      <c r="H52" s="11"/>
      <c r="I52" s="11"/>
      <c r="L52" s="449">
        <v>49</v>
      </c>
      <c r="M52" s="450">
        <v>20.236285890000001</v>
      </c>
      <c r="N52" s="450">
        <v>66.680000000000007</v>
      </c>
      <c r="O52" s="450">
        <v>6.1</v>
      </c>
    </row>
    <row r="53" spans="1:15" ht="11.25" customHeight="1">
      <c r="A53" s="74"/>
      <c r="B53" s="73"/>
      <c r="C53" s="73"/>
      <c r="D53" s="73"/>
      <c r="E53" s="73"/>
      <c r="F53" s="73"/>
      <c r="G53" s="73"/>
      <c r="H53" s="11"/>
      <c r="I53" s="11"/>
      <c r="L53" s="449">
        <v>50</v>
      </c>
      <c r="M53" s="450">
        <v>19.809999999999999</v>
      </c>
      <c r="N53" s="450">
        <v>61.31</v>
      </c>
      <c r="O53" s="450">
        <v>6.69</v>
      </c>
    </row>
    <row r="54" spans="1:15" ht="11.25" customHeight="1">
      <c r="A54" s="74"/>
      <c r="B54" s="73"/>
      <c r="C54" s="73"/>
      <c r="D54" s="73"/>
      <c r="E54" s="73"/>
      <c r="F54" s="73"/>
      <c r="G54" s="73"/>
      <c r="H54" s="11"/>
      <c r="I54" s="11"/>
      <c r="L54" s="449">
        <v>51</v>
      </c>
      <c r="M54" s="450">
        <v>21.91</v>
      </c>
      <c r="N54" s="450">
        <v>70.790000000000006</v>
      </c>
      <c r="O54" s="450">
        <v>13.15</v>
      </c>
    </row>
    <row r="55" spans="1:15" ht="12.75">
      <c r="A55" s="74"/>
      <c r="B55" s="73"/>
      <c r="C55" s="73"/>
      <c r="D55" s="73"/>
      <c r="E55" s="73"/>
      <c r="F55" s="73"/>
      <c r="G55" s="73"/>
      <c r="H55" s="11"/>
      <c r="I55" s="11"/>
      <c r="L55" s="449">
        <v>52</v>
      </c>
      <c r="M55" s="450">
        <v>22</v>
      </c>
      <c r="N55" s="450">
        <v>77.434859137142865</v>
      </c>
      <c r="O55" s="450">
        <v>17.75700037857143</v>
      </c>
    </row>
    <row r="56" spans="1:15" ht="12.75">
      <c r="A56" s="74"/>
      <c r="B56" s="73"/>
      <c r="C56" s="73"/>
      <c r="D56" s="73"/>
      <c r="E56" s="73"/>
      <c r="F56" s="73"/>
      <c r="G56" s="73"/>
      <c r="H56" s="11"/>
      <c r="I56" s="11"/>
      <c r="J56" s="25">
        <v>2017</v>
      </c>
      <c r="K56" s="448">
        <v>1</v>
      </c>
      <c r="L56" s="449">
        <v>1</v>
      </c>
      <c r="M56" s="450">
        <v>41.55</v>
      </c>
      <c r="N56" s="450">
        <v>103.58</v>
      </c>
      <c r="O56" s="450">
        <v>29.67</v>
      </c>
    </row>
    <row r="57" spans="1:15" ht="12.75">
      <c r="A57" s="74"/>
      <c r="B57" s="73"/>
      <c r="C57" s="73"/>
      <c r="D57" s="73"/>
      <c r="E57" s="73"/>
      <c r="F57" s="73"/>
      <c r="G57" s="73"/>
      <c r="H57" s="11"/>
      <c r="I57" s="11"/>
      <c r="L57" s="449">
        <v>2</v>
      </c>
      <c r="M57" s="450">
        <v>39.6</v>
      </c>
      <c r="N57" s="450">
        <v>105.01</v>
      </c>
      <c r="O57" s="450">
        <v>51.2</v>
      </c>
    </row>
    <row r="58" spans="1:15" ht="12.75">
      <c r="A58" s="74"/>
      <c r="B58" s="73"/>
      <c r="C58" s="73"/>
      <c r="D58" s="73"/>
      <c r="E58" s="73"/>
      <c r="F58" s="73"/>
      <c r="G58" s="73"/>
      <c r="H58" s="11"/>
      <c r="I58" s="11"/>
      <c r="L58" s="449">
        <v>3</v>
      </c>
      <c r="M58" s="450">
        <v>73.650000000000006</v>
      </c>
      <c r="N58" s="450">
        <v>137.41</v>
      </c>
      <c r="O58" s="450">
        <v>43.26</v>
      </c>
    </row>
    <row r="59" spans="1:15" ht="12.75">
      <c r="A59" s="74"/>
      <c r="B59" s="73"/>
      <c r="C59" s="73"/>
      <c r="D59" s="73"/>
      <c r="E59" s="73"/>
      <c r="F59" s="73"/>
      <c r="G59" s="73"/>
      <c r="H59" s="11"/>
      <c r="I59" s="11"/>
      <c r="K59" s="448">
        <v>4</v>
      </c>
      <c r="L59" s="449">
        <v>4</v>
      </c>
      <c r="M59" s="450">
        <v>65.03</v>
      </c>
      <c r="N59" s="450">
        <v>127.83</v>
      </c>
      <c r="O59" s="450">
        <v>32.72</v>
      </c>
    </row>
    <row r="60" spans="1:15" ht="12.75">
      <c r="A60" s="74"/>
      <c r="B60" s="73"/>
      <c r="C60" s="73"/>
      <c r="D60" s="73"/>
      <c r="E60" s="73"/>
      <c r="F60" s="73"/>
      <c r="G60" s="73"/>
      <c r="H60" s="11"/>
      <c r="I60" s="11"/>
      <c r="L60" s="449">
        <v>5</v>
      </c>
      <c r="M60" s="450">
        <v>56.95</v>
      </c>
      <c r="N60" s="450">
        <v>97.31</v>
      </c>
      <c r="O60" s="450">
        <v>48.46</v>
      </c>
    </row>
    <row r="61" spans="1:15" ht="12.75">
      <c r="A61" s="274" t="s">
        <v>510</v>
      </c>
      <c r="B61" s="73"/>
      <c r="C61" s="73"/>
      <c r="D61" s="73"/>
      <c r="E61" s="73"/>
      <c r="F61" s="73"/>
      <c r="G61" s="73"/>
      <c r="H61" s="11"/>
      <c r="I61" s="11"/>
      <c r="L61" s="449">
        <v>6</v>
      </c>
      <c r="M61" s="450">
        <v>61.87</v>
      </c>
      <c r="N61" s="450">
        <v>123.44</v>
      </c>
      <c r="O61" s="450">
        <v>72.52</v>
      </c>
    </row>
    <row r="62" spans="1:15">
      <c r="L62" s="449">
        <v>7</v>
      </c>
      <c r="M62" s="450">
        <v>77.569999999999993</v>
      </c>
      <c r="N62" s="450">
        <v>145.02000000000001</v>
      </c>
      <c r="O62" s="450">
        <v>59.16</v>
      </c>
    </row>
    <row r="63" spans="1:15">
      <c r="K63" s="448">
        <v>8</v>
      </c>
      <c r="L63" s="449">
        <v>8</v>
      </c>
      <c r="M63" s="450">
        <v>86.94</v>
      </c>
      <c r="N63" s="450">
        <v>175.03</v>
      </c>
      <c r="O63" s="450">
        <v>24.36</v>
      </c>
    </row>
    <row r="64" spans="1:15">
      <c r="L64" s="449">
        <v>9</v>
      </c>
      <c r="M64" s="450">
        <v>85.13</v>
      </c>
      <c r="N64" s="450">
        <v>206.14</v>
      </c>
      <c r="O64" s="450">
        <v>39.07</v>
      </c>
    </row>
    <row r="65" spans="11:15">
      <c r="L65" s="449">
        <v>10</v>
      </c>
      <c r="M65" s="450">
        <v>84.78</v>
      </c>
      <c r="N65" s="450">
        <v>270.17</v>
      </c>
      <c r="O65" s="450">
        <v>109.16</v>
      </c>
    </row>
    <row r="66" spans="11:15">
      <c r="L66" s="449">
        <v>11</v>
      </c>
      <c r="M66" s="450">
        <v>84.78</v>
      </c>
      <c r="N66" s="450">
        <v>376.42</v>
      </c>
      <c r="O66" s="450">
        <v>188.18</v>
      </c>
    </row>
    <row r="67" spans="11:15">
      <c r="K67" s="448">
        <v>12</v>
      </c>
      <c r="L67" s="449">
        <v>12</v>
      </c>
      <c r="M67" s="450">
        <v>106.16</v>
      </c>
      <c r="N67" s="450">
        <v>351.57</v>
      </c>
      <c r="O67" s="450">
        <v>159.6</v>
      </c>
    </row>
    <row r="68" spans="11:15">
      <c r="L68" s="449">
        <v>13</v>
      </c>
      <c r="M68" s="450">
        <v>101.71</v>
      </c>
      <c r="N68" s="450">
        <v>384.37</v>
      </c>
      <c r="O68" s="450">
        <v>161.77000000000001</v>
      </c>
    </row>
    <row r="69" spans="11:15">
      <c r="L69" s="449">
        <v>14</v>
      </c>
      <c r="M69" s="450">
        <v>83.1</v>
      </c>
      <c r="N69" s="450">
        <v>337.84</v>
      </c>
      <c r="O69" s="450">
        <v>115.43</v>
      </c>
    </row>
    <row r="70" spans="11:15">
      <c r="L70" s="449">
        <v>15</v>
      </c>
      <c r="M70" s="450">
        <v>61.23</v>
      </c>
      <c r="N70" s="450">
        <v>282.32</v>
      </c>
      <c r="O70" s="450">
        <v>98.92</v>
      </c>
    </row>
    <row r="71" spans="11:15">
      <c r="K71" s="448">
        <v>16</v>
      </c>
      <c r="L71" s="449">
        <v>16</v>
      </c>
      <c r="M71" s="450">
        <v>49.8</v>
      </c>
      <c r="N71" s="450">
        <v>191.65</v>
      </c>
      <c r="O71" s="450">
        <v>82.48</v>
      </c>
    </row>
    <row r="72" spans="11:15">
      <c r="L72" s="449">
        <v>17</v>
      </c>
      <c r="M72" s="450">
        <v>40.21</v>
      </c>
      <c r="N72" s="450">
        <v>160.35</v>
      </c>
      <c r="O72" s="450">
        <v>77.02</v>
      </c>
    </row>
    <row r="73" spans="11:15">
      <c r="L73" s="449">
        <v>18</v>
      </c>
      <c r="M73" s="450">
        <v>43.46</v>
      </c>
      <c r="N73" s="450">
        <v>136.65</v>
      </c>
      <c r="O73" s="450">
        <v>62.63</v>
      </c>
    </row>
    <row r="74" spans="11:15">
      <c r="L74" s="449">
        <v>19</v>
      </c>
      <c r="M74" s="450">
        <v>35.65</v>
      </c>
      <c r="N74" s="450">
        <v>135.97</v>
      </c>
      <c r="O74" s="450">
        <v>93.03</v>
      </c>
    </row>
    <row r="75" spans="11:15">
      <c r="K75" s="448">
        <v>20</v>
      </c>
      <c r="L75" s="449">
        <v>20</v>
      </c>
      <c r="M75" s="450">
        <v>26.22</v>
      </c>
      <c r="N75" s="450">
        <v>135.66</v>
      </c>
      <c r="O75" s="450">
        <v>72.349999999999994</v>
      </c>
    </row>
    <row r="76" spans="11:15">
      <c r="L76" s="449">
        <v>21</v>
      </c>
      <c r="M76" s="450">
        <v>27.95</v>
      </c>
      <c r="N76" s="450">
        <v>113.82</v>
      </c>
      <c r="O76" s="450">
        <v>90.75</v>
      </c>
    </row>
    <row r="77" spans="11:15">
      <c r="L77" s="449">
        <v>22</v>
      </c>
      <c r="M77" s="450">
        <v>32.409999999999997</v>
      </c>
      <c r="N77" s="450">
        <v>64.03</v>
      </c>
      <c r="O77" s="450">
        <v>53.02</v>
      </c>
    </row>
    <row r="78" spans="11:15">
      <c r="L78" s="449">
        <v>23</v>
      </c>
      <c r="M78" s="450">
        <v>28.93</v>
      </c>
      <c r="N78" s="450">
        <v>53.15</v>
      </c>
      <c r="O78" s="450">
        <v>32.43</v>
      </c>
    </row>
    <row r="79" spans="11:15">
      <c r="K79" s="448">
        <v>24</v>
      </c>
      <c r="L79" s="449">
        <v>24</v>
      </c>
      <c r="M79" s="450">
        <v>26.59</v>
      </c>
      <c r="N79" s="450">
        <v>45.98</v>
      </c>
      <c r="O79" s="450">
        <v>27.75</v>
      </c>
    </row>
    <row r="80" spans="11:15">
      <c r="L80" s="449">
        <v>25</v>
      </c>
      <c r="M80" s="450">
        <v>23.61</v>
      </c>
      <c r="N80" s="450">
        <v>38.68</v>
      </c>
      <c r="O80" s="450">
        <v>24.81</v>
      </c>
    </row>
    <row r="81" spans="11:15">
      <c r="L81" s="449">
        <v>26</v>
      </c>
      <c r="M81" s="450">
        <v>24.94</v>
      </c>
      <c r="N81" s="450">
        <v>34.68</v>
      </c>
      <c r="O81" s="450">
        <v>21.81</v>
      </c>
    </row>
    <row r="82" spans="11:15">
      <c r="L82" s="449">
        <v>27</v>
      </c>
      <c r="M82" s="450">
        <v>25.54</v>
      </c>
      <c r="N82" s="450">
        <v>31.72</v>
      </c>
      <c r="O82" s="450">
        <v>18.649999999999999</v>
      </c>
    </row>
    <row r="83" spans="11:15">
      <c r="K83" s="448">
        <v>28</v>
      </c>
      <c r="L83" s="449">
        <v>28</v>
      </c>
      <c r="M83" s="450">
        <v>23.56</v>
      </c>
      <c r="N83" s="450">
        <v>29.25</v>
      </c>
      <c r="O83" s="450">
        <v>14.27</v>
      </c>
    </row>
    <row r="84" spans="11:15">
      <c r="L84" s="449">
        <v>29</v>
      </c>
      <c r="M84" s="450">
        <v>22.4</v>
      </c>
      <c r="N84" s="450">
        <v>29.53</v>
      </c>
      <c r="O84" s="450">
        <v>11.51</v>
      </c>
    </row>
    <row r="85" spans="11:15">
      <c r="L85" s="449">
        <v>30</v>
      </c>
      <c r="M85" s="450">
        <v>21.29</v>
      </c>
      <c r="N85" s="450">
        <v>27.62</v>
      </c>
      <c r="O85" s="450">
        <v>9.7200000000000006</v>
      </c>
    </row>
    <row r="86" spans="11:15">
      <c r="L86" s="449">
        <v>31</v>
      </c>
      <c r="M86" s="450">
        <v>19.34</v>
      </c>
      <c r="N86" s="450">
        <v>27.99</v>
      </c>
      <c r="O86" s="450">
        <v>8.09</v>
      </c>
    </row>
    <row r="87" spans="11:15">
      <c r="K87" s="448">
        <v>32</v>
      </c>
      <c r="L87" s="449">
        <v>32</v>
      </c>
      <c r="M87" s="450">
        <v>19.649999999999999</v>
      </c>
      <c r="N87" s="450">
        <v>31.42</v>
      </c>
      <c r="O87" s="450">
        <v>7.62</v>
      </c>
    </row>
    <row r="88" spans="11:15">
      <c r="L88" s="449">
        <v>33</v>
      </c>
      <c r="M88" s="450">
        <v>18.420000000000002</v>
      </c>
      <c r="N88" s="450">
        <v>29.71</v>
      </c>
      <c r="O88" s="450">
        <v>9.5500000000000007</v>
      </c>
    </row>
    <row r="89" spans="11:15">
      <c r="L89" s="449">
        <v>34</v>
      </c>
      <c r="M89" s="450">
        <v>17.170000000000002</v>
      </c>
      <c r="N89" s="450">
        <v>30.51</v>
      </c>
      <c r="O89" s="450">
        <v>10.75</v>
      </c>
    </row>
    <row r="90" spans="11:15">
      <c r="L90" s="449">
        <v>35</v>
      </c>
      <c r="M90" s="450">
        <v>17.47</v>
      </c>
      <c r="N90" s="450">
        <v>27.5</v>
      </c>
      <c r="O90" s="450">
        <v>8.31</v>
      </c>
    </row>
    <row r="91" spans="11:15">
      <c r="K91" s="448">
        <v>36</v>
      </c>
      <c r="L91" s="449">
        <v>36</v>
      </c>
      <c r="M91" s="450">
        <v>13.42</v>
      </c>
      <c r="N91" s="450">
        <v>26.21</v>
      </c>
      <c r="O91" s="450">
        <v>6.53</v>
      </c>
    </row>
    <row r="92" spans="11:15">
      <c r="L92" s="449">
        <v>37</v>
      </c>
      <c r="M92" s="450">
        <v>11.2</v>
      </c>
      <c r="N92" s="450">
        <v>29.98</v>
      </c>
      <c r="O92" s="450">
        <v>9.7799999999999994</v>
      </c>
    </row>
    <row r="93" spans="11:15">
      <c r="L93" s="449">
        <v>38</v>
      </c>
      <c r="M93" s="450">
        <v>11</v>
      </c>
      <c r="N93" s="450">
        <v>34.369999999999997</v>
      </c>
      <c r="O93" s="450">
        <v>7.47</v>
      </c>
    </row>
    <row r="94" spans="11:15">
      <c r="K94" s="448">
        <v>39</v>
      </c>
      <c r="L94" s="449">
        <v>39</v>
      </c>
      <c r="M94" s="450">
        <v>11.14</v>
      </c>
      <c r="N94" s="450">
        <v>42.17</v>
      </c>
      <c r="O94" s="450">
        <v>7.49</v>
      </c>
    </row>
    <row r="95" spans="11:15">
      <c r="L95" s="449">
        <v>40</v>
      </c>
      <c r="M95" s="450">
        <v>12.8</v>
      </c>
      <c r="N95" s="450">
        <v>37.270000000000003</v>
      </c>
      <c r="O95" s="450">
        <v>15.47</v>
      </c>
    </row>
    <row r="96" spans="11:15">
      <c r="L96" s="449">
        <v>41</v>
      </c>
      <c r="M96" s="450">
        <v>14.41</v>
      </c>
      <c r="N96" s="450">
        <v>40.04</v>
      </c>
      <c r="O96" s="450">
        <v>18</v>
      </c>
    </row>
    <row r="97" spans="10:15">
      <c r="L97" s="449">
        <v>42</v>
      </c>
      <c r="M97" s="450">
        <v>15.87</v>
      </c>
      <c r="N97" s="450">
        <v>35.79</v>
      </c>
      <c r="O97" s="450">
        <v>12.74</v>
      </c>
    </row>
    <row r="98" spans="10:15">
      <c r="K98" s="448">
        <v>43</v>
      </c>
      <c r="L98" s="449">
        <v>43</v>
      </c>
      <c r="M98" s="450">
        <v>19.61</v>
      </c>
      <c r="N98" s="450">
        <v>50.36</v>
      </c>
      <c r="O98" s="450">
        <v>30.75</v>
      </c>
    </row>
    <row r="99" spans="10:15">
      <c r="L99" s="449">
        <v>44</v>
      </c>
      <c r="M99" s="450">
        <v>21.85</v>
      </c>
      <c r="N99" s="450">
        <v>54.94</v>
      </c>
      <c r="O99" s="450">
        <v>23.58</v>
      </c>
    </row>
    <row r="100" spans="10:15">
      <c r="L100" s="449">
        <v>45</v>
      </c>
      <c r="M100" s="450">
        <v>16.79</v>
      </c>
      <c r="N100" s="450">
        <v>41.16</v>
      </c>
      <c r="O100" s="450">
        <v>11.77</v>
      </c>
    </row>
    <row r="101" spans="10:15">
      <c r="L101" s="449">
        <v>46</v>
      </c>
      <c r="M101" s="450">
        <v>16.010000000000002</v>
      </c>
      <c r="N101" s="450">
        <v>42.65</v>
      </c>
      <c r="O101" s="450">
        <v>9.33</v>
      </c>
    </row>
    <row r="102" spans="10:15">
      <c r="L102" s="449">
        <v>47</v>
      </c>
      <c r="M102" s="450">
        <v>14.72</v>
      </c>
      <c r="N102" s="450">
        <v>39.76</v>
      </c>
      <c r="O102" s="450">
        <v>8.19</v>
      </c>
    </row>
    <row r="103" spans="10:15">
      <c r="K103" s="448">
        <v>48</v>
      </c>
      <c r="L103" s="449">
        <v>48</v>
      </c>
      <c r="M103" s="450">
        <v>18.932000297142856</v>
      </c>
      <c r="N103" s="450">
        <v>47.388000487142854</v>
      </c>
      <c r="O103" s="450">
        <v>19.661285946</v>
      </c>
    </row>
    <row r="104" spans="10:15">
      <c r="L104" s="449">
        <v>49</v>
      </c>
      <c r="M104" s="450">
        <v>28.48371397</v>
      </c>
      <c r="N104" s="450">
        <v>78.087428497142852</v>
      </c>
      <c r="O104" s="450">
        <v>19.181428364285715</v>
      </c>
    </row>
    <row r="105" spans="10:15">
      <c r="L105" s="449">
        <v>50</v>
      </c>
      <c r="M105" s="450">
        <v>32.583286012857144</v>
      </c>
      <c r="N105" s="450">
        <v>69.764142717142846</v>
      </c>
      <c r="O105" s="450">
        <v>23.7245715</v>
      </c>
    </row>
    <row r="106" spans="10:15">
      <c r="L106" s="449">
        <v>51</v>
      </c>
      <c r="M106" s="450">
        <v>34.501856668571428</v>
      </c>
      <c r="N106" s="450">
        <v>71.14499991142857</v>
      </c>
      <c r="O106" s="450">
        <v>26.158142907142857</v>
      </c>
    </row>
    <row r="107" spans="10:15">
      <c r="K107" s="448">
        <v>52</v>
      </c>
      <c r="L107" s="449">
        <v>52</v>
      </c>
      <c r="M107" s="450">
        <v>27.781857355714287</v>
      </c>
      <c r="N107" s="450">
        <v>83.196000228571435</v>
      </c>
      <c r="O107" s="450">
        <v>21.776999882857144</v>
      </c>
    </row>
    <row r="108" spans="10:15">
      <c r="J108" s="25">
        <v>2018</v>
      </c>
      <c r="K108" s="448">
        <v>1</v>
      </c>
      <c r="L108" s="449">
        <v>1</v>
      </c>
      <c r="M108" s="450">
        <v>29.44</v>
      </c>
      <c r="N108" s="450">
        <v>69.087142857142865</v>
      </c>
      <c r="O108" s="450">
        <v>15.747142857142856</v>
      </c>
    </row>
    <row r="109" spans="10:15">
      <c r="L109" s="449">
        <v>2</v>
      </c>
      <c r="M109" s="450">
        <v>42.880857194285717</v>
      </c>
      <c r="N109" s="450">
        <v>96.785858138571413</v>
      </c>
      <c r="O109" s="450">
        <v>37.6</v>
      </c>
    </row>
    <row r="110" spans="10:15">
      <c r="L110" s="449">
        <v>3</v>
      </c>
      <c r="M110" s="450">
        <v>74.002572194285705</v>
      </c>
      <c r="N110" s="450">
        <v>158.17728531428571</v>
      </c>
      <c r="O110" s="450">
        <v>101.26128550142856</v>
      </c>
    </row>
    <row r="111" spans="10:15">
      <c r="K111" s="448">
        <v>4</v>
      </c>
      <c r="L111" s="449">
        <v>4</v>
      </c>
      <c r="M111" s="450">
        <v>77.812570845714291</v>
      </c>
      <c r="N111" s="450">
        <v>167.02357267142858</v>
      </c>
      <c r="O111" s="450">
        <v>77.354000085714276</v>
      </c>
    </row>
    <row r="112" spans="10:15">
      <c r="L112" s="449">
        <v>5</v>
      </c>
      <c r="M112" s="450">
        <v>61.531714848571433</v>
      </c>
      <c r="N112" s="450">
        <v>113.19585745142855</v>
      </c>
      <c r="O112" s="450">
        <v>30.667142595714285</v>
      </c>
    </row>
    <row r="113" spans="11:15">
      <c r="L113" s="449">
        <v>6</v>
      </c>
      <c r="M113" s="450">
        <v>54.024142672857138</v>
      </c>
      <c r="N113" s="450">
        <v>88.535714287142852</v>
      </c>
      <c r="O113" s="450">
        <v>32.444142750000005</v>
      </c>
    </row>
    <row r="114" spans="11:15">
      <c r="L114" s="449">
        <v>7</v>
      </c>
      <c r="M114" s="450">
        <v>59.271427155714285</v>
      </c>
      <c r="N114" s="450">
        <v>99.37822619047617</v>
      </c>
      <c r="O114" s="450">
        <v>30.338148809523812</v>
      </c>
    </row>
    <row r="115" spans="11:15">
      <c r="K115" s="448">
        <v>8</v>
      </c>
      <c r="L115" s="449">
        <v>8</v>
      </c>
      <c r="M115" s="450">
        <v>78.025571005714284</v>
      </c>
      <c r="N115" s="450">
        <v>140.28</v>
      </c>
      <c r="O115" s="450">
        <v>62.97</v>
      </c>
    </row>
    <row r="116" spans="11:15">
      <c r="L116" s="449">
        <v>9</v>
      </c>
      <c r="M116" s="450">
        <v>61.11871501571428</v>
      </c>
      <c r="N116" s="450">
        <v>102.99642836285715</v>
      </c>
      <c r="O116" s="450">
        <v>31.244571685714288</v>
      </c>
    </row>
    <row r="117" spans="11:15">
      <c r="L117" s="449">
        <v>10</v>
      </c>
      <c r="M117" s="450">
        <v>84.500714981428573</v>
      </c>
      <c r="N117" s="450">
        <v>175.90485927142853</v>
      </c>
      <c r="O117" s="450">
        <v>36.038285662857142</v>
      </c>
    </row>
    <row r="118" spans="11:15">
      <c r="L118" s="449">
        <v>11</v>
      </c>
      <c r="M118" s="450">
        <v>83.643855504285725</v>
      </c>
      <c r="N118" s="450">
        <v>169.64671761428571</v>
      </c>
      <c r="O118" s="450">
        <v>25.076428275714282</v>
      </c>
    </row>
    <row r="119" spans="11:15">
      <c r="K119" s="448">
        <v>12</v>
      </c>
      <c r="L119" s="449">
        <v>12</v>
      </c>
      <c r="M119" s="450">
        <v>98.99</v>
      </c>
      <c r="N119" s="450">
        <v>198.22</v>
      </c>
      <c r="O119" s="450">
        <v>24.63</v>
      </c>
    </row>
    <row r="120" spans="11:15">
      <c r="L120" s="449">
        <v>13</v>
      </c>
      <c r="M120" s="450">
        <v>106.64928652857144</v>
      </c>
      <c r="N120" s="450">
        <v>312.6314304857143</v>
      </c>
      <c r="O120" s="450">
        <v>38.701428550000003</v>
      </c>
    </row>
    <row r="121" spans="11:15">
      <c r="L121" s="449">
        <v>14</v>
      </c>
      <c r="M121" s="450">
        <v>86.488428389999996</v>
      </c>
      <c r="N121" s="450">
        <v>235.31328691428573</v>
      </c>
      <c r="O121" s="450">
        <v>94.596427907142839</v>
      </c>
    </row>
    <row r="122" spans="11:15">
      <c r="L122" s="449">
        <v>15</v>
      </c>
      <c r="M122" s="450">
        <v>88.217001778571429</v>
      </c>
      <c r="N122" s="450">
        <v>294.1721409428572</v>
      </c>
      <c r="O122" s="450">
        <v>92.07</v>
      </c>
    </row>
    <row r="123" spans="11:15">
      <c r="K123" s="448">
        <v>16</v>
      </c>
      <c r="L123" s="449">
        <v>16</v>
      </c>
      <c r="M123" s="450">
        <v>65.84</v>
      </c>
      <c r="N123" s="450">
        <v>149.18</v>
      </c>
      <c r="O123" s="450">
        <v>45.4</v>
      </c>
    </row>
    <row r="124" spans="11:15">
      <c r="L124" s="449">
        <v>17</v>
      </c>
      <c r="M124" s="450">
        <v>51.88</v>
      </c>
      <c r="N124" s="450">
        <v>104.35</v>
      </c>
      <c r="O124" s="450">
        <v>41.47</v>
      </c>
    </row>
    <row r="125" spans="11:15">
      <c r="L125" s="449">
        <v>18</v>
      </c>
      <c r="M125" s="450">
        <v>49.672285897142856</v>
      </c>
      <c r="N125" s="450">
        <v>78.038143701428567</v>
      </c>
      <c r="O125" s="450">
        <v>65.800999782857133</v>
      </c>
    </row>
    <row r="126" spans="11:15">
      <c r="L126" s="449">
        <v>19</v>
      </c>
      <c r="M126" s="450">
        <v>45.203000204285708</v>
      </c>
      <c r="N126" s="450">
        <v>78.313856942857129</v>
      </c>
      <c r="O126" s="450">
        <v>75.104713441428572</v>
      </c>
    </row>
    <row r="127" spans="11:15">
      <c r="K127" s="448">
        <v>20</v>
      </c>
      <c r="L127" s="449">
        <v>20</v>
      </c>
      <c r="M127" s="450">
        <v>37.385857718571437</v>
      </c>
      <c r="N127" s="450">
        <v>130.92628696285712</v>
      </c>
      <c r="O127" s="450">
        <v>97.861000055714285</v>
      </c>
    </row>
    <row r="128" spans="11:15">
      <c r="L128" s="449">
        <v>21</v>
      </c>
      <c r="M128" s="450">
        <v>31.609713962857143</v>
      </c>
      <c r="N128" s="450">
        <v>64.449287412857146</v>
      </c>
      <c r="O128" s="450">
        <v>107.7964292242857</v>
      </c>
    </row>
    <row r="129" spans="11:15">
      <c r="L129" s="449">
        <v>22</v>
      </c>
      <c r="M129" s="450">
        <v>23.360142844285715</v>
      </c>
      <c r="N129" s="450">
        <v>64.449287412857146</v>
      </c>
      <c r="O129" s="450">
        <v>107.7964292242857</v>
      </c>
    </row>
    <row r="130" spans="11:15">
      <c r="L130" s="449">
        <v>23</v>
      </c>
      <c r="M130" s="450">
        <v>22.118571418571431</v>
      </c>
      <c r="N130" s="450">
        <v>39.50100054</v>
      </c>
      <c r="O130" s="450">
        <v>35.176713670000005</v>
      </c>
    </row>
    <row r="131" spans="11:15">
      <c r="K131" s="448">
        <v>24</v>
      </c>
      <c r="L131" s="449">
        <v>24</v>
      </c>
      <c r="M131" s="450">
        <v>18.655142918571432</v>
      </c>
      <c r="N131" s="450">
        <v>33.690285274285714</v>
      </c>
      <c r="O131" s="450">
        <v>23.41942841571429</v>
      </c>
    </row>
    <row r="132" spans="11:15">
      <c r="L132" s="449">
        <v>25</v>
      </c>
      <c r="M132" s="450">
        <v>15.664428437142856</v>
      </c>
      <c r="N132" s="450">
        <v>30.228428704285715</v>
      </c>
      <c r="O132" s="450">
        <v>15.98614284142857</v>
      </c>
    </row>
    <row r="133" spans="11:15">
      <c r="L133" s="449">
        <v>26</v>
      </c>
      <c r="M133" s="450">
        <v>13.848143032857147</v>
      </c>
      <c r="N133" s="450">
        <v>27.872285568571431</v>
      </c>
      <c r="O133" s="450">
        <v>14.09042848857143</v>
      </c>
    </row>
    <row r="134" spans="11:15">
      <c r="L134" s="449">
        <v>27</v>
      </c>
      <c r="M134" s="450">
        <v>12.865857259999999</v>
      </c>
      <c r="N134" s="450">
        <v>27.257571358571429</v>
      </c>
      <c r="O134" s="450">
        <v>11.838857105714284</v>
      </c>
    </row>
    <row r="135" spans="11:15">
      <c r="K135" s="448">
        <v>28</v>
      </c>
      <c r="L135" s="449">
        <v>28</v>
      </c>
      <c r="M135" s="450">
        <v>12.915285789999999</v>
      </c>
      <c r="N135" s="477">
        <v>27.217285974285712</v>
      </c>
      <c r="O135" s="450">
        <v>9.7789998731428565</v>
      </c>
    </row>
    <row r="136" spans="11:15">
      <c r="L136" s="449">
        <v>29</v>
      </c>
      <c r="M136" s="450">
        <v>15.908571428571426</v>
      </c>
      <c r="N136" s="477">
        <v>24.955714285714286</v>
      </c>
      <c r="O136" s="450">
        <v>8.4957142857142856</v>
      </c>
    </row>
    <row r="137" spans="11:15">
      <c r="L137" s="449">
        <v>30</v>
      </c>
      <c r="M137" s="450">
        <v>16.584000042857145</v>
      </c>
      <c r="N137" s="477">
        <v>24.80942862142857</v>
      </c>
      <c r="O137" s="450">
        <v>7.807428428142857</v>
      </c>
    </row>
    <row r="138" spans="11:15">
      <c r="L138" s="449">
        <v>31</v>
      </c>
      <c r="M138" s="450">
        <v>18.553000000000001</v>
      </c>
      <c r="N138" s="477">
        <v>25.690999999999999</v>
      </c>
      <c r="O138" s="450">
        <v>7.53</v>
      </c>
    </row>
    <row r="139" spans="11:15">
      <c r="K139" s="448">
        <v>32</v>
      </c>
      <c r="L139" s="449">
        <v>32</v>
      </c>
      <c r="M139" s="450">
        <v>17.769714355714285</v>
      </c>
      <c r="N139" s="477">
        <v>27.630000251428573</v>
      </c>
      <c r="O139" s="450">
        <v>6.4074286734285701</v>
      </c>
    </row>
    <row r="140" spans="11:15">
      <c r="L140" s="449">
        <v>33</v>
      </c>
      <c r="M140" s="450">
        <v>14.782857348571428</v>
      </c>
      <c r="N140" s="477">
        <v>23.78</v>
      </c>
      <c r="O140" s="450">
        <v>4.9400000000000004</v>
      </c>
    </row>
    <row r="141" spans="11:15">
      <c r="L141" s="449">
        <v>34</v>
      </c>
      <c r="M141" s="450">
        <v>15.984000069999999</v>
      </c>
      <c r="N141" s="477">
        <v>23.527999878571428</v>
      </c>
      <c r="O141" s="450">
        <v>4.6688571658571432</v>
      </c>
    </row>
    <row r="142" spans="11:15">
      <c r="L142" s="449">
        <v>35</v>
      </c>
      <c r="M142" s="450">
        <v>15.55</v>
      </c>
      <c r="N142" s="477">
        <v>23.29</v>
      </c>
      <c r="O142" s="450">
        <v>4.5999999999999996</v>
      </c>
    </row>
    <row r="143" spans="11:15">
      <c r="K143" s="448">
        <v>36</v>
      </c>
      <c r="L143" s="449">
        <v>36</v>
      </c>
      <c r="M143" s="450">
        <v>15.042857142857143</v>
      </c>
      <c r="N143" s="450">
        <v>23.007142857142856</v>
      </c>
      <c r="O143" s="450">
        <v>3.9657142857142857</v>
      </c>
    </row>
    <row r="144" spans="11:15">
      <c r="L144" s="449">
        <v>37</v>
      </c>
      <c r="M144" s="450">
        <v>13.386857033</v>
      </c>
      <c r="N144" s="450">
        <v>23.173571724285711</v>
      </c>
      <c r="O144" s="450">
        <v>3.5334285327142858</v>
      </c>
    </row>
    <row r="145" spans="10:15">
      <c r="L145" s="449">
        <v>38</v>
      </c>
      <c r="M145" s="450">
        <v>12.963714189999999</v>
      </c>
      <c r="N145" s="450">
        <v>26.454000201428567</v>
      </c>
      <c r="O145" s="450">
        <v>6.4914285118571433</v>
      </c>
    </row>
    <row r="146" spans="10:15">
      <c r="L146" s="449">
        <v>39</v>
      </c>
      <c r="M146" s="450">
        <v>9.4700000000000006</v>
      </c>
      <c r="N146" s="450">
        <v>23.7</v>
      </c>
      <c r="O146" s="450">
        <v>4.9000000000000004</v>
      </c>
    </row>
    <row r="147" spans="10:15">
      <c r="K147" s="448">
        <v>40</v>
      </c>
      <c r="L147" s="449">
        <v>40</v>
      </c>
      <c r="M147" s="450">
        <v>9.6714286802857146</v>
      </c>
      <c r="N147" s="568">
        <v>23.695143017142858</v>
      </c>
      <c r="O147" s="450">
        <v>4.898285797571428</v>
      </c>
    </row>
    <row r="148" spans="10:15">
      <c r="L148" s="449">
        <v>41</v>
      </c>
      <c r="M148" s="450">
        <v>13.23900018419533</v>
      </c>
      <c r="N148" s="568">
        <v>28.113285882132363</v>
      </c>
      <c r="O148" s="450">
        <v>8.3430000032697169</v>
      </c>
    </row>
    <row r="149" spans="10:15">
      <c r="L149" s="449">
        <v>42</v>
      </c>
      <c r="M149" s="450">
        <v>13.085142816816015</v>
      </c>
      <c r="N149" s="568">
        <v>37.073285511561743</v>
      </c>
      <c r="O149" s="450">
        <v>7.2735712868826683</v>
      </c>
    </row>
    <row r="150" spans="10:15">
      <c r="L150" s="449">
        <v>43</v>
      </c>
      <c r="M150" s="450">
        <v>24.981571742466489</v>
      </c>
      <c r="N150" s="568">
        <v>70.535571507045162</v>
      </c>
      <c r="O150" s="450">
        <v>7.4324284962245324</v>
      </c>
    </row>
    <row r="151" spans="10:15">
      <c r="K151" s="448">
        <v>44</v>
      </c>
      <c r="L151" s="449">
        <v>44</v>
      </c>
      <c r="M151" s="450">
        <v>20.55814279714286</v>
      </c>
      <c r="N151" s="568">
        <v>55.183714184285712</v>
      </c>
      <c r="O151" s="450">
        <v>15.801856994857145</v>
      </c>
    </row>
    <row r="152" spans="10:15">
      <c r="L152" s="449">
        <v>45</v>
      </c>
      <c r="M152" s="450">
        <v>26.170000077142856</v>
      </c>
      <c r="N152" s="450">
        <v>60.445714132857141</v>
      </c>
      <c r="O152" s="450">
        <v>26.432857787142858</v>
      </c>
    </row>
    <row r="153" spans="10:15">
      <c r="L153" s="449">
        <v>46</v>
      </c>
      <c r="M153" s="450">
        <v>19.728571428571428</v>
      </c>
      <c r="N153" s="450">
        <v>57.005714285714291</v>
      </c>
      <c r="O153" s="450">
        <v>53.502857142857145</v>
      </c>
    </row>
    <row r="154" spans="10:15">
      <c r="L154" s="449">
        <v>47</v>
      </c>
      <c r="M154" s="450">
        <v>39.656714302857139</v>
      </c>
      <c r="N154" s="450">
        <v>103.00771440714287</v>
      </c>
      <c r="O154" s="450">
        <v>53.459142955714292</v>
      </c>
    </row>
    <row r="155" spans="10:15">
      <c r="K155" s="448">
        <v>48</v>
      </c>
      <c r="L155" s="449">
        <v>48</v>
      </c>
      <c r="M155" s="450">
        <v>39.656714302857139</v>
      </c>
      <c r="N155" s="450">
        <v>99.828000734285709</v>
      </c>
      <c r="O155" s="450">
        <v>45.539571760000008</v>
      </c>
    </row>
    <row r="156" spans="10:15">
      <c r="L156" s="449">
        <v>49</v>
      </c>
      <c r="M156" s="450">
        <v>22.62857142857143</v>
      </c>
      <c r="N156" s="450">
        <v>60.27571428571428</v>
      </c>
      <c r="O156" s="450">
        <v>17.955714285714286</v>
      </c>
    </row>
    <row r="157" spans="10:15">
      <c r="L157" s="449">
        <v>50</v>
      </c>
      <c r="M157" s="450">
        <v>17.776714461428572</v>
      </c>
      <c r="N157" s="450">
        <v>46.701999664285715</v>
      </c>
      <c r="O157" s="450">
        <v>13.432571411428571</v>
      </c>
    </row>
    <row r="158" spans="10:15">
      <c r="L158" s="449">
        <v>51</v>
      </c>
      <c r="M158" s="450">
        <v>34.085714285714282</v>
      </c>
      <c r="N158" s="450">
        <v>68.7</v>
      </c>
      <c r="O158" s="450">
        <v>39.414285714285711</v>
      </c>
    </row>
    <row r="159" spans="10:15">
      <c r="K159" s="448">
        <v>52</v>
      </c>
      <c r="L159" s="449">
        <v>52</v>
      </c>
      <c r="M159" s="450">
        <v>52.094142914285719</v>
      </c>
      <c r="N159" s="450">
        <v>97.347143448571416</v>
      </c>
      <c r="O159" s="450">
        <v>65.679429182857149</v>
      </c>
    </row>
    <row r="160" spans="10:15">
      <c r="J160" s="25">
        <v>2019</v>
      </c>
      <c r="K160" s="449">
        <v>1</v>
      </c>
      <c r="L160" s="449">
        <v>1</v>
      </c>
      <c r="M160" s="450">
        <v>27.79999951142857</v>
      </c>
      <c r="N160" s="450">
        <v>78.298570904285711</v>
      </c>
      <c r="O160" s="450">
        <v>21.927143370000003</v>
      </c>
    </row>
    <row r="161" spans="11:15">
      <c r="K161" s="449"/>
      <c r="L161" s="449">
        <v>2</v>
      </c>
      <c r="M161" s="450">
        <v>28.678571428571427</v>
      </c>
      <c r="N161" s="450">
        <v>95.081715179999989</v>
      </c>
      <c r="O161" s="450">
        <v>22.397999900000002</v>
      </c>
    </row>
    <row r="162" spans="11:15">
      <c r="K162" s="449"/>
      <c r="L162" s="449">
        <v>3</v>
      </c>
      <c r="M162" s="450">
        <v>44.51</v>
      </c>
      <c r="N162" s="450">
        <v>95.65</v>
      </c>
      <c r="O162" s="450">
        <v>17.61</v>
      </c>
    </row>
    <row r="163" spans="11:15">
      <c r="K163" s="449">
        <v>4</v>
      </c>
      <c r="L163" s="449">
        <v>4</v>
      </c>
      <c r="M163" s="450">
        <v>73.323141914285699</v>
      </c>
      <c r="N163" s="450">
        <v>109.29957036285714</v>
      </c>
      <c r="O163" s="450">
        <v>17.638000354285712</v>
      </c>
    </row>
    <row r="164" spans="11:15">
      <c r="L164" s="449">
        <v>5</v>
      </c>
      <c r="M164" s="450">
        <v>103.17716724333333</v>
      </c>
      <c r="N164" s="450">
        <v>149.65083311999999</v>
      </c>
      <c r="O164" s="450">
        <v>19.218833289999999</v>
      </c>
    </row>
    <row r="165" spans="11:15">
      <c r="L165" s="449">
        <v>6</v>
      </c>
      <c r="M165" s="450">
        <v>79.165714285714287</v>
      </c>
      <c r="N165" s="450">
        <v>136.57714285714286</v>
      </c>
      <c r="O165" s="450">
        <v>57.185714285714276</v>
      </c>
    </row>
    <row r="166" spans="11:15">
      <c r="L166" s="449">
        <v>7</v>
      </c>
      <c r="M166" s="450">
        <v>120.02256992142858</v>
      </c>
      <c r="N166" s="450">
        <v>224.71071514285714</v>
      </c>
      <c r="O166" s="450">
        <v>118.06042697857141</v>
      </c>
    </row>
    <row r="167" spans="11:15">
      <c r="K167" s="449">
        <v>8</v>
      </c>
      <c r="L167" s="449">
        <v>8</v>
      </c>
      <c r="M167" s="450">
        <v>97.560142514285715</v>
      </c>
      <c r="N167" s="450">
        <v>198.04342652857142</v>
      </c>
      <c r="O167" s="450">
        <v>106.29885756428571</v>
      </c>
    </row>
    <row r="168" spans="11:15">
      <c r="L168" s="449">
        <v>9</v>
      </c>
      <c r="M168" s="450">
        <v>97.560142514285715</v>
      </c>
      <c r="N168" s="450">
        <v>191.0112849857143</v>
      </c>
      <c r="O168" s="450">
        <v>142.12385776285717</v>
      </c>
    </row>
    <row r="169" spans="11:15">
      <c r="L169" s="449">
        <v>10</v>
      </c>
      <c r="M169" s="450">
        <v>97.497286117142863</v>
      </c>
      <c r="N169" s="450">
        <v>215.64014109999999</v>
      </c>
      <c r="O169" s="450">
        <v>164.59685624285717</v>
      </c>
    </row>
    <row r="170" spans="11:15">
      <c r="L170" s="449">
        <v>11</v>
      </c>
      <c r="M170" s="450">
        <v>98.21585736955906</v>
      </c>
      <c r="N170" s="450">
        <v>236.76099940708642</v>
      </c>
      <c r="O170" s="450">
        <v>121.6507121494835</v>
      </c>
    </row>
    <row r="171" spans="11:15">
      <c r="K171" s="449">
        <v>12</v>
      </c>
      <c r="L171" s="449">
        <v>12</v>
      </c>
      <c r="M171" s="450">
        <v>91.857713972857141</v>
      </c>
      <c r="N171" s="450">
        <v>250.8679761904763</v>
      </c>
      <c r="O171" s="450">
        <v>166.63136904761905</v>
      </c>
    </row>
    <row r="172" spans="11:15">
      <c r="K172" s="449"/>
      <c r="L172" s="449">
        <v>13</v>
      </c>
      <c r="M172" s="450">
        <v>100.0137132957143</v>
      </c>
      <c r="N172" s="450">
        <v>301.45971681428574</v>
      </c>
      <c r="O172" s="450">
        <v>180.07000078571429</v>
      </c>
    </row>
    <row r="173" spans="11:15">
      <c r="K173" s="449"/>
      <c r="L173" s="449">
        <v>14</v>
      </c>
      <c r="M173" s="450">
        <v>84.272714885714294</v>
      </c>
      <c r="N173" s="450">
        <v>253.08542525714284</v>
      </c>
      <c r="O173" s="450">
        <v>143.43971579999999</v>
      </c>
    </row>
    <row r="174" spans="11:15">
      <c r="L174" s="449">
        <v>15</v>
      </c>
      <c r="M174" s="450">
        <v>61.074856892857142</v>
      </c>
      <c r="N174" s="450">
        <v>253.08542525714284</v>
      </c>
      <c r="O174" s="450">
        <v>152.6561442857143</v>
      </c>
    </row>
    <row r="175" spans="11:15">
      <c r="K175" s="735">
        <v>16</v>
      </c>
      <c r="L175" s="735">
        <v>16</v>
      </c>
      <c r="M175" s="450">
        <v>47.843714031428576</v>
      </c>
      <c r="N175" s="450">
        <v>141.0458592</v>
      </c>
      <c r="O175" s="450">
        <v>83.844285145714295</v>
      </c>
    </row>
    <row r="176" spans="11:15">
      <c r="K176" s="735"/>
      <c r="L176" s="735">
        <v>17</v>
      </c>
      <c r="M176" s="450">
        <v>50.907143728571427</v>
      </c>
      <c r="N176" s="450">
        <v>123.86656951428571</v>
      </c>
      <c r="O176" s="450">
        <v>125.28814153857142</v>
      </c>
    </row>
    <row r="177" spans="11:15">
      <c r="K177" s="735"/>
      <c r="L177" s="735">
        <v>18</v>
      </c>
      <c r="M177" s="450">
        <v>39.120999471428568</v>
      </c>
      <c r="N177" s="450">
        <v>85.173857551428583</v>
      </c>
      <c r="O177" s="450">
        <v>66.347143447142855</v>
      </c>
    </row>
    <row r="178" spans="11:15">
      <c r="K178" s="735"/>
      <c r="L178" s="449">
        <v>19</v>
      </c>
      <c r="M178" s="450">
        <v>35.410856791428571</v>
      </c>
      <c r="N178" s="450">
        <v>71.224285714285699</v>
      </c>
      <c r="O178" s="450">
        <v>42.216071428571425</v>
      </c>
    </row>
    <row r="179" spans="11:15">
      <c r="K179" s="735"/>
      <c r="L179" s="735">
        <v>20</v>
      </c>
      <c r="M179" s="450">
        <v>32.405142920000003</v>
      </c>
      <c r="N179" s="450">
        <v>76.857142859999996</v>
      </c>
      <c r="O179" s="450">
        <v>58.324429100000003</v>
      </c>
    </row>
    <row r="180" spans="11:15">
      <c r="K180" s="735"/>
      <c r="L180" s="735">
        <v>21</v>
      </c>
      <c r="M180" s="450">
        <v>26.58385740142857</v>
      </c>
      <c r="N180" s="450">
        <v>47.97114345</v>
      </c>
      <c r="O180" s="450">
        <v>34.032571519999998</v>
      </c>
    </row>
    <row r="181" spans="11:15">
      <c r="K181" s="735">
        <v>22</v>
      </c>
      <c r="L181" s="735">
        <v>22</v>
      </c>
      <c r="M181" s="450">
        <v>19.653714315714286</v>
      </c>
      <c r="N181" s="450">
        <v>37.624285945285713</v>
      </c>
      <c r="O181" s="450">
        <v>40.524285998571429</v>
      </c>
    </row>
    <row r="182" spans="11:15">
      <c r="K182" s="692"/>
      <c r="L182" s="735">
        <v>23</v>
      </c>
      <c r="M182" s="450">
        <v>16.50400011857143</v>
      </c>
      <c r="N182" s="450">
        <v>37.806285858571421</v>
      </c>
      <c r="O182" s="450">
        <v>25.010571342857141</v>
      </c>
    </row>
    <row r="183" spans="11:15">
      <c r="K183" s="692"/>
      <c r="L183" s="735">
        <v>24</v>
      </c>
      <c r="M183" s="450">
        <v>14.890428544285713</v>
      </c>
      <c r="N183" s="450">
        <v>35.468714032857143</v>
      </c>
      <c r="O183" s="450">
        <v>18.242713997857145</v>
      </c>
    </row>
    <row r="184" spans="11:15">
      <c r="K184" s="692"/>
      <c r="L184" s="735">
        <v>25</v>
      </c>
      <c r="M184" s="450">
        <v>15.340000017142858</v>
      </c>
      <c r="N184" s="450">
        <v>33.200142724285719</v>
      </c>
      <c r="O184" s="450">
        <v>16.013142995714286</v>
      </c>
    </row>
    <row r="185" spans="11:15">
      <c r="K185" s="735">
        <v>26</v>
      </c>
      <c r="L185" s="735">
        <v>26</v>
      </c>
      <c r="M185" s="450">
        <v>15.521142687142857</v>
      </c>
      <c r="N185" s="450">
        <v>28.376285825714287</v>
      </c>
      <c r="O185" s="450">
        <v>12.961571557142857</v>
      </c>
    </row>
    <row r="186" spans="11:15">
      <c r="K186" s="692"/>
      <c r="L186" s="735">
        <v>27</v>
      </c>
      <c r="M186" s="450">
        <v>15.32</v>
      </c>
      <c r="N186" s="450">
        <v>28.47</v>
      </c>
      <c r="O186" s="450">
        <v>11.39</v>
      </c>
    </row>
    <row r="187" spans="11:15">
      <c r="K187" s="692"/>
      <c r="L187" s="735">
        <v>28</v>
      </c>
      <c r="M187" s="450">
        <v>14.809428488571427</v>
      </c>
      <c r="N187" s="450">
        <v>28.920333226666667</v>
      </c>
      <c r="O187" s="450">
        <v>11.405166626666668</v>
      </c>
    </row>
    <row r="188" spans="11:15">
      <c r="K188" s="692"/>
      <c r="L188" s="735">
        <v>29</v>
      </c>
      <c r="M188" s="450">
        <v>13.666428565978956</v>
      </c>
      <c r="N188" s="450">
        <v>24.422333717346149</v>
      </c>
      <c r="O188" s="450">
        <v>10.173999945322651</v>
      </c>
    </row>
    <row r="189" spans="11:15">
      <c r="K189" s="735">
        <v>30</v>
      </c>
      <c r="L189" s="735">
        <v>30</v>
      </c>
      <c r="M189" s="450">
        <v>13.392857142857142</v>
      </c>
      <c r="N189" s="450">
        <v>24.086666666666662</v>
      </c>
      <c r="O189" s="450">
        <v>9.1716666666666669</v>
      </c>
    </row>
    <row r="190" spans="11:15">
      <c r="K190" s="692"/>
      <c r="L190" s="735">
        <v>31</v>
      </c>
      <c r="M190" s="450">
        <v>13.098428589999999</v>
      </c>
      <c r="N190" s="450">
        <v>22.471285411428575</v>
      </c>
      <c r="O190" s="450">
        <v>8.5915715354285727</v>
      </c>
    </row>
    <row r="191" spans="11:15">
      <c r="K191" s="692"/>
      <c r="L191" s="735">
        <v>32</v>
      </c>
      <c r="M191" s="450">
        <v>12.228285654285713</v>
      </c>
      <c r="N191" s="450">
        <v>25.212714058571429</v>
      </c>
      <c r="O191" s="450">
        <v>6.6260000637142857</v>
      </c>
    </row>
    <row r="192" spans="11:15">
      <c r="K192" s="692"/>
      <c r="L192" s="735">
        <v>33</v>
      </c>
      <c r="M192" s="450">
        <v>12.838714327142856</v>
      </c>
      <c r="N192" s="450">
        <v>28.061000278571431</v>
      </c>
      <c r="O192" s="450">
        <v>5.9311428751428581</v>
      </c>
    </row>
    <row r="193" spans="11:15">
      <c r="K193" s="692">
        <v>34</v>
      </c>
      <c r="L193" s="735">
        <v>34</v>
      </c>
      <c r="M193" s="450">
        <v>12.37928554</v>
      </c>
      <c r="N193" s="450">
        <v>28.455856868571431</v>
      </c>
      <c r="O193" s="450">
        <v>5.2604285648571434</v>
      </c>
    </row>
    <row r="194" spans="11:15">
      <c r="K194" s="692"/>
      <c r="L194" s="735">
        <v>35</v>
      </c>
      <c r="M194" s="450">
        <v>11.92371409142857</v>
      </c>
      <c r="N194" s="450">
        <v>26.646000226666668</v>
      </c>
      <c r="O194" s="450">
        <v>4.7316666444999997</v>
      </c>
    </row>
    <row r="195" spans="11:15">
      <c r="K195" s="692"/>
      <c r="L195" s="735">
        <v>36</v>
      </c>
      <c r="M195" s="450">
        <v>10.731857162857143</v>
      </c>
      <c r="N195" s="450">
        <v>27.720570974285714</v>
      </c>
      <c r="O195" s="450">
        <v>4.5542856622857144</v>
      </c>
    </row>
    <row r="196" spans="11:15">
      <c r="K196" s="692"/>
      <c r="L196" s="735">
        <v>37</v>
      </c>
      <c r="M196" s="450">
        <v>11.481428825714286</v>
      </c>
      <c r="N196" s="450">
        <v>27.967571258571429</v>
      </c>
      <c r="O196" s="450">
        <v>4.1919999124285718</v>
      </c>
    </row>
    <row r="197" spans="11:15">
      <c r="K197" s="692"/>
      <c r="L197" s="735">
        <v>38</v>
      </c>
      <c r="M197" s="450">
        <v>12.217142857142859</v>
      </c>
      <c r="N197" s="450">
        <v>31.354000000000003</v>
      </c>
      <c r="O197" s="450">
        <v>4.1759999999999993</v>
      </c>
    </row>
    <row r="198" spans="11:15">
      <c r="L198" s="449">
        <v>39</v>
      </c>
      <c r="M198" s="450">
        <v>15.0261430740356</v>
      </c>
      <c r="N198" s="450">
        <v>37.146399307250938</v>
      </c>
      <c r="O198" s="450">
        <v>4.8932001113891559</v>
      </c>
    </row>
    <row r="199" spans="11:15">
      <c r="K199" s="448">
        <v>40</v>
      </c>
      <c r="L199" s="449">
        <v>40</v>
      </c>
      <c r="M199" s="450">
        <v>13.292000225714288</v>
      </c>
      <c r="N199" s="450">
        <v>29.934999783333328</v>
      </c>
      <c r="O199" s="450">
        <v>5.3130000431666664</v>
      </c>
    </row>
    <row r="200" spans="11:15">
      <c r="L200" s="449">
        <v>41</v>
      </c>
      <c r="M200" s="450"/>
      <c r="N200" s="450"/>
      <c r="O200" s="450"/>
    </row>
    <row r="201" spans="11:15">
      <c r="L201" s="449">
        <v>42</v>
      </c>
      <c r="M201" s="450"/>
      <c r="N201" s="450"/>
      <c r="O201" s="450"/>
    </row>
    <row r="202" spans="11:15">
      <c r="K202" s="448">
        <v>43</v>
      </c>
      <c r="L202" s="449">
        <v>43</v>
      </c>
      <c r="M202" s="450"/>
      <c r="N202" s="450"/>
      <c r="O202" s="450"/>
    </row>
    <row r="203" spans="11:15">
      <c r="L203" s="449">
        <v>44</v>
      </c>
      <c r="M203" s="450"/>
      <c r="N203" s="450"/>
      <c r="O203" s="450"/>
    </row>
    <row r="204" spans="11:15">
      <c r="L204" s="449">
        <v>45</v>
      </c>
      <c r="M204" s="450"/>
      <c r="N204" s="450"/>
      <c r="O204" s="450"/>
    </row>
    <row r="205" spans="11:15">
      <c r="L205" s="449">
        <v>46</v>
      </c>
      <c r="M205" s="450"/>
      <c r="N205" s="450"/>
      <c r="O205" s="450"/>
    </row>
    <row r="206" spans="11:15">
      <c r="L206" s="449">
        <v>47</v>
      </c>
      <c r="M206" s="450"/>
      <c r="N206" s="450"/>
      <c r="O206" s="450"/>
    </row>
    <row r="207" spans="11:15">
      <c r="K207" s="448">
        <v>48</v>
      </c>
      <c r="L207" s="449">
        <v>48</v>
      </c>
      <c r="M207" s="450"/>
      <c r="N207" s="450"/>
      <c r="O207" s="450"/>
    </row>
    <row r="208" spans="11:15">
      <c r="L208" s="449">
        <v>49</v>
      </c>
      <c r="M208" s="450"/>
      <c r="N208" s="450"/>
      <c r="O208" s="450"/>
    </row>
    <row r="209" spans="11:15">
      <c r="L209" s="449">
        <v>50</v>
      </c>
      <c r="M209" s="450"/>
      <c r="N209" s="450"/>
      <c r="O209" s="450"/>
    </row>
    <row r="210" spans="11:15">
      <c r="L210" s="449">
        <v>51</v>
      </c>
      <c r="M210" s="450"/>
      <c r="N210" s="450"/>
      <c r="O210" s="450"/>
    </row>
    <row r="211" spans="11:15">
      <c r="K211" s="448">
        <v>52</v>
      </c>
      <c r="L211" s="449">
        <v>52</v>
      </c>
      <c r="M211" s="450"/>
      <c r="N211" s="450"/>
      <c r="O211" s="450"/>
    </row>
    <row r="213" spans="11:15">
      <c r="M213" s="448" t="s">
        <v>274</v>
      </c>
      <c r="N213" s="448" t="s">
        <v>275</v>
      </c>
      <c r="O213" s="448" t="s">
        <v>276</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Mensual-Setiembre 2019
INFSGI-MES-09-2019
11/10/2019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20"/>
  <sheetViews>
    <sheetView showGridLines="0" view="pageBreakPreview" zoomScale="115" zoomScaleNormal="100" zoomScaleSheetLayoutView="115" zoomScalePageLayoutView="130" workbookViewId="0">
      <pane ySplit="3" topLeftCell="A4" activePane="bottomLeft" state="frozen"/>
      <selection activeCell="P22" sqref="P22"/>
      <selection pane="bottomLeft" activeCell="P22" sqref="P22"/>
    </sheetView>
  </sheetViews>
  <sheetFormatPr defaultColWidth="9.33203125" defaultRowHeight="11.25"/>
  <cols>
    <col min="10" max="11" width="9.33203125" customWidth="1"/>
    <col min="13" max="16" width="9.33203125" style="448"/>
    <col min="17" max="17" width="11.6640625" style="448" bestFit="1" customWidth="1"/>
    <col min="18" max="18" width="15.1640625" style="448" customWidth="1"/>
    <col min="19" max="19" width="14.33203125" style="448" customWidth="1"/>
    <col min="20" max="20" width="14.5" style="448" customWidth="1"/>
    <col min="21" max="21" width="9.5" style="448" bestFit="1" customWidth="1"/>
    <col min="22" max="22" width="14.6640625" style="448" customWidth="1"/>
    <col min="23" max="23" width="9.5" style="448" customWidth="1"/>
    <col min="24" max="24" width="9.6640625" style="448" bestFit="1" customWidth="1"/>
    <col min="25" max="25" width="9.5" style="448" bestFit="1" customWidth="1"/>
    <col min="26" max="26" width="9.33203125" style="438"/>
    <col min="27" max="30" width="9.33203125" style="319"/>
    <col min="31" max="32" width="9.33203125" style="307"/>
  </cols>
  <sheetData>
    <row r="1" spans="1:25" ht="11.25" customHeight="1"/>
    <row r="2" spans="1:25" ht="11.25" customHeight="1">
      <c r="A2" s="320"/>
      <c r="B2" s="321"/>
      <c r="C2" s="321"/>
      <c r="D2" s="321"/>
      <c r="E2" s="321"/>
      <c r="F2" s="321"/>
      <c r="G2" s="174"/>
      <c r="H2" s="174"/>
      <c r="I2" s="132"/>
    </row>
    <row r="3" spans="1:25" ht="11.25" customHeight="1">
      <c r="A3" s="132"/>
      <c r="B3" s="132"/>
      <c r="C3" s="132"/>
      <c r="D3" s="132"/>
      <c r="E3" s="132"/>
      <c r="F3" s="132"/>
      <c r="G3" s="138"/>
      <c r="H3" s="138"/>
      <c r="I3" s="138"/>
      <c r="J3" s="148"/>
      <c r="K3" s="148"/>
      <c r="L3" s="148"/>
      <c r="O3" s="448" t="s">
        <v>273</v>
      </c>
      <c r="P3" s="449"/>
      <c r="Q3" s="448" t="s">
        <v>277</v>
      </c>
      <c r="R3" s="448" t="s">
        <v>278</v>
      </c>
      <c r="S3" s="448" t="s">
        <v>279</v>
      </c>
      <c r="T3" s="448" t="s">
        <v>280</v>
      </c>
      <c r="U3" s="448" t="s">
        <v>281</v>
      </c>
      <c r="V3" s="448" t="s">
        <v>282</v>
      </c>
      <c r="W3" s="448" t="s">
        <v>283</v>
      </c>
      <c r="X3" s="448" t="s">
        <v>284</v>
      </c>
      <c r="Y3" s="448" t="s">
        <v>285</v>
      </c>
    </row>
    <row r="4" spans="1:25" ht="11.25" customHeight="1">
      <c r="A4" s="132"/>
      <c r="B4" s="132"/>
      <c r="C4" s="132"/>
      <c r="D4" s="132"/>
      <c r="E4" s="132"/>
      <c r="F4" s="132"/>
      <c r="G4" s="138"/>
      <c r="H4" s="138"/>
      <c r="I4" s="138"/>
      <c r="J4" s="148"/>
      <c r="K4" s="148"/>
      <c r="L4" s="148"/>
      <c r="N4" s="448">
        <v>2016</v>
      </c>
      <c r="O4" s="448">
        <v>1</v>
      </c>
      <c r="P4" s="449">
        <v>1</v>
      </c>
      <c r="Q4" s="450">
        <v>12.12</v>
      </c>
      <c r="R4" s="450">
        <v>8.33</v>
      </c>
      <c r="S4" s="450">
        <v>165.03200000000001</v>
      </c>
      <c r="T4" s="450">
        <v>95.83</v>
      </c>
      <c r="U4" s="450">
        <v>18.5</v>
      </c>
      <c r="V4" s="450">
        <v>10.01</v>
      </c>
      <c r="W4" s="450">
        <v>1.23</v>
      </c>
      <c r="X4" s="450">
        <v>109.19</v>
      </c>
      <c r="Y4" s="450">
        <v>37.270000000000003</v>
      </c>
    </row>
    <row r="5" spans="1:25" ht="11.25" customHeight="1">
      <c r="A5" s="176"/>
      <c r="B5" s="176"/>
      <c r="C5" s="176"/>
      <c r="D5" s="176"/>
      <c r="E5" s="176"/>
      <c r="F5" s="176"/>
      <c r="G5" s="176"/>
      <c r="H5" s="176"/>
      <c r="I5" s="176"/>
      <c r="J5" s="24"/>
      <c r="K5" s="24"/>
      <c r="L5" s="131"/>
      <c r="P5" s="449">
        <v>2</v>
      </c>
      <c r="Q5" s="450">
        <v>10.45</v>
      </c>
      <c r="R5" s="450">
        <v>5.38</v>
      </c>
      <c r="S5" s="450">
        <v>137.04</v>
      </c>
      <c r="T5" s="450">
        <v>78.260000000000005</v>
      </c>
      <c r="U5" s="450">
        <v>13.1</v>
      </c>
      <c r="V5" s="450">
        <v>10</v>
      </c>
      <c r="W5" s="450">
        <v>1.18</v>
      </c>
      <c r="X5" s="450">
        <v>177.91</v>
      </c>
      <c r="Y5" s="450">
        <v>53.34</v>
      </c>
    </row>
    <row r="6" spans="1:25" ht="11.25" customHeight="1">
      <c r="A6" s="132"/>
      <c r="B6" s="322"/>
      <c r="C6" s="323"/>
      <c r="D6" s="324"/>
      <c r="E6" s="324"/>
      <c r="F6" s="177"/>
      <c r="G6" s="178"/>
      <c r="H6" s="178"/>
      <c r="I6" s="179"/>
      <c r="J6" s="24"/>
      <c r="K6" s="24"/>
      <c r="L6" s="19"/>
      <c r="P6" s="449">
        <v>3</v>
      </c>
      <c r="Q6" s="450">
        <v>10.396000000000001</v>
      </c>
      <c r="R6" s="450">
        <v>5.29</v>
      </c>
      <c r="S6" s="450">
        <v>102.45</v>
      </c>
      <c r="T6" s="450">
        <v>101.264</v>
      </c>
      <c r="U6" s="450">
        <v>15.26</v>
      </c>
      <c r="V6" s="450">
        <v>10.01</v>
      </c>
      <c r="W6" s="450">
        <v>1.2529999999999999</v>
      </c>
      <c r="X6" s="450">
        <v>248.28</v>
      </c>
      <c r="Y6" s="450">
        <v>76.69</v>
      </c>
    </row>
    <row r="7" spans="1:25" ht="11.25" customHeight="1">
      <c r="A7" s="132"/>
      <c r="B7" s="180"/>
      <c r="C7" s="180"/>
      <c r="D7" s="181"/>
      <c r="E7" s="181"/>
      <c r="F7" s="177"/>
      <c r="G7" s="178"/>
      <c r="H7" s="178"/>
      <c r="I7" s="179"/>
      <c r="J7" s="25"/>
      <c r="K7" s="25"/>
      <c r="L7" s="22"/>
      <c r="O7" s="448">
        <v>4</v>
      </c>
      <c r="P7" s="449">
        <v>4</v>
      </c>
      <c r="Q7" s="450">
        <v>10.32</v>
      </c>
      <c r="R7" s="450">
        <v>6.0640000000000001</v>
      </c>
      <c r="S7" s="450">
        <v>93.71</v>
      </c>
      <c r="T7" s="450">
        <v>79.73</v>
      </c>
      <c r="U7" s="450">
        <v>12.66</v>
      </c>
      <c r="V7" s="450">
        <v>10.01</v>
      </c>
      <c r="W7" s="450">
        <v>1.22</v>
      </c>
      <c r="X7" s="450">
        <v>142.55000000000001</v>
      </c>
      <c r="Y7" s="450">
        <v>40.92</v>
      </c>
    </row>
    <row r="8" spans="1:25" ht="11.25" customHeight="1">
      <c r="A8" s="132"/>
      <c r="B8" s="182"/>
      <c r="C8" s="132"/>
      <c r="D8" s="156"/>
      <c r="E8" s="156"/>
      <c r="F8" s="177"/>
      <c r="G8" s="178"/>
      <c r="H8" s="178"/>
      <c r="I8" s="179"/>
      <c r="J8" s="23"/>
      <c r="K8" s="23"/>
      <c r="L8" s="24"/>
      <c r="P8" s="449">
        <v>5</v>
      </c>
      <c r="Q8" s="450">
        <v>14.34</v>
      </c>
      <c r="R8" s="450">
        <v>9.59</v>
      </c>
      <c r="S8" s="450">
        <v>142.55000000000001</v>
      </c>
      <c r="T8" s="450">
        <v>128.66</v>
      </c>
      <c r="U8" s="450">
        <v>24.24</v>
      </c>
      <c r="V8" s="450">
        <v>10.01</v>
      </c>
      <c r="W8" s="450">
        <v>1.17</v>
      </c>
      <c r="X8" s="450">
        <v>251.59399999999999</v>
      </c>
      <c r="Y8" s="450">
        <v>58.97</v>
      </c>
    </row>
    <row r="9" spans="1:25" ht="11.25" customHeight="1">
      <c r="A9" s="132"/>
      <c r="B9" s="182"/>
      <c r="C9" s="132"/>
      <c r="D9" s="156"/>
      <c r="E9" s="156"/>
      <c r="F9" s="177"/>
      <c r="G9" s="178"/>
      <c r="H9" s="178"/>
      <c r="I9" s="179"/>
      <c r="J9" s="25"/>
      <c r="K9" s="26"/>
      <c r="L9" s="22"/>
      <c r="P9" s="449">
        <v>6</v>
      </c>
      <c r="Q9" s="450">
        <v>14.98</v>
      </c>
      <c r="R9" s="450">
        <v>12.82</v>
      </c>
      <c r="S9" s="450">
        <v>223.15</v>
      </c>
      <c r="T9" s="450">
        <v>174.87</v>
      </c>
      <c r="U9" s="450">
        <v>35.18</v>
      </c>
      <c r="V9" s="450">
        <v>9.01</v>
      </c>
      <c r="W9" s="450">
        <v>0.82</v>
      </c>
      <c r="X9" s="450">
        <v>388.05428210000002</v>
      </c>
      <c r="Y9" s="450">
        <v>80.41</v>
      </c>
    </row>
    <row r="10" spans="1:25" ht="11.25" customHeight="1">
      <c r="A10" s="132"/>
      <c r="B10" s="182"/>
      <c r="C10" s="132"/>
      <c r="D10" s="156"/>
      <c r="E10" s="156"/>
      <c r="F10" s="177"/>
      <c r="G10" s="178"/>
      <c r="H10" s="178"/>
      <c r="I10" s="179"/>
      <c r="J10" s="25"/>
      <c r="K10" s="25"/>
      <c r="L10" s="22"/>
      <c r="P10" s="449">
        <v>7</v>
      </c>
      <c r="Q10" s="450">
        <v>15.86</v>
      </c>
      <c r="R10" s="450">
        <v>12.43</v>
      </c>
      <c r="S10" s="450">
        <v>223.86</v>
      </c>
      <c r="T10" s="450">
        <v>126.56</v>
      </c>
      <c r="U10" s="450">
        <v>25.04</v>
      </c>
      <c r="V10" s="450">
        <v>9.01</v>
      </c>
      <c r="W10" s="450">
        <v>1.59</v>
      </c>
      <c r="X10" s="450">
        <v>283.21000240000001</v>
      </c>
      <c r="Y10" s="450">
        <v>53.36</v>
      </c>
    </row>
    <row r="11" spans="1:25" ht="11.25" customHeight="1">
      <c r="A11" s="132"/>
      <c r="B11" s="156"/>
      <c r="C11" s="132"/>
      <c r="D11" s="156"/>
      <c r="E11" s="156"/>
      <c r="F11" s="177"/>
      <c r="G11" s="178"/>
      <c r="H11" s="178"/>
      <c r="I11" s="179"/>
      <c r="J11" s="25"/>
      <c r="K11" s="25"/>
      <c r="L11" s="22"/>
      <c r="O11" s="448">
        <v>8</v>
      </c>
      <c r="P11" s="449">
        <v>8</v>
      </c>
      <c r="Q11" s="450">
        <v>22.12</v>
      </c>
      <c r="R11" s="450">
        <v>19.3</v>
      </c>
      <c r="S11" s="450">
        <v>297.45999999999998</v>
      </c>
      <c r="T11" s="450">
        <v>188.83</v>
      </c>
      <c r="U11" s="450">
        <v>26.72</v>
      </c>
      <c r="V11" s="450">
        <v>18.309999999999999</v>
      </c>
      <c r="W11" s="450">
        <v>14.62</v>
      </c>
      <c r="X11" s="450">
        <v>414.29357470000002</v>
      </c>
      <c r="Y11" s="450">
        <v>65.55</v>
      </c>
    </row>
    <row r="12" spans="1:25" ht="11.25" customHeight="1">
      <c r="A12" s="132"/>
      <c r="B12" s="156"/>
      <c r="C12" s="132"/>
      <c r="D12" s="156"/>
      <c r="E12" s="156"/>
      <c r="F12" s="177"/>
      <c r="G12" s="178"/>
      <c r="H12" s="178"/>
      <c r="I12" s="179"/>
      <c r="J12" s="25"/>
      <c r="K12" s="25"/>
      <c r="L12" s="22"/>
      <c r="P12" s="449">
        <v>9</v>
      </c>
      <c r="Q12" s="450">
        <v>31.986428669999999</v>
      </c>
      <c r="R12" s="450">
        <v>19.514333090000001</v>
      </c>
      <c r="S12" s="450">
        <v>326.48699649999998</v>
      </c>
      <c r="T12" s="450">
        <v>170.33500290000001</v>
      </c>
      <c r="U12" s="450">
        <v>30.940000529999999</v>
      </c>
      <c r="V12" s="450">
        <v>16.54985727582655</v>
      </c>
      <c r="W12" s="450">
        <v>7.4597144130000004</v>
      </c>
      <c r="X12" s="450">
        <v>382.60643219999997</v>
      </c>
      <c r="Y12" s="450">
        <v>72.96314185</v>
      </c>
    </row>
    <row r="13" spans="1:25" ht="11.25" customHeight="1">
      <c r="A13" s="132"/>
      <c r="B13" s="156"/>
      <c r="C13" s="132"/>
      <c r="D13" s="156"/>
      <c r="E13" s="156"/>
      <c r="F13" s="177"/>
      <c r="G13" s="178"/>
      <c r="H13" s="178"/>
      <c r="I13" s="179"/>
      <c r="J13" s="23"/>
      <c r="K13" s="23"/>
      <c r="L13" s="24"/>
      <c r="P13" s="449">
        <v>10</v>
      </c>
      <c r="Q13" s="450">
        <v>21.817856924874398</v>
      </c>
      <c r="R13" s="450">
        <v>20.1870002746582</v>
      </c>
      <c r="S13" s="450">
        <v>281.91442869999997</v>
      </c>
      <c r="T13" s="450">
        <v>164.05856977190246</v>
      </c>
      <c r="U13" s="450">
        <v>30.751428604125927</v>
      </c>
      <c r="V13" s="450">
        <v>9.5257144655499921</v>
      </c>
      <c r="W13" s="450">
        <v>2.1815714495522598</v>
      </c>
      <c r="X13" s="450">
        <v>245.78571646554084</v>
      </c>
      <c r="Y13" s="450">
        <v>47.002858298165428</v>
      </c>
    </row>
    <row r="14" spans="1:25" ht="11.25" customHeight="1">
      <c r="A14" s="132"/>
      <c r="B14" s="156"/>
      <c r="C14" s="132"/>
      <c r="D14" s="156"/>
      <c r="E14" s="156"/>
      <c r="F14" s="177"/>
      <c r="G14" s="178"/>
      <c r="H14" s="178"/>
      <c r="I14" s="179"/>
      <c r="J14" s="25"/>
      <c r="K14" s="26"/>
      <c r="L14" s="22"/>
      <c r="P14" s="449">
        <v>11</v>
      </c>
      <c r="Q14" s="450">
        <v>21.645000185285259</v>
      </c>
      <c r="R14" s="450">
        <v>18.452999932425314</v>
      </c>
      <c r="S14" s="450">
        <v>302.97000000000003</v>
      </c>
      <c r="T14" s="450">
        <v>146.11571393694155</v>
      </c>
      <c r="U14" s="450">
        <v>26.230000359671411</v>
      </c>
      <c r="V14" s="450">
        <v>10.001428604125973</v>
      </c>
      <c r="W14" s="450">
        <v>1.7041428429739771</v>
      </c>
      <c r="X14" s="450">
        <v>239.62</v>
      </c>
      <c r="Y14" s="450">
        <v>42.29</v>
      </c>
    </row>
    <row r="15" spans="1:25" ht="11.25" customHeight="1">
      <c r="A15" s="132"/>
      <c r="B15" s="156"/>
      <c r="C15" s="132"/>
      <c r="D15" s="156"/>
      <c r="E15" s="156"/>
      <c r="F15" s="177"/>
      <c r="G15" s="178"/>
      <c r="H15" s="178"/>
      <c r="I15" s="179"/>
      <c r="J15" s="25"/>
      <c r="K15" s="26"/>
      <c r="L15" s="22"/>
      <c r="O15" s="448">
        <v>12</v>
      </c>
      <c r="P15" s="449">
        <v>12</v>
      </c>
      <c r="Q15" s="450">
        <v>15.247000013078916</v>
      </c>
      <c r="R15" s="450">
        <v>12.7100000381469</v>
      </c>
      <c r="S15" s="450">
        <v>179.33771623883899</v>
      </c>
      <c r="T15" s="450">
        <v>114.18428584507485</v>
      </c>
      <c r="U15" s="450">
        <v>18.61999988555905</v>
      </c>
      <c r="V15" s="450">
        <v>9.9999999999999964</v>
      </c>
      <c r="W15" s="450">
        <v>1.2444285835538544</v>
      </c>
      <c r="X15" s="450">
        <v>150.27357046944684</v>
      </c>
      <c r="Y15" s="450">
        <v>24.915714263915959</v>
      </c>
    </row>
    <row r="16" spans="1:25" ht="11.25" customHeight="1">
      <c r="A16" s="132"/>
      <c r="B16" s="156"/>
      <c r="C16" s="132"/>
      <c r="D16" s="156"/>
      <c r="E16" s="156"/>
      <c r="F16" s="177"/>
      <c r="G16" s="178"/>
      <c r="H16" s="178"/>
      <c r="I16" s="179"/>
      <c r="J16" s="25"/>
      <c r="K16" s="26"/>
      <c r="L16" s="22"/>
      <c r="P16" s="449">
        <v>13</v>
      </c>
      <c r="Q16" s="450">
        <v>17.322999954223601</v>
      </c>
      <c r="R16" s="450">
        <v>15.171999931335399</v>
      </c>
      <c r="S16" s="450">
        <v>130.67500305175699</v>
      </c>
      <c r="T16" s="450">
        <v>89.040000915527301</v>
      </c>
      <c r="U16" s="450">
        <v>15.310000419616699</v>
      </c>
      <c r="V16" s="450">
        <v>10</v>
      </c>
      <c r="W16" s="450">
        <v>1.0199999809265099</v>
      </c>
      <c r="X16" s="450">
        <v>116.33999633789</v>
      </c>
      <c r="Y16" s="450">
        <v>24.159999847412099</v>
      </c>
    </row>
    <row r="17" spans="1:25" ht="11.25" customHeight="1">
      <c r="A17" s="132"/>
      <c r="B17" s="156"/>
      <c r="C17" s="132"/>
      <c r="D17" s="156"/>
      <c r="E17" s="156"/>
      <c r="F17" s="177"/>
      <c r="G17" s="178"/>
      <c r="H17" s="178"/>
      <c r="I17" s="179"/>
      <c r="J17" s="25"/>
      <c r="K17" s="26"/>
      <c r="L17" s="22"/>
      <c r="P17" s="449">
        <v>14</v>
      </c>
      <c r="Q17" s="450">
        <v>14.828142711094401</v>
      </c>
      <c r="R17" s="450">
        <v>13.217000007629398</v>
      </c>
      <c r="S17" s="450">
        <v>121.81457192557171</v>
      </c>
      <c r="T17" s="450">
        <v>78.037142072405103</v>
      </c>
      <c r="U17" s="450">
        <v>14.082857131957956</v>
      </c>
      <c r="V17" s="450">
        <v>10.001428604125973</v>
      </c>
      <c r="W17" s="450">
        <v>1.3691428899764975</v>
      </c>
      <c r="X17" s="450">
        <v>126.18428475516127</v>
      </c>
      <c r="Y17" s="450">
        <v>22.646999904087572</v>
      </c>
    </row>
    <row r="18" spans="1:25" ht="11.25" customHeight="1">
      <c r="A18" s="949" t="s">
        <v>511</v>
      </c>
      <c r="B18" s="949"/>
      <c r="C18" s="949"/>
      <c r="D18" s="949"/>
      <c r="E18" s="949"/>
      <c r="F18" s="949"/>
      <c r="G18" s="949"/>
      <c r="H18" s="949"/>
      <c r="I18" s="949"/>
      <c r="J18" s="949"/>
      <c r="K18" s="949"/>
      <c r="L18" s="949"/>
      <c r="P18" s="449">
        <v>15</v>
      </c>
      <c r="Q18" s="450">
        <v>15.017142977033298</v>
      </c>
      <c r="R18" s="450">
        <v>11.291000366210898</v>
      </c>
      <c r="S18" s="450">
        <v>184.69442967006074</v>
      </c>
      <c r="T18" s="450">
        <v>74.048570905412902</v>
      </c>
      <c r="U18" s="450">
        <v>17.312857082911869</v>
      </c>
      <c r="V18" s="450">
        <v>10.005714416503881</v>
      </c>
      <c r="W18" s="450">
        <v>1.6558571543012313</v>
      </c>
      <c r="X18" s="450">
        <v>140.54571315220355</v>
      </c>
      <c r="Y18" s="450">
        <v>22.742571422031897</v>
      </c>
    </row>
    <row r="19" spans="1:25" ht="11.25" customHeight="1">
      <c r="A19" s="25"/>
      <c r="B19" s="156"/>
      <c r="C19" s="132"/>
      <c r="D19" s="156"/>
      <c r="E19" s="156"/>
      <c r="F19" s="177"/>
      <c r="G19" s="178"/>
      <c r="H19" s="178"/>
      <c r="I19" s="179"/>
      <c r="J19" s="25"/>
      <c r="K19" s="26"/>
      <c r="L19" s="22"/>
      <c r="O19" s="448">
        <v>16</v>
      </c>
      <c r="P19" s="449">
        <v>16</v>
      </c>
      <c r="Q19" s="450">
        <v>13.98</v>
      </c>
      <c r="R19" s="450">
        <v>11.63</v>
      </c>
      <c r="S19" s="450">
        <v>164.52</v>
      </c>
      <c r="T19" s="450">
        <v>81.069999999999993</v>
      </c>
      <c r="U19" s="450">
        <v>21.07</v>
      </c>
      <c r="V19" s="450">
        <v>10.01</v>
      </c>
      <c r="W19" s="450">
        <v>1.27</v>
      </c>
      <c r="X19" s="450">
        <v>141.29</v>
      </c>
      <c r="Y19" s="450">
        <v>23.21</v>
      </c>
    </row>
    <row r="20" spans="1:25" ht="11.25" customHeight="1">
      <c r="A20" s="132"/>
      <c r="B20" s="156"/>
      <c r="C20" s="132"/>
      <c r="D20" s="156"/>
      <c r="E20" s="156"/>
      <c r="F20" s="177"/>
      <c r="G20" s="178"/>
      <c r="H20" s="178"/>
      <c r="I20" s="179"/>
      <c r="J20" s="25"/>
      <c r="K20" s="26"/>
      <c r="L20" s="22"/>
      <c r="P20" s="449">
        <v>17</v>
      </c>
      <c r="Q20" s="450">
        <v>12.944285669999999</v>
      </c>
      <c r="R20" s="450">
        <v>10.010000228881799</v>
      </c>
      <c r="S20" s="450">
        <v>152.88357325962556</v>
      </c>
      <c r="T20" s="450">
        <v>64.311428070000005</v>
      </c>
      <c r="U20" s="450">
        <v>16.638571469999999</v>
      </c>
      <c r="V20" s="450">
        <v>10.004285812377887</v>
      </c>
      <c r="W20" s="450">
        <v>1.7342857122421229</v>
      </c>
      <c r="X20" s="450">
        <v>105.73500061035119</v>
      </c>
      <c r="Y20" s="450">
        <v>19.724285806928286</v>
      </c>
    </row>
    <row r="21" spans="1:25" ht="11.25" customHeight="1">
      <c r="A21" s="132"/>
      <c r="B21" s="156"/>
      <c r="C21" s="132"/>
      <c r="D21" s="156"/>
      <c r="E21" s="156"/>
      <c r="F21" s="177"/>
      <c r="G21" s="178"/>
      <c r="H21" s="178"/>
      <c r="I21" s="179"/>
      <c r="J21" s="25"/>
      <c r="K21" s="29"/>
      <c r="L21" s="30"/>
      <c r="P21" s="449">
        <v>18</v>
      </c>
      <c r="Q21" s="450">
        <v>10.727142742701899</v>
      </c>
      <c r="R21" s="450">
        <v>6.3112858363560251</v>
      </c>
      <c r="S21" s="450">
        <v>98.225285121372636</v>
      </c>
      <c r="T21" s="450">
        <v>46.242857796805197</v>
      </c>
      <c r="U21" s="450">
        <v>10.637142998831566</v>
      </c>
      <c r="V21" s="450">
        <v>10.007143020629858</v>
      </c>
      <c r="W21" s="450">
        <v>1.4345714194433998</v>
      </c>
      <c r="X21" s="450">
        <v>72.620000566754968</v>
      </c>
      <c r="Y21" s="450">
        <v>14.075714383806471</v>
      </c>
    </row>
    <row r="22" spans="1:25" ht="11.25" customHeight="1">
      <c r="A22" s="137"/>
      <c r="B22" s="156"/>
      <c r="C22" s="132"/>
      <c r="D22" s="156"/>
      <c r="E22" s="156"/>
      <c r="F22" s="177"/>
      <c r="G22" s="178"/>
      <c r="H22" s="178"/>
      <c r="I22" s="179"/>
      <c r="J22" s="25"/>
      <c r="K22" s="26"/>
      <c r="L22" s="22"/>
      <c r="P22" s="449">
        <v>19</v>
      </c>
      <c r="Q22" s="450">
        <v>9.4342857088361427</v>
      </c>
      <c r="R22" s="450">
        <v>7.4910001754760689</v>
      </c>
      <c r="S22" s="450">
        <v>86.615142822265582</v>
      </c>
      <c r="T22" s="450">
        <v>41.954286302838973</v>
      </c>
      <c r="U22" s="450">
        <v>9.4342857088361427</v>
      </c>
      <c r="V22" s="450">
        <v>10.004285812377914</v>
      </c>
      <c r="W22" s="450">
        <v>1.3051428794860784</v>
      </c>
      <c r="X22" s="450">
        <v>60.497857775006928</v>
      </c>
      <c r="Y22" s="450">
        <v>12.797142846243686</v>
      </c>
    </row>
    <row r="23" spans="1:25" ht="11.25" customHeight="1">
      <c r="A23" s="137"/>
      <c r="B23" s="156"/>
      <c r="C23" s="132"/>
      <c r="D23" s="156"/>
      <c r="E23" s="156"/>
      <c r="F23" s="177"/>
      <c r="G23" s="178"/>
      <c r="H23" s="178"/>
      <c r="I23" s="179"/>
      <c r="J23" s="25"/>
      <c r="K23" s="26"/>
      <c r="L23" s="22"/>
      <c r="O23" s="448">
        <v>20</v>
      </c>
      <c r="P23" s="449">
        <v>20</v>
      </c>
      <c r="Q23" s="450">
        <v>9.1999999999999993</v>
      </c>
      <c r="R23" s="450">
        <v>6.8</v>
      </c>
      <c r="S23" s="450">
        <v>78.2</v>
      </c>
      <c r="T23" s="450">
        <v>39.6</v>
      </c>
      <c r="U23" s="450">
        <v>8.6</v>
      </c>
      <c r="V23" s="450">
        <v>10</v>
      </c>
      <c r="W23" s="450">
        <v>1.6</v>
      </c>
      <c r="X23" s="450">
        <v>56.6</v>
      </c>
      <c r="Y23" s="450">
        <v>12.9</v>
      </c>
    </row>
    <row r="24" spans="1:25" ht="11.25" customHeight="1">
      <c r="A24" s="137"/>
      <c r="B24" s="156"/>
      <c r="C24" s="132"/>
      <c r="D24" s="156"/>
      <c r="E24" s="156"/>
      <c r="F24" s="177"/>
      <c r="G24" s="178"/>
      <c r="H24" s="178"/>
      <c r="I24" s="179"/>
      <c r="J24" s="26"/>
      <c r="K24" s="26"/>
      <c r="L24" s="22"/>
      <c r="P24" s="449">
        <v>21</v>
      </c>
      <c r="Q24" s="450">
        <v>9.0128573008945967</v>
      </c>
      <c r="R24" s="450">
        <v>5.4099998474121005</v>
      </c>
      <c r="S24" s="450">
        <v>73.744141714913454</v>
      </c>
      <c r="T24" s="450">
        <v>44.79285812377924</v>
      </c>
      <c r="U24" s="450">
        <v>10.11999988555907</v>
      </c>
      <c r="V24" s="450">
        <v>10.011428560529414</v>
      </c>
      <c r="W24" s="450">
        <v>1.2349999972752113</v>
      </c>
      <c r="X24" s="450">
        <v>52.17071369716097</v>
      </c>
      <c r="Y24" s="450">
        <v>11.968571390424414</v>
      </c>
    </row>
    <row r="25" spans="1:25" ht="11.25" customHeight="1">
      <c r="A25" s="137"/>
      <c r="B25" s="156"/>
      <c r="C25" s="132"/>
      <c r="D25" s="156"/>
      <c r="E25" s="156"/>
      <c r="F25" s="177"/>
      <c r="G25" s="178"/>
      <c r="H25" s="178"/>
      <c r="I25" s="179"/>
      <c r="J25" s="25"/>
      <c r="K25" s="29"/>
      <c r="L25" s="30"/>
      <c r="P25" s="449">
        <v>22</v>
      </c>
      <c r="Q25" s="450">
        <v>7.95</v>
      </c>
      <c r="R25" s="450">
        <v>3.82</v>
      </c>
      <c r="S25" s="450">
        <v>66.739999999999995</v>
      </c>
      <c r="T25" s="450">
        <v>34.01</v>
      </c>
      <c r="U25" s="450">
        <v>8.15</v>
      </c>
      <c r="V25" s="450">
        <v>10.02</v>
      </c>
      <c r="W25" s="450">
        <v>1.52</v>
      </c>
      <c r="X25" s="450">
        <v>46.88</v>
      </c>
      <c r="Y25" s="450">
        <v>9.89</v>
      </c>
    </row>
    <row r="26" spans="1:25" ht="11.25" customHeight="1">
      <c r="A26" s="137"/>
      <c r="B26" s="156"/>
      <c r="C26" s="132"/>
      <c r="D26" s="156"/>
      <c r="E26" s="156"/>
      <c r="F26" s="138"/>
      <c r="G26" s="138"/>
      <c r="H26" s="138"/>
      <c r="I26" s="138"/>
      <c r="J26" s="23"/>
      <c r="K26" s="26"/>
      <c r="L26" s="22"/>
      <c r="P26" s="449">
        <v>23</v>
      </c>
      <c r="Q26" s="450">
        <v>7.6</v>
      </c>
      <c r="R26" s="450">
        <v>3.22</v>
      </c>
      <c r="S26" s="450">
        <v>59.4</v>
      </c>
      <c r="T26" s="450">
        <v>28.71</v>
      </c>
      <c r="U26" s="450">
        <v>7.74</v>
      </c>
      <c r="V26" s="450">
        <v>10</v>
      </c>
      <c r="W26" s="450">
        <v>1.55</v>
      </c>
      <c r="X26" s="450">
        <v>43.39</v>
      </c>
      <c r="Y26" s="450">
        <v>8.57</v>
      </c>
    </row>
    <row r="27" spans="1:25" ht="11.25" customHeight="1">
      <c r="A27" s="137"/>
      <c r="B27" s="156"/>
      <c r="C27" s="132"/>
      <c r="D27" s="156"/>
      <c r="E27" s="156"/>
      <c r="F27" s="138"/>
      <c r="G27" s="138"/>
      <c r="H27" s="138"/>
      <c r="I27" s="138"/>
      <c r="J27" s="23"/>
      <c r="K27" s="26"/>
      <c r="L27" s="22"/>
      <c r="O27" s="448">
        <v>24</v>
      </c>
      <c r="P27" s="449">
        <v>24</v>
      </c>
      <c r="Q27" s="450">
        <v>9.57</v>
      </c>
      <c r="R27" s="450">
        <v>3.42</v>
      </c>
      <c r="S27" s="450">
        <v>54.3</v>
      </c>
      <c r="T27" s="450">
        <v>30.83</v>
      </c>
      <c r="U27" s="450">
        <v>7.53</v>
      </c>
      <c r="V27" s="450">
        <v>10</v>
      </c>
      <c r="W27" s="450">
        <v>1.6</v>
      </c>
      <c r="X27" s="450">
        <v>40.28</v>
      </c>
      <c r="Y27" s="450">
        <v>9.6</v>
      </c>
    </row>
    <row r="28" spans="1:25" ht="11.25" customHeight="1">
      <c r="A28" s="136"/>
      <c r="B28" s="138"/>
      <c r="C28" s="138"/>
      <c r="D28" s="138"/>
      <c r="E28" s="138"/>
      <c r="F28" s="138"/>
      <c r="G28" s="138"/>
      <c r="H28" s="138"/>
      <c r="I28" s="138"/>
      <c r="J28" s="25"/>
      <c r="K28" s="26"/>
      <c r="L28" s="22"/>
      <c r="P28" s="449">
        <v>25</v>
      </c>
      <c r="Q28" s="450">
        <v>9.0548571179999993</v>
      </c>
      <c r="R28" s="450">
        <v>3.2130000590000001</v>
      </c>
      <c r="S28" s="450">
        <v>56.674428669999998</v>
      </c>
      <c r="T28" s="450">
        <v>25.690000260000001</v>
      </c>
      <c r="U28" s="450">
        <v>6.9342856409999998</v>
      </c>
      <c r="V28" s="450">
        <v>10.00571442</v>
      </c>
      <c r="W28" s="450">
        <v>1.254714302</v>
      </c>
      <c r="X28" s="450">
        <v>37.560714179999998</v>
      </c>
      <c r="Y28" s="450">
        <v>7.91285726</v>
      </c>
    </row>
    <row r="29" spans="1:25" ht="11.25" customHeight="1">
      <c r="A29" s="136"/>
      <c r="B29" s="138"/>
      <c r="C29" s="138"/>
      <c r="D29" s="138"/>
      <c r="E29" s="138"/>
      <c r="F29" s="138"/>
      <c r="G29" s="138"/>
      <c r="H29" s="138"/>
      <c r="I29" s="138"/>
      <c r="J29" s="25"/>
      <c r="K29" s="26"/>
      <c r="L29" s="22"/>
      <c r="P29" s="449">
        <v>26</v>
      </c>
      <c r="Q29" s="450">
        <v>8.8612857550000008</v>
      </c>
      <c r="R29" s="450">
        <v>3.5</v>
      </c>
      <c r="S29" s="450">
        <v>68.087428501674069</v>
      </c>
      <c r="T29" s="450">
        <v>30.317143300000001</v>
      </c>
      <c r="U29" s="450">
        <v>8.8971428190000008</v>
      </c>
      <c r="V29" s="450">
        <v>10</v>
      </c>
      <c r="W29" s="450">
        <v>1.4324285809999999</v>
      </c>
      <c r="X29" s="450">
        <v>37.759999409999999</v>
      </c>
      <c r="Y29" s="450">
        <v>8.911428656</v>
      </c>
    </row>
    <row r="30" spans="1:25" ht="11.25" customHeight="1">
      <c r="A30" s="136"/>
      <c r="B30" s="138"/>
      <c r="C30" s="138"/>
      <c r="D30" s="138"/>
      <c r="E30" s="138"/>
      <c r="F30" s="138"/>
      <c r="G30" s="138"/>
      <c r="H30" s="138"/>
      <c r="I30" s="138"/>
      <c r="J30" s="25"/>
      <c r="K30" s="26"/>
      <c r="L30" s="22"/>
      <c r="P30" s="449">
        <v>27</v>
      </c>
      <c r="Q30" s="450">
        <v>8.3185714990000008</v>
      </c>
      <c r="R30" s="450">
        <v>4.0900001530000001</v>
      </c>
      <c r="S30" s="450">
        <v>60.110428400000004</v>
      </c>
      <c r="T30" s="450">
        <v>28.581429350000001</v>
      </c>
      <c r="U30" s="450">
        <v>7.9442856649999998</v>
      </c>
      <c r="V30" s="450">
        <v>10.001428600000001</v>
      </c>
      <c r="W30" s="450">
        <v>1.455999987</v>
      </c>
      <c r="X30" s="450">
        <v>35.967143470000003</v>
      </c>
      <c r="Y30" s="450">
        <v>7.2057142259999996</v>
      </c>
    </row>
    <row r="31" spans="1:25" ht="11.25" customHeight="1">
      <c r="A31" s="136"/>
      <c r="B31" s="138"/>
      <c r="C31" s="138"/>
      <c r="D31" s="138"/>
      <c r="E31" s="138"/>
      <c r="F31" s="138"/>
      <c r="G31" s="138"/>
      <c r="H31" s="138"/>
      <c r="I31" s="138"/>
      <c r="J31" s="25"/>
      <c r="K31" s="26"/>
      <c r="L31" s="22"/>
      <c r="O31" s="448">
        <v>28</v>
      </c>
      <c r="P31" s="449">
        <v>28</v>
      </c>
      <c r="Q31" s="450">
        <v>7.789714268</v>
      </c>
      <c r="R31" s="450">
        <v>3.119999886</v>
      </c>
      <c r="S31" s="450">
        <v>60.986856189999997</v>
      </c>
      <c r="T31" s="450">
        <v>27.099999836512943</v>
      </c>
      <c r="U31" s="450">
        <v>7.4514284819999999</v>
      </c>
      <c r="V31" s="450">
        <v>10.0128573</v>
      </c>
      <c r="W31" s="450">
        <v>1.5508571609999999</v>
      </c>
      <c r="X31" s="450">
        <v>47.66357095</v>
      </c>
      <c r="Y31" s="450">
        <v>9.9999998639999994</v>
      </c>
    </row>
    <row r="32" spans="1:25" ht="11.25" customHeight="1">
      <c r="A32" s="136"/>
      <c r="B32" s="138"/>
      <c r="C32" s="138"/>
      <c r="D32" s="138"/>
      <c r="E32" s="138"/>
      <c r="F32" s="138"/>
      <c r="G32" s="138"/>
      <c r="H32" s="138"/>
      <c r="I32" s="138"/>
      <c r="J32" s="26"/>
      <c r="K32" s="26"/>
      <c r="L32" s="22"/>
      <c r="P32" s="449">
        <v>29</v>
      </c>
      <c r="Q32" s="450">
        <v>7.1615714349999999</v>
      </c>
      <c r="R32" s="450">
        <v>3.4249999519999998</v>
      </c>
      <c r="S32" s="450">
        <v>56.540714260000001</v>
      </c>
      <c r="T32" s="450">
        <v>23.477142610000001</v>
      </c>
      <c r="U32" s="450">
        <v>6.2828570089999998</v>
      </c>
      <c r="V32" s="450">
        <v>10.001428600000001</v>
      </c>
      <c r="W32" s="450">
        <v>2.1035714489999999</v>
      </c>
      <c r="X32" s="450">
        <v>44.25</v>
      </c>
      <c r="Y32" s="450">
        <v>6.7128572460000004</v>
      </c>
    </row>
    <row r="33" spans="1:25" ht="11.25" customHeight="1">
      <c r="A33" s="136"/>
      <c r="B33" s="138"/>
      <c r="C33" s="138"/>
      <c r="D33" s="138"/>
      <c r="E33" s="138"/>
      <c r="F33" s="138"/>
      <c r="G33" s="138"/>
      <c r="H33" s="138"/>
      <c r="I33" s="138"/>
      <c r="J33" s="25"/>
      <c r="K33" s="26"/>
      <c r="L33" s="22"/>
      <c r="P33" s="449">
        <v>30</v>
      </c>
      <c r="Q33" s="450">
        <v>6.6714285440000003</v>
      </c>
      <c r="R33" s="450">
        <v>2.8789999489999998</v>
      </c>
      <c r="S33" s="450">
        <v>65.491856709999993</v>
      </c>
      <c r="T33" s="450">
        <v>21.095714300000001</v>
      </c>
      <c r="U33" s="450">
        <v>5.8057142669999999</v>
      </c>
      <c r="V33" s="450">
        <v>10.01142883</v>
      </c>
      <c r="W33" s="450">
        <v>1.8491428750000001</v>
      </c>
      <c r="X33" s="450">
        <v>42.498571668352326</v>
      </c>
      <c r="Y33" s="450">
        <v>6.0797142300000004</v>
      </c>
    </row>
    <row r="34" spans="1:25" ht="11.25" customHeight="1">
      <c r="A34" s="136"/>
      <c r="B34" s="138"/>
      <c r="C34" s="138"/>
      <c r="D34" s="138"/>
      <c r="E34" s="138"/>
      <c r="F34" s="138"/>
      <c r="G34" s="138"/>
      <c r="H34" s="138"/>
      <c r="I34" s="138"/>
      <c r="J34" s="25"/>
      <c r="K34" s="34"/>
      <c r="L34" s="22"/>
      <c r="P34" s="449">
        <v>31</v>
      </c>
      <c r="Q34" s="450">
        <v>6.2387143543788328</v>
      </c>
      <c r="R34" s="450">
        <v>2.9382856232779297</v>
      </c>
      <c r="S34" s="450">
        <v>65.491856711251344</v>
      </c>
      <c r="T34" s="450">
        <v>20.037142889840243</v>
      </c>
      <c r="U34" s="450">
        <v>5.4814286231994549</v>
      </c>
      <c r="V34" s="450">
        <v>10.011428833007772</v>
      </c>
      <c r="W34" s="450">
        <v>1.8019999946866672</v>
      </c>
      <c r="X34" s="450">
        <v>39.98428617204933</v>
      </c>
      <c r="Y34" s="450">
        <v>4.9059999329703157</v>
      </c>
    </row>
    <row r="35" spans="1:25" ht="11.25" customHeight="1">
      <c r="A35" s="136"/>
      <c r="B35" s="138"/>
      <c r="C35" s="138"/>
      <c r="D35" s="138"/>
      <c r="E35" s="138"/>
      <c r="F35" s="138"/>
      <c r="G35" s="138"/>
      <c r="H35" s="138"/>
      <c r="I35" s="138"/>
      <c r="J35" s="25"/>
      <c r="K35" s="34"/>
      <c r="L35" s="38"/>
      <c r="O35" s="448">
        <v>32</v>
      </c>
      <c r="P35" s="449">
        <v>32</v>
      </c>
      <c r="Q35" s="450">
        <v>6.1697142459999998</v>
      </c>
      <c r="R35" s="450">
        <v>3.2030000689999998</v>
      </c>
      <c r="S35" s="450">
        <v>49.942714418571427</v>
      </c>
      <c r="T35" s="450">
        <v>23.275714059999999</v>
      </c>
      <c r="U35" s="450">
        <v>5.8257142479999997</v>
      </c>
      <c r="V35" s="450">
        <v>10.004285810000001</v>
      </c>
      <c r="W35" s="450">
        <v>1.2214285650000001</v>
      </c>
      <c r="X35" s="450">
        <v>36.654999320000002</v>
      </c>
      <c r="Y35" s="450">
        <v>4.0242800000000001</v>
      </c>
    </row>
    <row r="36" spans="1:25" ht="11.25" customHeight="1">
      <c r="A36" s="136"/>
      <c r="B36" s="138"/>
      <c r="C36" s="138"/>
      <c r="D36" s="138"/>
      <c r="E36" s="138"/>
      <c r="F36" s="138"/>
      <c r="G36" s="138"/>
      <c r="H36" s="138"/>
      <c r="I36" s="138"/>
      <c r="J36" s="25"/>
      <c r="K36" s="29"/>
      <c r="L36" s="22"/>
      <c r="P36" s="449">
        <v>33</v>
      </c>
      <c r="Q36" s="450">
        <v>6.3728570940000004</v>
      </c>
      <c r="R36" s="450">
        <v>2.841857144</v>
      </c>
      <c r="S36" s="450">
        <v>57.183571406773112</v>
      </c>
      <c r="T36" s="450">
        <v>22.619999750000002</v>
      </c>
      <c r="U36" s="450">
        <v>5.5228571210000004</v>
      </c>
      <c r="V36" s="450">
        <v>10</v>
      </c>
      <c r="W36" s="450">
        <v>1.3032857349940685</v>
      </c>
      <c r="X36" s="450">
        <v>35.152857099999999</v>
      </c>
      <c r="Y36" s="450">
        <v>4.354285752</v>
      </c>
    </row>
    <row r="37" spans="1:25" ht="11.25" customHeight="1">
      <c r="A37" s="136"/>
      <c r="B37" s="138"/>
      <c r="C37" s="138"/>
      <c r="D37" s="138"/>
      <c r="E37" s="138"/>
      <c r="F37" s="138"/>
      <c r="G37" s="138"/>
      <c r="H37" s="138"/>
      <c r="I37" s="138"/>
      <c r="J37" s="25"/>
      <c r="K37" s="29"/>
      <c r="L37" s="22"/>
      <c r="P37" s="449">
        <v>34</v>
      </c>
      <c r="Q37" s="450">
        <v>6.1195714130000001</v>
      </c>
      <c r="R37" s="450">
        <v>3.058000088</v>
      </c>
      <c r="S37" s="450">
        <v>49.366142269999997</v>
      </c>
      <c r="T37" s="450">
        <v>25.04757145</v>
      </c>
      <c r="U37" s="450">
        <v>5.8727143149999996</v>
      </c>
      <c r="V37" s="450">
        <v>10.00857162</v>
      </c>
      <c r="W37" s="450">
        <v>1.2842857160000001</v>
      </c>
      <c r="X37" s="450">
        <v>34.115715029999997</v>
      </c>
      <c r="Y37" s="450">
        <v>4.3511429509999999</v>
      </c>
    </row>
    <row r="38" spans="1:25" ht="11.25" customHeight="1">
      <c r="A38" s="136"/>
      <c r="B38" s="138"/>
      <c r="C38" s="138"/>
      <c r="D38" s="138"/>
      <c r="E38" s="138"/>
      <c r="F38" s="138"/>
      <c r="G38" s="138"/>
      <c r="H38" s="138"/>
      <c r="I38" s="138"/>
      <c r="J38" s="25"/>
      <c r="K38" s="29"/>
      <c r="L38" s="22"/>
      <c r="P38" s="449">
        <v>35</v>
      </c>
      <c r="Q38" s="450">
        <v>5.9814286230000002</v>
      </c>
      <c r="R38" s="450">
        <v>1.506999969</v>
      </c>
      <c r="S38" s="450">
        <v>56.934856959999998</v>
      </c>
      <c r="T38" s="450">
        <v>21.374285830000002</v>
      </c>
      <c r="U38" s="450">
        <v>4.9342857090000001</v>
      </c>
      <c r="V38" s="450">
        <v>10.28714289</v>
      </c>
      <c r="W38" s="450">
        <v>1.5979999810000001</v>
      </c>
      <c r="X38" s="450">
        <v>30.92</v>
      </c>
      <c r="Y38" s="450">
        <v>5.3042856629999999</v>
      </c>
    </row>
    <row r="39" spans="1:25" ht="11.25" customHeight="1">
      <c r="O39" s="448">
        <v>36</v>
      </c>
      <c r="P39" s="449">
        <v>36</v>
      </c>
      <c r="Q39" s="450">
        <v>6.03</v>
      </c>
      <c r="R39" s="450">
        <v>2.8</v>
      </c>
      <c r="S39" s="450">
        <v>48.51</v>
      </c>
      <c r="T39" s="450">
        <v>22.661428449999999</v>
      </c>
      <c r="U39" s="450">
        <v>4.9800000000000004</v>
      </c>
      <c r="V39" s="450">
        <v>11.01</v>
      </c>
      <c r="W39" s="450">
        <v>1.63</v>
      </c>
      <c r="X39" s="450">
        <v>30.922143120000001</v>
      </c>
      <c r="Y39" s="450">
        <v>7.46</v>
      </c>
    </row>
    <row r="40" spans="1:25" ht="11.25" customHeight="1">
      <c r="A40" s="949" t="s">
        <v>512</v>
      </c>
      <c r="B40" s="949"/>
      <c r="C40" s="949"/>
      <c r="D40" s="949"/>
      <c r="E40" s="949"/>
      <c r="F40" s="949"/>
      <c r="G40" s="949"/>
      <c r="H40" s="949"/>
      <c r="I40" s="949"/>
      <c r="J40" s="949"/>
      <c r="K40" s="949"/>
      <c r="L40" s="949"/>
      <c r="P40" s="449">
        <v>37</v>
      </c>
      <c r="Q40" s="450">
        <v>6.03</v>
      </c>
      <c r="R40" s="450">
        <v>2.37</v>
      </c>
      <c r="S40" s="450">
        <v>43.99</v>
      </c>
      <c r="T40" s="450">
        <v>19.149999999999999</v>
      </c>
      <c r="U40" s="450">
        <v>5.31</v>
      </c>
      <c r="V40" s="450">
        <v>11</v>
      </c>
      <c r="W40" s="450">
        <v>1.59</v>
      </c>
      <c r="X40" s="450">
        <v>29.33</v>
      </c>
      <c r="Y40" s="450">
        <v>7.79</v>
      </c>
    </row>
    <row r="41" spans="1:25" ht="11.25" customHeight="1">
      <c r="P41" s="449">
        <v>38</v>
      </c>
      <c r="Q41" s="450">
        <v>6.5951428410000004</v>
      </c>
      <c r="R41" s="450">
        <v>3.0060000420000001</v>
      </c>
      <c r="S41" s="450">
        <v>47.220570700000003</v>
      </c>
      <c r="T41" s="450">
        <v>22.304285589999999</v>
      </c>
      <c r="U41" s="450">
        <v>5.581428528</v>
      </c>
      <c r="V41" s="450">
        <v>10.85142858</v>
      </c>
      <c r="W41" s="450">
        <v>1.5402856890000001</v>
      </c>
      <c r="X41" s="450">
        <v>34.179286410000003</v>
      </c>
      <c r="Y41" s="450">
        <v>8.5442856379999998</v>
      </c>
    </row>
    <row r="42" spans="1:25" ht="11.25" customHeight="1">
      <c r="A42" s="136"/>
      <c r="B42" s="138"/>
      <c r="C42" s="138"/>
      <c r="D42" s="138"/>
      <c r="E42" s="138"/>
      <c r="F42" s="138"/>
      <c r="G42" s="138"/>
      <c r="H42" s="138"/>
      <c r="I42" s="138"/>
      <c r="O42" s="448">
        <v>39</v>
      </c>
      <c r="P42" s="449">
        <v>39</v>
      </c>
      <c r="Q42" s="450">
        <v>6.84</v>
      </c>
      <c r="R42" s="450">
        <v>3.32</v>
      </c>
      <c r="S42" s="450">
        <v>63.05</v>
      </c>
      <c r="T42" s="450">
        <v>48.7</v>
      </c>
      <c r="U42" s="450">
        <v>7.81</v>
      </c>
      <c r="V42" s="450">
        <v>11.15</v>
      </c>
      <c r="W42" s="450">
        <v>1.32</v>
      </c>
      <c r="X42" s="450">
        <v>38.82</v>
      </c>
      <c r="Y42" s="450">
        <v>6.81</v>
      </c>
    </row>
    <row r="43" spans="1:25" ht="11.25" customHeight="1">
      <c r="A43" s="136"/>
      <c r="B43" s="138"/>
      <c r="C43" s="138"/>
      <c r="D43" s="138"/>
      <c r="E43" s="138"/>
      <c r="F43" s="138"/>
      <c r="G43" s="138"/>
      <c r="H43" s="138"/>
      <c r="I43" s="138"/>
      <c r="P43" s="449">
        <v>40</v>
      </c>
      <c r="Q43" s="450">
        <v>7.6862857681428576</v>
      </c>
      <c r="R43" s="450">
        <v>3.1560000009999998</v>
      </c>
      <c r="S43" s="450">
        <v>61.54114314571428</v>
      </c>
      <c r="T43" s="450">
        <v>37.928571428999994</v>
      </c>
      <c r="U43" s="450">
        <v>7.9165713450000004</v>
      </c>
      <c r="V43" s="450">
        <v>11.005714417142856</v>
      </c>
      <c r="W43" s="450">
        <v>1.3828571522857145</v>
      </c>
      <c r="X43" s="450">
        <v>43.879284992857151</v>
      </c>
      <c r="Y43" s="450">
        <v>6.2752857208571422</v>
      </c>
    </row>
    <row r="44" spans="1:25" ht="11.25" customHeight="1">
      <c r="A44" s="136"/>
      <c r="B44" s="138"/>
      <c r="C44" s="138"/>
      <c r="D44" s="138"/>
      <c r="E44" s="138"/>
      <c r="F44" s="138"/>
      <c r="G44" s="138"/>
      <c r="H44" s="138"/>
      <c r="I44" s="138"/>
      <c r="P44" s="449">
        <v>41</v>
      </c>
      <c r="Q44" s="450">
        <v>7.1000001089913463</v>
      </c>
      <c r="R44" s="450">
        <v>2.9028571673801928</v>
      </c>
      <c r="S44" s="450">
        <v>58.117285592215353</v>
      </c>
      <c r="T44" s="450">
        <v>48.921429225376635</v>
      </c>
      <c r="U44" s="450">
        <v>8.5942858287266173</v>
      </c>
      <c r="V44" s="450">
        <v>11.002857208251914</v>
      </c>
      <c r="W44" s="450">
        <v>1.3182857036590543</v>
      </c>
      <c r="X44" s="450">
        <v>45.627857753208637</v>
      </c>
      <c r="Y44" s="450">
        <v>9.9285714966910028</v>
      </c>
    </row>
    <row r="45" spans="1:25" ht="11.25" customHeight="1">
      <c r="A45" s="136"/>
      <c r="B45" s="138"/>
      <c r="C45" s="138"/>
      <c r="D45" s="138"/>
      <c r="E45" s="138"/>
      <c r="F45" s="138"/>
      <c r="G45" s="138"/>
      <c r="H45" s="138"/>
      <c r="I45" s="138"/>
      <c r="P45" s="449">
        <v>42</v>
      </c>
      <c r="Q45" s="450">
        <v>6.7610000201428573</v>
      </c>
      <c r="R45" s="450">
        <v>2.8671428815714286</v>
      </c>
      <c r="S45" s="450">
        <v>58.888142721428572</v>
      </c>
      <c r="T45" s="450">
        <v>55.619142805714283</v>
      </c>
      <c r="U45" s="450">
        <v>9.5089999614285716</v>
      </c>
      <c r="V45" s="450">
        <v>11.007142884285715</v>
      </c>
      <c r="W45" s="450">
        <v>1.2221428497142859</v>
      </c>
      <c r="X45" s="450">
        <v>52.615000045714282</v>
      </c>
      <c r="Y45" s="450">
        <v>9.6800000322857152</v>
      </c>
    </row>
    <row r="46" spans="1:25" ht="11.25" customHeight="1">
      <c r="A46" s="136"/>
      <c r="B46" s="138"/>
      <c r="C46" s="138"/>
      <c r="D46" s="138"/>
      <c r="E46" s="138"/>
      <c r="F46" s="138"/>
      <c r="G46" s="138"/>
      <c r="H46" s="138"/>
      <c r="I46" s="138"/>
      <c r="O46" s="448">
        <v>43</v>
      </c>
      <c r="P46" s="449">
        <v>43</v>
      </c>
      <c r="Q46" s="450">
        <v>6.53</v>
      </c>
      <c r="R46" s="450">
        <v>2.37</v>
      </c>
      <c r="S46" s="450">
        <v>69.2</v>
      </c>
      <c r="T46" s="450">
        <v>54.58</v>
      </c>
      <c r="U46" s="450">
        <v>8.23</v>
      </c>
      <c r="V46" s="450">
        <v>11.01</v>
      </c>
      <c r="W46" s="450">
        <v>1.35</v>
      </c>
      <c r="X46" s="450">
        <v>50.71</v>
      </c>
      <c r="Y46" s="450">
        <v>10.33</v>
      </c>
    </row>
    <row r="47" spans="1:25" ht="11.25" customHeight="1">
      <c r="A47" s="136"/>
      <c r="B47" s="138"/>
      <c r="C47" s="138"/>
      <c r="D47" s="138"/>
      <c r="E47" s="138"/>
      <c r="F47" s="138"/>
      <c r="G47" s="138"/>
      <c r="H47" s="138"/>
      <c r="I47" s="138"/>
      <c r="P47" s="449">
        <v>44</v>
      </c>
      <c r="Q47" s="450">
        <v>7.58</v>
      </c>
      <c r="R47" s="450">
        <v>4.8899999999999997</v>
      </c>
      <c r="S47" s="450">
        <v>51.59</v>
      </c>
      <c r="T47" s="450">
        <v>57.65</v>
      </c>
      <c r="U47" s="450">
        <v>7.72</v>
      </c>
      <c r="V47" s="450">
        <v>11.01</v>
      </c>
      <c r="W47" s="450">
        <v>1.47</v>
      </c>
      <c r="X47" s="450">
        <v>48.41</v>
      </c>
      <c r="Y47" s="450">
        <v>11.29</v>
      </c>
    </row>
    <row r="48" spans="1:25">
      <c r="A48" s="136"/>
      <c r="B48" s="138"/>
      <c r="C48" s="138"/>
      <c r="D48" s="138"/>
      <c r="E48" s="138"/>
      <c r="F48" s="138"/>
      <c r="G48" s="138"/>
      <c r="H48" s="138"/>
      <c r="I48" s="138"/>
      <c r="P48" s="449">
        <v>45</v>
      </c>
      <c r="Q48" s="450">
        <v>6.95</v>
      </c>
      <c r="R48" s="450">
        <v>1.61</v>
      </c>
      <c r="S48" s="450">
        <v>72.92</v>
      </c>
      <c r="T48" s="450">
        <v>67.069999999999993</v>
      </c>
      <c r="U48" s="450">
        <v>6.9</v>
      </c>
      <c r="V48" s="450">
        <v>11</v>
      </c>
      <c r="W48" s="450">
        <v>1.42</v>
      </c>
      <c r="X48" s="450">
        <v>47.24</v>
      </c>
      <c r="Y48" s="450">
        <v>9</v>
      </c>
    </row>
    <row r="49" spans="1:25">
      <c r="A49" s="136"/>
      <c r="B49" s="138"/>
      <c r="C49" s="138"/>
      <c r="D49" s="138"/>
      <c r="E49" s="138"/>
      <c r="F49" s="138"/>
      <c r="G49" s="138"/>
      <c r="H49" s="138"/>
      <c r="I49" s="138"/>
      <c r="P49" s="449">
        <v>46</v>
      </c>
      <c r="Q49" s="450">
        <v>6.8571429249999998</v>
      </c>
      <c r="R49" s="450">
        <v>1.6428571599999999</v>
      </c>
      <c r="S49" s="450">
        <v>58.4</v>
      </c>
      <c r="T49" s="450">
        <v>34.982142860000003</v>
      </c>
      <c r="U49" s="450">
        <v>5.0667143550000002</v>
      </c>
      <c r="V49" s="450">
        <v>11.01</v>
      </c>
      <c r="W49" s="450">
        <v>1.38</v>
      </c>
      <c r="X49" s="450">
        <v>40.61</v>
      </c>
      <c r="Y49" s="450">
        <v>8.81</v>
      </c>
    </row>
    <row r="50" spans="1:25">
      <c r="A50" s="136"/>
      <c r="B50" s="138"/>
      <c r="C50" s="138"/>
      <c r="D50" s="138"/>
      <c r="E50" s="138"/>
      <c r="F50" s="138"/>
      <c r="G50" s="138"/>
      <c r="H50" s="138"/>
      <c r="I50" s="138"/>
      <c r="P50" s="449">
        <v>47</v>
      </c>
      <c r="Q50" s="450">
        <v>6.9940000260000001</v>
      </c>
      <c r="R50" s="450">
        <v>1.5142857009999999</v>
      </c>
      <c r="S50" s="450">
        <v>52.554856440000002</v>
      </c>
      <c r="T50" s="450">
        <v>29.07742855</v>
      </c>
      <c r="U50" s="450">
        <v>4.2727143420000004</v>
      </c>
      <c r="V50" s="450">
        <v>11.00286</v>
      </c>
      <c r="W50" s="450">
        <v>1.63</v>
      </c>
      <c r="X50" s="450">
        <v>41.625</v>
      </c>
      <c r="Y50" s="450">
        <v>9.3542860000000001</v>
      </c>
    </row>
    <row r="51" spans="1:25">
      <c r="A51" s="136"/>
      <c r="B51" s="138"/>
      <c r="C51" s="138"/>
      <c r="D51" s="138"/>
      <c r="E51" s="138"/>
      <c r="F51" s="138"/>
      <c r="G51" s="138"/>
      <c r="H51" s="138"/>
      <c r="I51" s="138"/>
      <c r="O51" s="448">
        <v>48</v>
      </c>
      <c r="P51" s="449">
        <v>48</v>
      </c>
      <c r="Q51" s="450">
        <v>7.1124285970000001</v>
      </c>
      <c r="R51" s="450">
        <v>1.4714285645714287</v>
      </c>
      <c r="S51" s="450">
        <v>53.429429191428575</v>
      </c>
      <c r="T51" s="450">
        <v>88.059571399999996</v>
      </c>
      <c r="U51" s="450">
        <v>7.879285812428571</v>
      </c>
      <c r="V51" s="450">
        <v>10.862857274285714</v>
      </c>
      <c r="W51" s="450">
        <v>1.6007142748571428</v>
      </c>
      <c r="X51" s="450">
        <v>41.014285495714283</v>
      </c>
      <c r="Y51" s="450">
        <v>14.194285802</v>
      </c>
    </row>
    <row r="52" spans="1:25">
      <c r="A52" s="136"/>
      <c r="B52" s="138"/>
      <c r="C52" s="138"/>
      <c r="D52" s="138"/>
      <c r="E52" s="138"/>
      <c r="F52" s="138"/>
      <c r="G52" s="138"/>
      <c r="H52" s="138"/>
      <c r="I52" s="138"/>
      <c r="P52" s="449">
        <v>49</v>
      </c>
      <c r="Q52" s="450">
        <v>8.43</v>
      </c>
      <c r="R52" s="450">
        <v>2.2400000000000002</v>
      </c>
      <c r="S52" s="450">
        <v>61.07</v>
      </c>
      <c r="T52" s="450">
        <v>106.59</v>
      </c>
      <c r="U52" s="450">
        <v>16.09</v>
      </c>
      <c r="V52" s="450">
        <v>10.5</v>
      </c>
      <c r="W52" s="450">
        <v>1.1200000000000001</v>
      </c>
      <c r="X52" s="450">
        <v>83.6</v>
      </c>
      <c r="Y52" s="450">
        <v>22.62</v>
      </c>
    </row>
    <row r="53" spans="1:25">
      <c r="A53" s="136"/>
      <c r="B53" s="138"/>
      <c r="C53" s="138"/>
      <c r="D53" s="138"/>
      <c r="E53" s="138"/>
      <c r="F53" s="138"/>
      <c r="G53" s="138"/>
      <c r="H53" s="138"/>
      <c r="I53" s="138"/>
      <c r="P53" s="449">
        <v>50</v>
      </c>
      <c r="Q53" s="450">
        <v>8.32</v>
      </c>
      <c r="R53" s="450">
        <v>2.19</v>
      </c>
      <c r="S53" s="450">
        <v>78.02</v>
      </c>
      <c r="T53" s="450">
        <v>104.79</v>
      </c>
      <c r="U53" s="450">
        <v>18.649999999999999</v>
      </c>
      <c r="V53" s="450">
        <v>10.51</v>
      </c>
      <c r="W53" s="450">
        <v>1.1399999999999999</v>
      </c>
      <c r="X53" s="450">
        <v>66.8</v>
      </c>
      <c r="Y53" s="450">
        <v>22.62</v>
      </c>
    </row>
    <row r="54" spans="1:25">
      <c r="A54" s="136"/>
      <c r="B54" s="138"/>
      <c r="C54" s="138"/>
      <c r="D54" s="138"/>
      <c r="E54" s="138"/>
      <c r="F54" s="138"/>
      <c r="G54" s="138"/>
      <c r="H54" s="138"/>
      <c r="I54" s="138"/>
      <c r="P54" s="449">
        <v>51</v>
      </c>
      <c r="Q54" s="450">
        <v>9.08</v>
      </c>
      <c r="R54" s="450">
        <v>3.71</v>
      </c>
      <c r="S54" s="450">
        <v>67.64</v>
      </c>
      <c r="T54" s="450">
        <v>69.61</v>
      </c>
      <c r="U54" s="450">
        <v>11.22</v>
      </c>
      <c r="V54" s="450">
        <v>10.5</v>
      </c>
      <c r="W54" s="450">
        <v>1.37</v>
      </c>
      <c r="X54" s="450">
        <v>55.42</v>
      </c>
      <c r="Y54" s="450">
        <v>17.489999999999998</v>
      </c>
    </row>
    <row r="55" spans="1:25">
      <c r="A55" s="136"/>
      <c r="B55" s="138"/>
      <c r="C55" s="138"/>
      <c r="D55" s="138"/>
      <c r="E55" s="138"/>
      <c r="F55" s="138"/>
      <c r="G55" s="138"/>
      <c r="H55" s="138"/>
      <c r="I55" s="138"/>
      <c r="O55" s="448">
        <v>52</v>
      </c>
      <c r="P55" s="449">
        <v>52</v>
      </c>
      <c r="Q55" s="450">
        <v>8.42</v>
      </c>
      <c r="R55" s="450">
        <v>3.57</v>
      </c>
      <c r="S55" s="450">
        <v>56.187571937142856</v>
      </c>
      <c r="T55" s="450">
        <v>58.452428545714284</v>
      </c>
      <c r="U55" s="450">
        <v>8.01</v>
      </c>
      <c r="V55" s="450">
        <v>10.507142884285715</v>
      </c>
      <c r="W55" s="450">
        <v>1.53</v>
      </c>
      <c r="X55" s="450">
        <v>59.550713675714292</v>
      </c>
      <c r="Y55" s="450">
        <v>18.608285904285712</v>
      </c>
    </row>
    <row r="56" spans="1:25">
      <c r="A56" s="136"/>
      <c r="B56" s="138"/>
      <c r="C56" s="138"/>
      <c r="D56" s="138"/>
      <c r="E56" s="138"/>
      <c r="F56" s="138"/>
      <c r="G56" s="138"/>
      <c r="H56" s="138"/>
      <c r="I56" s="138"/>
      <c r="N56" s="448">
        <v>2017</v>
      </c>
      <c r="O56" s="448">
        <v>1</v>
      </c>
      <c r="P56" s="449">
        <v>1</v>
      </c>
      <c r="Q56" s="450">
        <v>13.85</v>
      </c>
      <c r="R56" s="450">
        <v>11.3</v>
      </c>
      <c r="S56" s="450">
        <v>104.02</v>
      </c>
      <c r="T56" s="450">
        <v>148.43</v>
      </c>
      <c r="U56" s="450">
        <v>24.1</v>
      </c>
      <c r="V56" s="450">
        <v>10.220000000000001</v>
      </c>
      <c r="W56" s="450">
        <v>3.28</v>
      </c>
      <c r="X56" s="450">
        <v>89.46</v>
      </c>
      <c r="Y56" s="450">
        <v>25.43</v>
      </c>
    </row>
    <row r="57" spans="1:25">
      <c r="A57" s="136"/>
      <c r="B57" s="138"/>
      <c r="C57" s="138"/>
      <c r="D57" s="138"/>
      <c r="E57" s="138"/>
      <c r="F57" s="138"/>
      <c r="G57" s="138"/>
      <c r="H57" s="138"/>
      <c r="I57" s="138"/>
      <c r="P57" s="449">
        <v>2</v>
      </c>
      <c r="Q57" s="450">
        <v>14.96</v>
      </c>
      <c r="R57" s="450">
        <v>15.4</v>
      </c>
      <c r="S57" s="450">
        <v>143.97</v>
      </c>
      <c r="T57" s="450">
        <v>175.88</v>
      </c>
      <c r="U57" s="450">
        <v>33.74</v>
      </c>
      <c r="V57" s="450">
        <v>10.17</v>
      </c>
      <c r="W57" s="450">
        <v>6.45</v>
      </c>
      <c r="X57" s="450">
        <v>178.14</v>
      </c>
      <c r="Y57" s="450">
        <v>55.67</v>
      </c>
    </row>
    <row r="58" spans="1:25">
      <c r="A58" s="136"/>
      <c r="B58" s="138"/>
      <c r="C58" s="138"/>
      <c r="D58" s="138"/>
      <c r="E58" s="138"/>
      <c r="F58" s="138"/>
      <c r="G58" s="138"/>
      <c r="H58" s="138"/>
      <c r="I58" s="138"/>
      <c r="P58" s="449">
        <v>3</v>
      </c>
      <c r="Q58" s="450">
        <v>28.98</v>
      </c>
      <c r="R58" s="450">
        <v>21.94</v>
      </c>
      <c r="S58" s="450">
        <v>355.12</v>
      </c>
      <c r="T58" s="450">
        <v>177.57</v>
      </c>
      <c r="U58" s="450">
        <v>35.49</v>
      </c>
      <c r="V58" s="450">
        <v>10</v>
      </c>
      <c r="W58" s="450">
        <v>9.0500000000000007</v>
      </c>
      <c r="X58" s="450">
        <v>174.94</v>
      </c>
      <c r="Y58" s="450">
        <v>58.31</v>
      </c>
    </row>
    <row r="59" spans="1:25">
      <c r="A59" s="136"/>
      <c r="B59" s="138"/>
      <c r="C59" s="138"/>
      <c r="D59" s="138"/>
      <c r="E59" s="138"/>
      <c r="F59" s="138"/>
      <c r="G59" s="138"/>
      <c r="H59" s="138"/>
      <c r="I59" s="138"/>
      <c r="O59" s="448">
        <v>4</v>
      </c>
      <c r="P59" s="449">
        <v>4</v>
      </c>
      <c r="Q59" s="450">
        <v>30.46</v>
      </c>
      <c r="R59" s="450">
        <v>23.91</v>
      </c>
      <c r="S59" s="450">
        <v>519.4</v>
      </c>
      <c r="T59" s="450">
        <v>205.76</v>
      </c>
      <c r="U59" s="450">
        <v>48.48</v>
      </c>
      <c r="V59" s="450">
        <v>10</v>
      </c>
      <c r="W59" s="450">
        <v>2.4300000000000002</v>
      </c>
      <c r="X59" s="450">
        <v>141.31</v>
      </c>
      <c r="Y59" s="450">
        <v>47.49</v>
      </c>
    </row>
    <row r="60" spans="1:25">
      <c r="A60" s="136"/>
      <c r="B60" s="138"/>
      <c r="C60" s="138"/>
      <c r="D60" s="138"/>
      <c r="E60" s="138"/>
      <c r="F60" s="138"/>
      <c r="G60" s="138"/>
      <c r="H60" s="138"/>
      <c r="I60" s="138"/>
      <c r="P60" s="449">
        <v>5</v>
      </c>
      <c r="Q60" s="450">
        <v>21.36</v>
      </c>
      <c r="R60" s="450">
        <v>18.07</v>
      </c>
      <c r="S60" s="450">
        <v>330.78</v>
      </c>
      <c r="T60" s="450">
        <v>123.41</v>
      </c>
      <c r="U60" s="450">
        <v>25.33</v>
      </c>
      <c r="V60" s="450">
        <v>11.41</v>
      </c>
      <c r="W60" s="450">
        <v>2.87</v>
      </c>
      <c r="X60" s="450">
        <v>123.59</v>
      </c>
      <c r="Y60" s="450">
        <v>45.46</v>
      </c>
    </row>
    <row r="61" spans="1:25">
      <c r="A61" s="136"/>
      <c r="B61" s="138"/>
      <c r="C61" s="138"/>
      <c r="D61" s="138"/>
      <c r="E61" s="138"/>
      <c r="F61" s="138"/>
      <c r="G61" s="138"/>
      <c r="H61" s="138"/>
      <c r="I61" s="138"/>
      <c r="P61" s="449">
        <v>6</v>
      </c>
      <c r="Q61" s="450">
        <v>25.42</v>
      </c>
      <c r="R61" s="450">
        <v>21.42</v>
      </c>
      <c r="S61" s="450">
        <v>200.58</v>
      </c>
      <c r="T61" s="450">
        <v>108.48</v>
      </c>
      <c r="U61" s="450">
        <v>22.99</v>
      </c>
      <c r="V61" s="450">
        <v>10.57</v>
      </c>
      <c r="W61" s="450">
        <v>3.01</v>
      </c>
      <c r="X61" s="450">
        <v>85.48</v>
      </c>
      <c r="Y61" s="450">
        <v>28.56</v>
      </c>
    </row>
    <row r="62" spans="1:25">
      <c r="A62" s="136"/>
      <c r="B62" s="138"/>
      <c r="C62" s="138"/>
      <c r="D62" s="138"/>
      <c r="E62" s="138"/>
      <c r="F62" s="138"/>
      <c r="G62" s="138"/>
      <c r="H62" s="138"/>
      <c r="I62" s="138"/>
      <c r="P62" s="449">
        <v>7</v>
      </c>
      <c r="Q62" s="450">
        <v>35.43</v>
      </c>
      <c r="R62" s="450">
        <v>25.12</v>
      </c>
      <c r="S62" s="450">
        <v>393.69</v>
      </c>
      <c r="T62" s="450">
        <v>144.62</v>
      </c>
      <c r="U62" s="450">
        <v>39.44</v>
      </c>
      <c r="V62" s="450">
        <v>10</v>
      </c>
      <c r="W62" s="450">
        <v>2.88</v>
      </c>
      <c r="X62" s="450">
        <v>100.57</v>
      </c>
      <c r="Y62" s="450">
        <v>25.04</v>
      </c>
    </row>
    <row r="63" spans="1:25">
      <c r="A63" s="136"/>
      <c r="B63" s="138"/>
      <c r="C63" s="138"/>
      <c r="D63" s="138"/>
      <c r="E63" s="138"/>
      <c r="F63" s="138"/>
      <c r="G63" s="138"/>
      <c r="H63" s="138"/>
      <c r="I63" s="138"/>
      <c r="O63" s="448">
        <v>8</v>
      </c>
      <c r="P63" s="449">
        <v>8</v>
      </c>
      <c r="Q63" s="450">
        <v>30.45</v>
      </c>
      <c r="R63" s="450">
        <v>23.33</v>
      </c>
      <c r="S63" s="450">
        <v>345.37</v>
      </c>
      <c r="T63" s="450">
        <v>140.63</v>
      </c>
      <c r="U63" s="450">
        <v>30.47</v>
      </c>
      <c r="V63" s="450">
        <v>9.58</v>
      </c>
      <c r="W63" s="450">
        <v>2.0699999999999998</v>
      </c>
      <c r="X63" s="450">
        <v>163.72999999999999</v>
      </c>
      <c r="Y63" s="450">
        <v>58.84</v>
      </c>
    </row>
    <row r="64" spans="1:25" ht="6" customHeight="1">
      <c r="A64" s="136"/>
      <c r="B64" s="138"/>
      <c r="C64" s="138"/>
      <c r="D64" s="138"/>
      <c r="E64" s="138"/>
      <c r="F64" s="138"/>
      <c r="G64" s="138"/>
      <c r="H64" s="138"/>
      <c r="I64" s="138"/>
      <c r="P64" s="449">
        <v>9</v>
      </c>
      <c r="Q64" s="450">
        <v>37.72</v>
      </c>
      <c r="R64" s="450">
        <v>24.83</v>
      </c>
      <c r="S64" s="450">
        <v>567.22</v>
      </c>
      <c r="T64" s="450">
        <v>245.85</v>
      </c>
      <c r="U64" s="450">
        <v>67.56</v>
      </c>
      <c r="V64" s="450">
        <v>9.01</v>
      </c>
      <c r="W64" s="450">
        <v>7.33</v>
      </c>
      <c r="X64" s="450">
        <v>285.31</v>
      </c>
      <c r="Y64" s="450">
        <v>102.26</v>
      </c>
    </row>
    <row r="65" spans="1:25" ht="24.75" customHeight="1">
      <c r="A65" s="920" t="s">
        <v>513</v>
      </c>
      <c r="B65" s="920"/>
      <c r="C65" s="920"/>
      <c r="D65" s="920"/>
      <c r="E65" s="920"/>
      <c r="F65" s="920"/>
      <c r="G65" s="920"/>
      <c r="H65" s="920"/>
      <c r="I65" s="920"/>
      <c r="J65" s="920"/>
      <c r="K65" s="920"/>
      <c r="L65" s="920"/>
      <c r="P65" s="449">
        <v>10</v>
      </c>
      <c r="Q65" s="450">
        <v>36.46</v>
      </c>
      <c r="R65" s="450">
        <v>24.95</v>
      </c>
      <c r="S65" s="450">
        <v>467.04</v>
      </c>
      <c r="T65" s="450">
        <v>188.01</v>
      </c>
      <c r="U65" s="450">
        <v>50.5</v>
      </c>
      <c r="V65" s="450">
        <v>10.06</v>
      </c>
      <c r="W65" s="450">
        <v>3.71</v>
      </c>
      <c r="X65" s="450">
        <v>374.33</v>
      </c>
      <c r="Y65" s="450">
        <v>83.74</v>
      </c>
    </row>
    <row r="66" spans="1:25" ht="20.25" customHeight="1">
      <c r="P66" s="449">
        <v>11</v>
      </c>
      <c r="Q66" s="450">
        <v>35.590000000000003</v>
      </c>
      <c r="R66" s="450">
        <v>26.89</v>
      </c>
      <c r="S66" s="450">
        <v>448.3</v>
      </c>
      <c r="T66" s="450">
        <v>169.95</v>
      </c>
      <c r="U66" s="450">
        <v>51.21</v>
      </c>
      <c r="V66" s="450">
        <v>26.15</v>
      </c>
      <c r="W66" s="450">
        <v>8.66</v>
      </c>
      <c r="X66" s="450">
        <v>219.86</v>
      </c>
      <c r="Y66" s="450">
        <v>62.42</v>
      </c>
    </row>
    <row r="67" spans="1:25">
      <c r="O67" s="448">
        <v>12</v>
      </c>
      <c r="P67" s="449">
        <v>12</v>
      </c>
      <c r="Q67" s="450">
        <v>37.82</v>
      </c>
      <c r="R67" s="450">
        <v>20.6</v>
      </c>
      <c r="S67" s="450">
        <v>350.87</v>
      </c>
      <c r="T67" s="450">
        <v>146.01</v>
      </c>
      <c r="U67" s="450">
        <v>38.08</v>
      </c>
      <c r="V67" s="450">
        <v>12.43</v>
      </c>
      <c r="W67" s="450">
        <v>5.63</v>
      </c>
      <c r="X67" s="450">
        <v>190.11</v>
      </c>
      <c r="Y67" s="450">
        <v>52.01</v>
      </c>
    </row>
    <row r="68" spans="1:25">
      <c r="P68" s="449">
        <v>13</v>
      </c>
      <c r="Q68" s="450">
        <v>35.93</v>
      </c>
      <c r="R68" s="450">
        <v>24.02</v>
      </c>
      <c r="S68" s="450">
        <v>380.48</v>
      </c>
      <c r="T68" s="450">
        <v>173.02</v>
      </c>
      <c r="U68" s="450">
        <v>38.869999999999997</v>
      </c>
      <c r="V68" s="450">
        <v>11.98</v>
      </c>
      <c r="W68" s="450">
        <v>5.83</v>
      </c>
      <c r="X68" s="450">
        <v>272.08999999999997</v>
      </c>
      <c r="Y68" s="450">
        <v>65.430000000000007</v>
      </c>
    </row>
    <row r="69" spans="1:25">
      <c r="P69" s="449">
        <v>14</v>
      </c>
      <c r="Q69" s="450">
        <v>42.9</v>
      </c>
      <c r="R69" s="450">
        <v>17.87</v>
      </c>
      <c r="S69" s="450">
        <v>427.28</v>
      </c>
      <c r="T69" s="450">
        <v>137.65</v>
      </c>
      <c r="U69" s="450">
        <v>35.950000000000003</v>
      </c>
      <c r="V69" s="450">
        <v>28.72</v>
      </c>
      <c r="W69" s="450">
        <v>4.95</v>
      </c>
      <c r="X69" s="450">
        <v>301.82</v>
      </c>
      <c r="Y69" s="450">
        <v>71.06</v>
      </c>
    </row>
    <row r="70" spans="1:25">
      <c r="P70" s="449">
        <v>15</v>
      </c>
      <c r="Q70" s="450">
        <v>31.19</v>
      </c>
      <c r="R70" s="450">
        <v>17.87</v>
      </c>
      <c r="S70" s="450">
        <v>334.14</v>
      </c>
      <c r="T70" s="450">
        <v>129.9</v>
      </c>
      <c r="U70" s="450">
        <v>29.93</v>
      </c>
      <c r="V70" s="450">
        <v>16.28</v>
      </c>
      <c r="W70" s="450">
        <v>1.82</v>
      </c>
      <c r="X70" s="450">
        <v>203.49</v>
      </c>
      <c r="Y70" s="450">
        <v>77.099999999999994</v>
      </c>
    </row>
    <row r="71" spans="1:25">
      <c r="O71" s="448">
        <v>16</v>
      </c>
      <c r="P71" s="449">
        <v>16</v>
      </c>
      <c r="Q71" s="450">
        <v>22.8</v>
      </c>
      <c r="R71" s="450">
        <v>11.46</v>
      </c>
      <c r="S71" s="450">
        <v>218.96</v>
      </c>
      <c r="T71" s="450">
        <v>100.66</v>
      </c>
      <c r="U71" s="450">
        <v>21.85</v>
      </c>
      <c r="V71" s="450">
        <v>15.43</v>
      </c>
      <c r="W71" s="450">
        <v>2.33</v>
      </c>
      <c r="X71" s="450">
        <v>155.33000000000001</v>
      </c>
      <c r="Y71" s="450">
        <v>48.77</v>
      </c>
    </row>
    <row r="72" spans="1:25">
      <c r="P72" s="449">
        <v>17</v>
      </c>
      <c r="Q72" s="450">
        <v>20.18</v>
      </c>
      <c r="R72" s="450">
        <v>11.46</v>
      </c>
      <c r="S72" s="450">
        <v>180.47</v>
      </c>
      <c r="T72" s="450">
        <v>91.24</v>
      </c>
      <c r="U72" s="450">
        <v>18.89</v>
      </c>
      <c r="V72" s="450">
        <v>12.29</v>
      </c>
      <c r="W72" s="450">
        <v>1.9</v>
      </c>
      <c r="X72" s="450">
        <v>111.37</v>
      </c>
      <c r="Y72" s="450">
        <v>34.409999999999997</v>
      </c>
    </row>
    <row r="73" spans="1:25">
      <c r="P73" s="449">
        <v>18</v>
      </c>
      <c r="Q73" s="450">
        <v>19.84</v>
      </c>
      <c r="R73" s="450">
        <v>10.36</v>
      </c>
      <c r="S73" s="450">
        <v>212.89</v>
      </c>
      <c r="T73" s="450">
        <v>98.95</v>
      </c>
      <c r="U73" s="450">
        <v>19.899999999999999</v>
      </c>
      <c r="V73" s="450">
        <v>11.64</v>
      </c>
      <c r="W73" s="450">
        <v>1.46</v>
      </c>
      <c r="X73" s="450">
        <v>117.05</v>
      </c>
      <c r="Y73" s="450">
        <v>28.8</v>
      </c>
    </row>
    <row r="74" spans="1:25">
      <c r="P74" s="449">
        <v>19</v>
      </c>
      <c r="Q74" s="450">
        <v>21.4</v>
      </c>
      <c r="R74" s="450">
        <v>9.25</v>
      </c>
      <c r="S74" s="450">
        <v>199.54</v>
      </c>
      <c r="T74" s="450">
        <v>89.02</v>
      </c>
      <c r="U74" s="450">
        <v>15.9</v>
      </c>
      <c r="V74" s="450">
        <v>11</v>
      </c>
      <c r="W74" s="450">
        <v>1.36</v>
      </c>
      <c r="X74" s="450">
        <v>79.2</v>
      </c>
      <c r="Y74" s="450">
        <v>22.78</v>
      </c>
    </row>
    <row r="75" spans="1:25">
      <c r="O75" s="448">
        <v>20</v>
      </c>
      <c r="P75" s="449">
        <v>20</v>
      </c>
      <c r="Q75" s="450">
        <v>17.23</v>
      </c>
      <c r="R75" s="450">
        <v>6.32</v>
      </c>
      <c r="S75" s="450">
        <v>136.84</v>
      </c>
      <c r="T75" s="450">
        <v>72.95</v>
      </c>
      <c r="U75" s="450">
        <v>15.03</v>
      </c>
      <c r="V75" s="450">
        <v>11</v>
      </c>
      <c r="W75" s="450">
        <v>1.98</v>
      </c>
      <c r="X75" s="450">
        <v>69.37</v>
      </c>
      <c r="Y75" s="450">
        <v>17.8</v>
      </c>
    </row>
    <row r="76" spans="1:25">
      <c r="P76" s="449">
        <v>21</v>
      </c>
      <c r="Q76" s="450">
        <v>16.09</v>
      </c>
      <c r="R76" s="450">
        <v>6.32</v>
      </c>
      <c r="S76" s="450">
        <v>116.86</v>
      </c>
      <c r="T76" s="450">
        <v>99.42</v>
      </c>
      <c r="U76" s="450">
        <v>20.059999999999999</v>
      </c>
      <c r="V76" s="450">
        <v>11.01</v>
      </c>
      <c r="W76" s="450">
        <v>1.6</v>
      </c>
      <c r="X76" s="450">
        <v>68.8</v>
      </c>
      <c r="Y76" s="450">
        <v>17.84</v>
      </c>
    </row>
    <row r="77" spans="1:25">
      <c r="P77" s="449">
        <v>22</v>
      </c>
      <c r="Q77" s="450">
        <v>15.1</v>
      </c>
      <c r="R77" s="450">
        <v>5.59</v>
      </c>
      <c r="S77" s="450">
        <v>118.58</v>
      </c>
      <c r="T77" s="450">
        <v>79.099999999999994</v>
      </c>
      <c r="U77" s="450">
        <v>16</v>
      </c>
      <c r="V77" s="450">
        <v>11</v>
      </c>
      <c r="W77" s="450">
        <v>1.01</v>
      </c>
      <c r="X77" s="450">
        <v>69.05</v>
      </c>
      <c r="Y77" s="450">
        <v>16.37</v>
      </c>
    </row>
    <row r="78" spans="1:25">
      <c r="P78" s="449">
        <v>23</v>
      </c>
      <c r="Q78" s="450">
        <v>14.28</v>
      </c>
      <c r="R78" s="450">
        <v>4.8499999999999996</v>
      </c>
      <c r="S78" s="450">
        <v>112.05</v>
      </c>
      <c r="T78" s="450">
        <v>63.27</v>
      </c>
      <c r="U78" s="450">
        <v>13.78</v>
      </c>
      <c r="V78" s="450">
        <v>11</v>
      </c>
      <c r="W78" s="450">
        <v>1.82</v>
      </c>
      <c r="X78" s="450">
        <v>54.09</v>
      </c>
      <c r="Y78" s="450">
        <v>13.15</v>
      </c>
    </row>
    <row r="79" spans="1:25">
      <c r="O79" s="448">
        <v>24</v>
      </c>
      <c r="P79" s="449">
        <v>24</v>
      </c>
      <c r="Q79" s="450">
        <v>13.3</v>
      </c>
      <c r="R79" s="450">
        <v>4.8499999999999996</v>
      </c>
      <c r="S79" s="450">
        <v>91.62</v>
      </c>
      <c r="T79" s="450">
        <v>49.79</v>
      </c>
      <c r="U79" s="450">
        <v>11.29</v>
      </c>
      <c r="V79" s="450">
        <v>11</v>
      </c>
      <c r="W79" s="450">
        <v>1.89</v>
      </c>
      <c r="X79" s="450">
        <v>45.31</v>
      </c>
      <c r="Y79" s="450">
        <v>10.85</v>
      </c>
    </row>
    <row r="80" spans="1:25">
      <c r="P80" s="449">
        <v>25</v>
      </c>
      <c r="Q80" s="450">
        <v>12.63</v>
      </c>
      <c r="R80" s="450">
        <v>3.77</v>
      </c>
      <c r="S80" s="450">
        <v>81.33</v>
      </c>
      <c r="T80" s="450">
        <v>46.74</v>
      </c>
      <c r="U80" s="450">
        <v>10.02</v>
      </c>
      <c r="V80" s="450">
        <v>11</v>
      </c>
      <c r="W80" s="450">
        <v>1.77</v>
      </c>
      <c r="X80" s="450">
        <v>40.42</v>
      </c>
      <c r="Y80" s="450">
        <v>8.98</v>
      </c>
    </row>
    <row r="81" spans="15:25">
      <c r="P81" s="449">
        <v>26</v>
      </c>
      <c r="Q81" s="450">
        <v>11.92</v>
      </c>
      <c r="R81" s="450">
        <v>3.77</v>
      </c>
      <c r="S81" s="450">
        <v>80.900000000000006</v>
      </c>
      <c r="T81" s="450">
        <v>41.45</v>
      </c>
      <c r="U81" s="450">
        <v>9.24</v>
      </c>
      <c r="V81" s="450">
        <v>12</v>
      </c>
      <c r="W81" s="450">
        <v>1.86</v>
      </c>
      <c r="X81" s="450">
        <v>37.89</v>
      </c>
      <c r="Y81" s="450">
        <v>9.41</v>
      </c>
    </row>
    <row r="82" spans="15:25">
      <c r="P82" s="449">
        <v>27</v>
      </c>
      <c r="Q82" s="450">
        <v>11.92</v>
      </c>
      <c r="R82" s="450">
        <v>3.91</v>
      </c>
      <c r="S82" s="450">
        <v>82.99</v>
      </c>
      <c r="T82" s="450">
        <v>60.31</v>
      </c>
      <c r="U82" s="450">
        <v>9.73</v>
      </c>
      <c r="V82" s="450">
        <v>12</v>
      </c>
      <c r="W82" s="450">
        <v>1.9</v>
      </c>
      <c r="X82" s="450">
        <v>38.229999999999997</v>
      </c>
      <c r="Y82" s="450">
        <v>8.58</v>
      </c>
    </row>
    <row r="83" spans="15:25">
      <c r="O83" s="448">
        <v>28</v>
      </c>
      <c r="P83" s="449">
        <v>28</v>
      </c>
      <c r="Q83" s="450">
        <v>11.04</v>
      </c>
      <c r="R83" s="450">
        <v>3.91</v>
      </c>
      <c r="S83" s="450">
        <v>71.739999999999995</v>
      </c>
      <c r="T83" s="450">
        <v>39.090000000000003</v>
      </c>
      <c r="U83" s="450">
        <v>8.42</v>
      </c>
      <c r="V83" s="450">
        <v>12</v>
      </c>
      <c r="W83" s="450">
        <v>1.65</v>
      </c>
      <c r="X83" s="450">
        <v>33.9</v>
      </c>
      <c r="Y83" s="450">
        <v>6.64</v>
      </c>
    </row>
    <row r="84" spans="15:25">
      <c r="P84" s="449">
        <v>29</v>
      </c>
      <c r="Q84" s="450">
        <v>10.27</v>
      </c>
      <c r="R84" s="450">
        <v>3.42</v>
      </c>
      <c r="S84" s="450">
        <v>67.8</v>
      </c>
      <c r="T84" s="450">
        <v>32.590000000000003</v>
      </c>
      <c r="U84" s="450">
        <v>7.7</v>
      </c>
      <c r="V84" s="450">
        <v>10.51</v>
      </c>
      <c r="W84" s="450">
        <v>1.79</v>
      </c>
      <c r="X84" s="450">
        <v>31.97</v>
      </c>
      <c r="Y84" s="450">
        <v>6.49</v>
      </c>
    </row>
    <row r="85" spans="15:25">
      <c r="P85" s="449">
        <v>30</v>
      </c>
      <c r="Q85" s="450">
        <v>9.4700000000000006</v>
      </c>
      <c r="R85" s="450">
        <v>3.42</v>
      </c>
      <c r="S85" s="450">
        <v>69.62</v>
      </c>
      <c r="T85" s="450">
        <v>28.39</v>
      </c>
      <c r="U85" s="450">
        <v>7.39</v>
      </c>
      <c r="V85" s="450">
        <v>12</v>
      </c>
      <c r="W85" s="450">
        <v>1.64</v>
      </c>
      <c r="X85" s="450">
        <v>31.76</v>
      </c>
      <c r="Y85" s="450">
        <v>6.15</v>
      </c>
    </row>
    <row r="86" spans="15:25">
      <c r="P86" s="449">
        <v>31</v>
      </c>
      <c r="Q86" s="450">
        <v>9.0500000000000007</v>
      </c>
      <c r="R86" s="450">
        <v>3.3</v>
      </c>
      <c r="S86" s="450">
        <v>61.71</v>
      </c>
      <c r="T86" s="450">
        <v>26.51</v>
      </c>
      <c r="U86" s="450">
        <v>7.02</v>
      </c>
      <c r="V86" s="450">
        <v>12</v>
      </c>
      <c r="W86" s="450">
        <v>1.87</v>
      </c>
      <c r="X86" s="450">
        <v>31.68</v>
      </c>
      <c r="Y86" s="450">
        <v>5.51</v>
      </c>
    </row>
    <row r="87" spans="15:25">
      <c r="O87" s="448">
        <v>32</v>
      </c>
      <c r="P87" s="449">
        <v>32</v>
      </c>
      <c r="Q87" s="450">
        <v>9.9</v>
      </c>
      <c r="R87" s="450">
        <v>2.68</v>
      </c>
      <c r="S87" s="450">
        <v>65.38</v>
      </c>
      <c r="T87" s="450">
        <v>24.1</v>
      </c>
      <c r="U87" s="450">
        <v>6.7</v>
      </c>
      <c r="V87" s="450">
        <v>12</v>
      </c>
      <c r="W87" s="450">
        <v>1.95</v>
      </c>
      <c r="X87" s="450">
        <v>31.01</v>
      </c>
      <c r="Y87" s="450">
        <v>5.16</v>
      </c>
    </row>
    <row r="88" spans="15:25">
      <c r="P88" s="449">
        <v>33</v>
      </c>
      <c r="Q88" s="450">
        <v>9.17</v>
      </c>
      <c r="R88" s="450">
        <v>2.4300000000000002</v>
      </c>
      <c r="S88" s="450">
        <v>59.63</v>
      </c>
      <c r="T88" s="450">
        <v>24.29</v>
      </c>
      <c r="U88" s="450">
        <v>6.44</v>
      </c>
      <c r="V88" s="450">
        <v>12</v>
      </c>
      <c r="W88" s="450">
        <v>1.82</v>
      </c>
      <c r="X88" s="450">
        <v>30.23</v>
      </c>
      <c r="Y88" s="450">
        <v>5.27</v>
      </c>
    </row>
    <row r="89" spans="15:25">
      <c r="P89" s="449">
        <v>34</v>
      </c>
      <c r="Q89" s="450">
        <v>7.78</v>
      </c>
      <c r="R89" s="450">
        <v>2.61</v>
      </c>
      <c r="S89" s="450">
        <v>60.62</v>
      </c>
      <c r="T89" s="450">
        <v>25.9</v>
      </c>
      <c r="U89" s="450">
        <v>6.62</v>
      </c>
      <c r="V89" s="450">
        <v>12</v>
      </c>
      <c r="W89" s="450">
        <v>1.89</v>
      </c>
      <c r="X89" s="450">
        <v>32.17</v>
      </c>
      <c r="Y89" s="450">
        <v>5.0599999999999996</v>
      </c>
    </row>
    <row r="90" spans="15:25">
      <c r="P90" s="449">
        <v>35</v>
      </c>
      <c r="Q90" s="450">
        <v>7.73</v>
      </c>
      <c r="R90" s="450">
        <v>3.07</v>
      </c>
      <c r="S90" s="450">
        <v>58.47</v>
      </c>
      <c r="T90" s="450">
        <v>26.33</v>
      </c>
      <c r="U90" s="450">
        <v>6.66</v>
      </c>
      <c r="V90" s="450">
        <v>12.14</v>
      </c>
      <c r="W90" s="450">
        <v>1.97</v>
      </c>
      <c r="X90" s="450">
        <v>31.63</v>
      </c>
      <c r="Y90" s="450">
        <v>4.84</v>
      </c>
    </row>
    <row r="91" spans="15:25">
      <c r="O91" s="448">
        <v>36</v>
      </c>
      <c r="P91" s="449">
        <v>36</v>
      </c>
      <c r="Q91" s="450">
        <v>7.1</v>
      </c>
      <c r="R91" s="450">
        <v>3.57</v>
      </c>
      <c r="S91" s="450">
        <v>61.13</v>
      </c>
      <c r="T91" s="450">
        <v>27.35</v>
      </c>
      <c r="U91" s="450">
        <v>6.84</v>
      </c>
      <c r="V91" s="450">
        <v>13</v>
      </c>
      <c r="W91" s="450">
        <v>1.76</v>
      </c>
      <c r="X91" s="450">
        <v>34.090000000000003</v>
      </c>
      <c r="Y91" s="450">
        <v>4.8899999999999997</v>
      </c>
    </row>
    <row r="92" spans="15:25">
      <c r="P92" s="449">
        <v>37</v>
      </c>
      <c r="Q92" s="450">
        <v>7.53</v>
      </c>
      <c r="R92" s="450">
        <v>5.04</v>
      </c>
      <c r="S92" s="450">
        <v>59.93</v>
      </c>
      <c r="T92" s="450">
        <v>34.56</v>
      </c>
      <c r="U92" s="450">
        <v>7.96</v>
      </c>
      <c r="V92" s="450">
        <v>13</v>
      </c>
      <c r="W92" s="450">
        <v>1.7</v>
      </c>
      <c r="X92" s="450">
        <v>38.06</v>
      </c>
      <c r="Y92" s="450">
        <v>8.4</v>
      </c>
    </row>
    <row r="93" spans="15:25">
      <c r="P93" s="449">
        <v>38</v>
      </c>
      <c r="Q93" s="450">
        <v>9.73</v>
      </c>
      <c r="R93" s="450">
        <v>3.75</v>
      </c>
      <c r="S93" s="450">
        <v>64.319999999999993</v>
      </c>
      <c r="T93" s="450">
        <v>41.74</v>
      </c>
      <c r="U93" s="450">
        <v>9.43</v>
      </c>
      <c r="V93" s="450">
        <v>13</v>
      </c>
      <c r="W93" s="450">
        <v>1.77</v>
      </c>
      <c r="X93" s="450">
        <v>41.12</v>
      </c>
      <c r="Y93" s="450">
        <v>6.42</v>
      </c>
    </row>
    <row r="94" spans="15:25">
      <c r="O94" s="448">
        <v>39</v>
      </c>
      <c r="P94" s="449">
        <v>39</v>
      </c>
      <c r="Q94" s="450">
        <v>7.21</v>
      </c>
      <c r="R94" s="450">
        <v>3.83</v>
      </c>
      <c r="S94" s="450">
        <v>66.83</v>
      </c>
      <c r="T94" s="450">
        <v>46.48</v>
      </c>
      <c r="U94" s="450">
        <v>7.93</v>
      </c>
      <c r="V94" s="450">
        <v>13</v>
      </c>
      <c r="W94" s="450">
        <v>1.99</v>
      </c>
      <c r="X94" s="450">
        <v>33.06</v>
      </c>
      <c r="Y94" s="450">
        <v>7.98</v>
      </c>
    </row>
    <row r="95" spans="15:25">
      <c r="P95" s="449">
        <v>40</v>
      </c>
      <c r="Q95" s="450">
        <v>6.89</v>
      </c>
      <c r="R95" s="450">
        <v>3.2</v>
      </c>
      <c r="S95" s="450">
        <v>56.32</v>
      </c>
      <c r="T95" s="450">
        <v>28.11</v>
      </c>
      <c r="U95" s="450">
        <v>6.02</v>
      </c>
      <c r="V95" s="450">
        <v>13</v>
      </c>
      <c r="W95" s="450">
        <v>1.48</v>
      </c>
      <c r="X95" s="450">
        <v>35.54</v>
      </c>
      <c r="Y95" s="450">
        <v>5.32</v>
      </c>
    </row>
    <row r="96" spans="15:25">
      <c r="P96" s="449">
        <v>41</v>
      </c>
      <c r="Q96" s="450">
        <v>7.51</v>
      </c>
      <c r="R96" s="450">
        <v>3.26</v>
      </c>
      <c r="S96" s="450">
        <v>57.18</v>
      </c>
      <c r="T96" s="450">
        <v>32.11</v>
      </c>
      <c r="U96" s="450">
        <v>6.5</v>
      </c>
      <c r="V96" s="450">
        <v>13</v>
      </c>
      <c r="W96" s="450">
        <v>1.53</v>
      </c>
      <c r="X96" s="450">
        <v>37.47</v>
      </c>
      <c r="Y96" s="450">
        <v>4.95</v>
      </c>
    </row>
    <row r="97" spans="14:25">
      <c r="P97" s="449">
        <v>42</v>
      </c>
      <c r="Q97" s="450">
        <v>7.92</v>
      </c>
      <c r="R97" s="450">
        <v>3.59</v>
      </c>
      <c r="S97" s="450">
        <v>71.87</v>
      </c>
      <c r="T97" s="450">
        <v>64.69</v>
      </c>
      <c r="U97" s="450">
        <v>9.44</v>
      </c>
      <c r="V97" s="450">
        <v>13</v>
      </c>
      <c r="W97" s="450">
        <v>1.93</v>
      </c>
      <c r="X97" s="450">
        <v>52.42</v>
      </c>
      <c r="Y97" s="450">
        <v>7.39</v>
      </c>
    </row>
    <row r="98" spans="14:25">
      <c r="O98" s="448">
        <v>43</v>
      </c>
      <c r="P98" s="449">
        <v>43</v>
      </c>
      <c r="Q98" s="450">
        <v>9.16</v>
      </c>
      <c r="R98" s="450">
        <v>3.99</v>
      </c>
      <c r="S98" s="450">
        <v>73.22</v>
      </c>
      <c r="T98" s="450">
        <v>71.16</v>
      </c>
      <c r="U98" s="450">
        <v>8.8800000000000008</v>
      </c>
      <c r="V98" s="450">
        <v>13</v>
      </c>
      <c r="W98" s="450">
        <v>1.69</v>
      </c>
      <c r="X98" s="450">
        <v>43.93</v>
      </c>
      <c r="Y98" s="450">
        <v>6.18</v>
      </c>
    </row>
    <row r="99" spans="14:25">
      <c r="P99" s="449">
        <v>44</v>
      </c>
      <c r="Q99" s="450">
        <v>8.81</v>
      </c>
      <c r="R99" s="450">
        <v>5.0199999999999996</v>
      </c>
      <c r="S99" s="450">
        <v>75.150000000000006</v>
      </c>
      <c r="T99" s="450">
        <v>62.33</v>
      </c>
      <c r="U99" s="450">
        <v>10.59</v>
      </c>
      <c r="V99" s="450">
        <v>13</v>
      </c>
      <c r="W99" s="450">
        <v>1.65</v>
      </c>
      <c r="X99" s="450">
        <v>40.229999999999997</v>
      </c>
      <c r="Y99" s="450">
        <v>8.7899999999999991</v>
      </c>
    </row>
    <row r="100" spans="14:25">
      <c r="P100" s="449">
        <v>45</v>
      </c>
      <c r="Q100" s="450">
        <v>8.3800000000000008</v>
      </c>
      <c r="R100" s="450">
        <v>4.2</v>
      </c>
      <c r="S100" s="450">
        <v>67.39</v>
      </c>
      <c r="T100" s="450">
        <v>61.76</v>
      </c>
      <c r="U100" s="450">
        <v>10.039999999999999</v>
      </c>
      <c r="V100" s="450">
        <v>13</v>
      </c>
      <c r="W100" s="450">
        <v>1.51</v>
      </c>
      <c r="X100" s="450">
        <v>41.85</v>
      </c>
      <c r="Y100" s="450">
        <v>11.45</v>
      </c>
    </row>
    <row r="101" spans="14:25">
      <c r="P101" s="449">
        <v>46</v>
      </c>
      <c r="Q101" s="450">
        <v>7.55</v>
      </c>
      <c r="R101" s="450">
        <v>3.7</v>
      </c>
      <c r="S101" s="450">
        <v>66.959999999999994</v>
      </c>
      <c r="T101" s="450">
        <v>66.040000000000006</v>
      </c>
      <c r="U101" s="450">
        <v>8.7799999999999994</v>
      </c>
      <c r="V101" s="450">
        <v>13</v>
      </c>
      <c r="W101" s="450">
        <v>1.65</v>
      </c>
      <c r="X101" s="450">
        <v>70.849999999999994</v>
      </c>
      <c r="Y101" s="450">
        <v>14.58</v>
      </c>
    </row>
    <row r="102" spans="14:25">
      <c r="P102" s="449">
        <v>47</v>
      </c>
      <c r="Q102" s="450">
        <v>7.39</v>
      </c>
      <c r="R102" s="450">
        <v>3.85</v>
      </c>
      <c r="S102" s="450">
        <v>67.72</v>
      </c>
      <c r="T102" s="450">
        <v>52.82</v>
      </c>
      <c r="U102" s="450">
        <v>7.81</v>
      </c>
      <c r="V102" s="450">
        <v>13</v>
      </c>
      <c r="W102" s="450">
        <v>1.6</v>
      </c>
      <c r="X102" s="450">
        <v>64.819999999999993</v>
      </c>
      <c r="Y102" s="450">
        <v>12.14</v>
      </c>
    </row>
    <row r="103" spans="14:25">
      <c r="O103" s="448">
        <v>48</v>
      </c>
      <c r="P103" s="449">
        <v>48</v>
      </c>
      <c r="Q103" s="450">
        <v>7.9678571564285718</v>
      </c>
      <c r="R103" s="450">
        <v>3.558142900428571</v>
      </c>
      <c r="S103" s="450">
        <v>77.366571698571434</v>
      </c>
      <c r="T103" s="450">
        <v>66.577285762857144</v>
      </c>
      <c r="U103" s="450">
        <v>9.1851428580000007</v>
      </c>
      <c r="V103" s="450">
        <v>13.005714417142858</v>
      </c>
      <c r="W103" s="450">
        <v>1.6</v>
      </c>
      <c r="X103" s="450">
        <v>47.846427917142854</v>
      </c>
      <c r="Y103" s="450">
        <v>12.516714369142859</v>
      </c>
    </row>
    <row r="104" spans="14:25">
      <c r="P104" s="449">
        <v>49</v>
      </c>
      <c r="Q104" s="450">
        <v>8.4875713758571436</v>
      </c>
      <c r="R104" s="450">
        <v>3.2600000074285718</v>
      </c>
      <c r="S104" s="450">
        <v>84.55585806714285</v>
      </c>
      <c r="T104" s="450">
        <v>72.732000077142857</v>
      </c>
      <c r="U104" s="450">
        <v>14.04828548342857</v>
      </c>
      <c r="V104" s="450">
        <v>13.002857208571429</v>
      </c>
      <c r="W104" s="450">
        <v>1.6</v>
      </c>
      <c r="X104" s="450">
        <v>57.322143555714298</v>
      </c>
      <c r="Y104" s="450">
        <v>18.826999800000003</v>
      </c>
    </row>
    <row r="105" spans="14:25">
      <c r="P105" s="449">
        <v>50</v>
      </c>
      <c r="Q105" s="450">
        <v>8.7257142747142868</v>
      </c>
      <c r="R105" s="450">
        <v>3.4628571441428577</v>
      </c>
      <c r="S105" s="450">
        <v>77.460142951428566</v>
      </c>
      <c r="T105" s="450">
        <v>64.097142899999994</v>
      </c>
      <c r="U105" s="450">
        <v>11.032857077571427</v>
      </c>
      <c r="V105" s="450">
        <v>13</v>
      </c>
      <c r="W105" s="450">
        <v>1.6000000240000001</v>
      </c>
      <c r="X105" s="450">
        <v>51.470714571428573</v>
      </c>
      <c r="Y105" s="450">
        <v>20.280285972857143</v>
      </c>
    </row>
    <row r="106" spans="14:25">
      <c r="P106" s="449">
        <v>51</v>
      </c>
      <c r="Q106" s="450">
        <v>9.7215715127142861</v>
      </c>
      <c r="R106" s="450">
        <v>4.2539999484285715</v>
      </c>
      <c r="S106" s="450">
        <v>78.166143688571424</v>
      </c>
      <c r="T106" s="450">
        <v>94.237856191428577</v>
      </c>
      <c r="U106" s="450">
        <v>14.381428445285712</v>
      </c>
      <c r="V106" s="450">
        <v>13.01285743857143</v>
      </c>
      <c r="W106" s="450">
        <v>1.6257142851428572</v>
      </c>
      <c r="X106" s="450">
        <v>65.58357184285714</v>
      </c>
      <c r="Y106" s="450">
        <v>34.849000112857141</v>
      </c>
    </row>
    <row r="107" spans="14:25">
      <c r="O107" s="448">
        <v>52</v>
      </c>
      <c r="P107" s="449">
        <v>52</v>
      </c>
      <c r="Q107" s="450">
        <v>10.323285784571427</v>
      </c>
      <c r="R107" s="450">
        <v>4.6457142829999993</v>
      </c>
      <c r="S107" s="450">
        <v>86.972714017142849</v>
      </c>
      <c r="T107" s="450">
        <v>94.357285634285716</v>
      </c>
      <c r="U107" s="450">
        <v>13.293999945714287</v>
      </c>
      <c r="V107" s="450">
        <v>13.09681579142857</v>
      </c>
      <c r="W107" s="450">
        <v>1.644999981</v>
      </c>
      <c r="X107" s="450">
        <v>104.27285767571428</v>
      </c>
      <c r="Y107" s="450">
        <v>35.335714887142856</v>
      </c>
    </row>
    <row r="108" spans="14:25">
      <c r="N108" s="448">
        <v>2018</v>
      </c>
      <c r="O108" s="448">
        <v>1</v>
      </c>
      <c r="P108" s="449">
        <v>1</v>
      </c>
      <c r="Q108" s="450">
        <v>10.34</v>
      </c>
      <c r="R108" s="450">
        <v>4.4628571428571426</v>
      </c>
      <c r="S108" s="450">
        <v>140.04142857142858</v>
      </c>
      <c r="T108" s="450">
        <v>143.09</v>
      </c>
      <c r="U108" s="450">
        <v>20.63</v>
      </c>
      <c r="V108" s="450">
        <v>13</v>
      </c>
      <c r="W108" s="450">
        <v>1.64</v>
      </c>
      <c r="X108" s="450">
        <v>201.2428571428571</v>
      </c>
      <c r="Y108" s="450">
        <v>63.23</v>
      </c>
    </row>
    <row r="109" spans="14:25">
      <c r="P109" s="449">
        <v>2</v>
      </c>
      <c r="Q109" s="450">
        <v>13.730999947142859</v>
      </c>
      <c r="R109" s="450">
        <v>3.5944285392857145</v>
      </c>
      <c r="S109" s="450">
        <v>209.91800362857143</v>
      </c>
      <c r="T109" s="450">
        <v>160.98214394285716</v>
      </c>
      <c r="U109" s="450">
        <v>36.213856559999996</v>
      </c>
      <c r="V109" s="450">
        <v>11.774285724285715</v>
      </c>
      <c r="W109" s="450">
        <v>1.5914286031428568</v>
      </c>
      <c r="X109" s="450">
        <v>229.4250030571429</v>
      </c>
      <c r="Y109" s="450">
        <v>56.654285431428562</v>
      </c>
    </row>
    <row r="110" spans="14:25">
      <c r="P110" s="449">
        <v>3</v>
      </c>
      <c r="Q110" s="450">
        <v>15.983285902857142</v>
      </c>
      <c r="R110" s="450">
        <v>8.3045714242857152</v>
      </c>
      <c r="S110" s="450">
        <v>223.6645725857143</v>
      </c>
      <c r="T110" s="450">
        <v>190.44042751428574</v>
      </c>
      <c r="U110" s="450">
        <v>30.819142750000001</v>
      </c>
      <c r="V110" s="450">
        <v>11.857142857142858</v>
      </c>
      <c r="W110" s="450">
        <v>1.5814286125714285</v>
      </c>
      <c r="X110" s="450">
        <v>261.56357028571426</v>
      </c>
      <c r="Y110" s="450">
        <v>68.516428267142857</v>
      </c>
    </row>
    <row r="111" spans="14:25">
      <c r="O111" s="448">
        <v>4</v>
      </c>
      <c r="P111" s="449">
        <v>4</v>
      </c>
      <c r="Q111" s="450">
        <v>21.988571574285714</v>
      </c>
      <c r="R111" s="450">
        <v>15.598142828000002</v>
      </c>
      <c r="S111" s="450">
        <v>346.88342720000003</v>
      </c>
      <c r="T111" s="450">
        <v>205.5832868285714</v>
      </c>
      <c r="U111" s="450">
        <v>40.893000467142862</v>
      </c>
      <c r="V111" s="450">
        <v>18.734285627142857</v>
      </c>
      <c r="W111" s="450">
        <v>1.5700000519999997</v>
      </c>
      <c r="X111" s="450">
        <v>261.98000009999998</v>
      </c>
      <c r="Y111" s="450">
        <v>58.935427530000005</v>
      </c>
    </row>
    <row r="112" spans="14:25">
      <c r="P112" s="449">
        <v>5</v>
      </c>
      <c r="Q112" s="450">
        <v>17.729000225714284</v>
      </c>
      <c r="R112" s="450">
        <v>13.724571365714285</v>
      </c>
      <c r="S112" s="450">
        <v>214.95928737142859</v>
      </c>
      <c r="T112" s="450">
        <v>93.607142857142861</v>
      </c>
      <c r="U112" s="450">
        <v>17.748285841428572</v>
      </c>
      <c r="V112" s="450">
        <v>23.390000208571426</v>
      </c>
      <c r="W112" s="450">
        <v>1.5700000519999997</v>
      </c>
      <c r="X112" s="450">
        <v>141.83571514285714</v>
      </c>
      <c r="Y112" s="450">
        <v>45.332857951428579</v>
      </c>
    </row>
    <row r="113" spans="15:25">
      <c r="P113" s="449">
        <v>6</v>
      </c>
      <c r="Q113" s="450">
        <v>13.582571572857143</v>
      </c>
      <c r="R113" s="450">
        <v>8.6634286477142854</v>
      </c>
      <c r="S113" s="450">
        <v>166.34242902857142</v>
      </c>
      <c r="T113" s="450">
        <v>108.25571334000001</v>
      </c>
      <c r="U113" s="450">
        <v>18.79157175142857</v>
      </c>
      <c r="V113" s="450">
        <v>20.201017107142857</v>
      </c>
      <c r="W113" s="450">
        <v>2.3694285491428571</v>
      </c>
      <c r="X113" s="450">
        <v>164.55714089999998</v>
      </c>
      <c r="Y113" s="450">
        <v>65.987571171428584</v>
      </c>
    </row>
    <row r="114" spans="15:25">
      <c r="P114" s="449">
        <v>7</v>
      </c>
      <c r="Q114" s="450">
        <v>14.722571237142859</v>
      </c>
      <c r="R114" s="450">
        <v>11.071428435428571</v>
      </c>
      <c r="S114" s="450">
        <v>239.50057330000001</v>
      </c>
      <c r="T114" s="450">
        <v>202.98199900000003</v>
      </c>
      <c r="U114" s="450">
        <v>42.088571821428573</v>
      </c>
      <c r="V114" s="450">
        <v>15.283185821428571</v>
      </c>
      <c r="W114" s="450">
        <v>3.1689999100000001</v>
      </c>
      <c r="X114" s="450">
        <v>355.31285748571423</v>
      </c>
      <c r="Y114" s="450">
        <v>97.722999031428586</v>
      </c>
    </row>
    <row r="115" spans="15:25">
      <c r="O115" s="448">
        <v>8</v>
      </c>
      <c r="P115" s="449">
        <v>8</v>
      </c>
      <c r="Q115" s="450">
        <v>18.48</v>
      </c>
      <c r="R115" s="450">
        <v>14.97</v>
      </c>
      <c r="S115" s="450">
        <v>357.61814662857148</v>
      </c>
      <c r="T115" s="450">
        <v>251.1</v>
      </c>
      <c r="U115" s="450">
        <v>43.74</v>
      </c>
      <c r="V115" s="450">
        <v>16.564</v>
      </c>
      <c r="W115" s="450">
        <v>3.16</v>
      </c>
      <c r="X115" s="450">
        <v>437.78</v>
      </c>
      <c r="Y115" s="450">
        <v>142.13</v>
      </c>
    </row>
    <row r="116" spans="15:25">
      <c r="P116" s="449">
        <v>9</v>
      </c>
      <c r="Q116" s="450">
        <v>21.652428627142854</v>
      </c>
      <c r="R116" s="450">
        <v>14.185285431142857</v>
      </c>
      <c r="S116" s="450">
        <v>333.90885488571433</v>
      </c>
      <c r="T116" s="450">
        <v>204.95843285714287</v>
      </c>
      <c r="U116" s="450">
        <v>31.755000522857138</v>
      </c>
      <c r="V116" s="450">
        <v>15.852976190476195</v>
      </c>
      <c r="W116" s="450">
        <v>3.1689999100000001</v>
      </c>
      <c r="X116" s="450">
        <v>424.14571271428576</v>
      </c>
      <c r="Y116" s="450">
        <v>142.13857270714286</v>
      </c>
    </row>
    <row r="117" spans="15:25">
      <c r="P117" s="449">
        <v>10</v>
      </c>
      <c r="Q117" s="450">
        <v>30.272714344285713</v>
      </c>
      <c r="R117" s="450">
        <v>17.434571538571429</v>
      </c>
      <c r="S117" s="450">
        <v>431.64157101428572</v>
      </c>
      <c r="T117" s="450">
        <v>177.15485925714287</v>
      </c>
      <c r="U117" s="450">
        <v>31.196571622857142</v>
      </c>
      <c r="V117" s="450">
        <v>14.442</v>
      </c>
      <c r="W117" s="450">
        <v>4.7437142644285712</v>
      </c>
      <c r="X117" s="450">
        <v>293.69142804285718</v>
      </c>
      <c r="Y117" s="450">
        <v>72.30971418</v>
      </c>
    </row>
    <row r="118" spans="15:25">
      <c r="P118" s="449">
        <v>11</v>
      </c>
      <c r="Q118" s="450">
        <v>28.071857179999999</v>
      </c>
      <c r="R118" s="450">
        <v>17.048571724285715</v>
      </c>
      <c r="S118" s="450">
        <v>485.98543439999997</v>
      </c>
      <c r="T118" s="450">
        <v>169.375</v>
      </c>
      <c r="U118" s="450">
        <v>52.626284462857136</v>
      </c>
      <c r="V118" s="450">
        <v>18.273</v>
      </c>
      <c r="W118" s="450">
        <v>3.0879999738571429</v>
      </c>
      <c r="X118" s="450">
        <v>511.54500034285724</v>
      </c>
      <c r="Y118" s="450">
        <v>119.7894287057143</v>
      </c>
    </row>
    <row r="119" spans="15:25">
      <c r="O119" s="448">
        <v>12</v>
      </c>
      <c r="P119" s="449">
        <v>12</v>
      </c>
      <c r="Q119" s="450">
        <v>29.90999984714286</v>
      </c>
      <c r="R119" s="450">
        <v>21.62</v>
      </c>
      <c r="S119" s="450">
        <v>465.24414497142863</v>
      </c>
      <c r="T119" s="450">
        <v>201.58328465714288</v>
      </c>
      <c r="U119" s="450">
        <v>57.669144221428567</v>
      </c>
      <c r="V119" s="450">
        <v>23.244</v>
      </c>
      <c r="W119" s="450">
        <v>4.5095714328571432</v>
      </c>
      <c r="X119" s="450">
        <v>433.89143152857145</v>
      </c>
      <c r="Y119" s="450">
        <v>152.80443028571429</v>
      </c>
    </row>
    <row r="120" spans="15:25">
      <c r="P120" s="449">
        <v>13</v>
      </c>
      <c r="Q120" s="450">
        <v>28.360142844285718</v>
      </c>
      <c r="R120" s="450">
        <v>17.439428465714283</v>
      </c>
      <c r="S120" s="450">
        <v>396.37686155714289</v>
      </c>
      <c r="T120" s="450">
        <v>163.75585502857143</v>
      </c>
      <c r="U120" s="450">
        <v>35.725570951428573</v>
      </c>
      <c r="V120" s="450">
        <v>23.143392837142859</v>
      </c>
      <c r="W120" s="450">
        <v>3.3929999999999998</v>
      </c>
      <c r="X120" s="450">
        <v>281.79928587142859</v>
      </c>
      <c r="Y120" s="450">
        <v>107.32928468714286</v>
      </c>
    </row>
    <row r="121" spans="15:25">
      <c r="P121" s="449">
        <v>14</v>
      </c>
      <c r="Q121" s="450">
        <v>23.830285752857144</v>
      </c>
      <c r="R121" s="450">
        <v>12.833285604571429</v>
      </c>
      <c r="S121" s="450">
        <v>226.32643345714288</v>
      </c>
      <c r="T121" s="450">
        <v>133.53585814285714</v>
      </c>
      <c r="U121" s="450">
        <v>28.622000282857147</v>
      </c>
      <c r="V121" s="450">
        <v>19.16</v>
      </c>
      <c r="W121" s="450">
        <v>1.736</v>
      </c>
      <c r="X121" s="450">
        <v>176.23214502857144</v>
      </c>
      <c r="Y121" s="450">
        <v>80.936570849999995</v>
      </c>
    </row>
    <row r="122" spans="15:25">
      <c r="P122" s="449">
        <v>15</v>
      </c>
      <c r="Q122" s="450">
        <v>27</v>
      </c>
      <c r="R122" s="450">
        <v>15.571285655714286</v>
      </c>
      <c r="S122" s="450">
        <v>207.40800040000002</v>
      </c>
      <c r="T122" s="450">
        <v>107.59514291428572</v>
      </c>
      <c r="U122" s="450">
        <v>30.753999982857145</v>
      </c>
      <c r="V122" s="450">
        <v>14.377143042857142</v>
      </c>
      <c r="W122" s="450">
        <v>1.8612856864285716</v>
      </c>
      <c r="X122" s="450">
        <v>130.09</v>
      </c>
      <c r="Y122" s="450">
        <v>42.693143572857146</v>
      </c>
    </row>
    <row r="123" spans="15:25">
      <c r="O123" s="448">
        <v>16</v>
      </c>
      <c r="P123" s="449">
        <v>16</v>
      </c>
      <c r="Q123" s="450">
        <v>19.899999999999999</v>
      </c>
      <c r="R123" s="450">
        <v>12.83</v>
      </c>
      <c r="S123" s="450">
        <v>166.38871437142856</v>
      </c>
      <c r="T123" s="450">
        <v>95.78</v>
      </c>
      <c r="U123" s="450">
        <v>29.88</v>
      </c>
      <c r="V123" s="450">
        <v>12.36</v>
      </c>
      <c r="W123" s="450">
        <v>1.9</v>
      </c>
      <c r="X123" s="450">
        <v>96.9</v>
      </c>
      <c r="Y123" s="450">
        <v>33.717142651428574</v>
      </c>
    </row>
    <row r="124" spans="15:25">
      <c r="P124" s="449">
        <v>17</v>
      </c>
      <c r="Q124" s="450">
        <v>19.14</v>
      </c>
      <c r="R124" s="450">
        <v>13.52</v>
      </c>
      <c r="S124" s="450">
        <v>168.19342804285716</v>
      </c>
      <c r="T124" s="450">
        <v>95.39</v>
      </c>
      <c r="U124" s="450">
        <v>22.257285525714284</v>
      </c>
      <c r="V124" s="450">
        <v>13.4</v>
      </c>
      <c r="W124" s="450">
        <v>1.7940000124285713</v>
      </c>
      <c r="X124" s="450">
        <v>89.59</v>
      </c>
      <c r="Y124" s="450">
        <v>27.06</v>
      </c>
    </row>
    <row r="125" spans="15:25">
      <c r="P125" s="449">
        <v>18</v>
      </c>
      <c r="Q125" s="450">
        <v>19.703571455714286</v>
      </c>
      <c r="R125" s="450">
        <v>14.166857039571427</v>
      </c>
      <c r="S125" s="450">
        <v>171.5428597714286</v>
      </c>
      <c r="T125" s="450">
        <v>85.958285739999994</v>
      </c>
      <c r="U125" s="450">
        <v>21.651714052857141</v>
      </c>
      <c r="V125" s="450">
        <v>12.785805702857145</v>
      </c>
      <c r="W125" s="450">
        <v>2.3024285860000004</v>
      </c>
      <c r="X125" s="450">
        <v>89.602142331428567</v>
      </c>
      <c r="Y125" s="450">
        <v>22.269714081428571</v>
      </c>
    </row>
    <row r="126" spans="15:25">
      <c r="P126" s="449">
        <v>19</v>
      </c>
      <c r="Q126" s="450">
        <v>15.48828561</v>
      </c>
      <c r="R126" s="450">
        <v>12.650857108142857</v>
      </c>
      <c r="S126" s="450">
        <v>146.54485865714287</v>
      </c>
      <c r="T126" s="450">
        <v>88.244000028571435</v>
      </c>
      <c r="U126" s="450">
        <v>19.037142890000002</v>
      </c>
      <c r="V126" s="450">
        <v>11.328391347142857</v>
      </c>
      <c r="W126" s="450">
        <v>1.8057142665714285</v>
      </c>
      <c r="X126" s="450">
        <v>75.568572998571426</v>
      </c>
      <c r="Y126" s="450">
        <v>17.565999711428571</v>
      </c>
    </row>
    <row r="127" spans="15:25">
      <c r="O127" s="448">
        <v>20</v>
      </c>
      <c r="P127" s="449">
        <v>20</v>
      </c>
      <c r="Q127" s="450">
        <v>14.601142882857145</v>
      </c>
      <c r="R127" s="450">
        <v>10.013285772</v>
      </c>
      <c r="S127" s="450">
        <v>112.76242937142857</v>
      </c>
      <c r="T127" s="450">
        <v>64.809571402857145</v>
      </c>
      <c r="U127" s="450">
        <v>16.531571660000001</v>
      </c>
      <c r="V127" s="450">
        <v>10.899261474285714</v>
      </c>
      <c r="W127" s="450">
        <v>1.7767143248571429</v>
      </c>
      <c r="X127" s="450">
        <v>62.208570752857149</v>
      </c>
      <c r="Y127" s="450">
        <v>14.502285821428572</v>
      </c>
    </row>
    <row r="128" spans="15:25">
      <c r="P128" s="449">
        <v>21</v>
      </c>
      <c r="Q128" s="450">
        <v>13.411285537142858</v>
      </c>
      <c r="R128" s="450">
        <v>7.8631429672857154</v>
      </c>
      <c r="S128" s="450">
        <v>94.636570517142857</v>
      </c>
      <c r="T128" s="450">
        <v>49.303714208571428</v>
      </c>
      <c r="U128" s="450">
        <v>13.450571468571427</v>
      </c>
      <c r="V128" s="450">
        <v>11.166911400000002</v>
      </c>
      <c r="W128" s="450">
        <v>1.8437143055714282</v>
      </c>
      <c r="X128" s="450">
        <v>54.38714218285714</v>
      </c>
      <c r="Y128" s="450">
        <v>12.214999879999999</v>
      </c>
    </row>
    <row r="129" spans="15:26">
      <c r="P129" s="449">
        <v>22</v>
      </c>
      <c r="Q129" s="450">
        <v>12.490285737142855</v>
      </c>
      <c r="R129" s="450">
        <v>6.4215714250000007</v>
      </c>
      <c r="S129" s="450">
        <v>81.718714031428576</v>
      </c>
      <c r="T129" s="450">
        <v>42.928571428571431</v>
      </c>
      <c r="U129" s="450">
        <v>11.897571562857141</v>
      </c>
      <c r="V129" s="450">
        <v>10.57333578442857</v>
      </c>
      <c r="W129" s="450">
        <v>1.8770000252857142</v>
      </c>
      <c r="X129" s="450">
        <v>48.837857382857138</v>
      </c>
      <c r="Y129" s="450">
        <v>10.894571441428569</v>
      </c>
    </row>
    <row r="130" spans="15:26">
      <c r="P130" s="449">
        <v>23</v>
      </c>
      <c r="Q130" s="450">
        <v>12.278000014285713</v>
      </c>
      <c r="R130" s="450">
        <v>5.5577142921428564</v>
      </c>
      <c r="S130" s="450">
        <v>83.760285512857152</v>
      </c>
      <c r="T130" s="450">
        <v>67.797571451428567</v>
      </c>
      <c r="U130" s="450">
        <v>15.801714215714284</v>
      </c>
      <c r="V130" s="450">
        <v>11.341294289999999</v>
      </c>
      <c r="W130" s="450">
        <v>1.7928571701428571</v>
      </c>
      <c r="X130" s="450">
        <v>58.175000328571436</v>
      </c>
      <c r="Y130" s="450">
        <v>13.860571451428571</v>
      </c>
    </row>
    <row r="131" spans="15:26">
      <c r="O131" s="448">
        <v>24</v>
      </c>
      <c r="P131" s="449">
        <v>24</v>
      </c>
      <c r="Q131" s="450">
        <v>10.882714271142857</v>
      </c>
      <c r="R131" s="450">
        <v>5.3317142215714286</v>
      </c>
      <c r="S131" s="450">
        <v>82.799001421428557</v>
      </c>
      <c r="T131" s="450">
        <v>63.982142857142854</v>
      </c>
      <c r="U131" s="450">
        <v>15.595999989999999</v>
      </c>
      <c r="V131" s="450">
        <v>11.96411841142857</v>
      </c>
      <c r="W131" s="450">
        <v>2.0252857377142854</v>
      </c>
      <c r="X131" s="450">
        <v>61.988572801428582</v>
      </c>
      <c r="Y131" s="450">
        <v>13.392856871428572</v>
      </c>
    </row>
    <row r="132" spans="15:26">
      <c r="P132" s="449">
        <v>25</v>
      </c>
      <c r="Q132" s="450">
        <v>10.290999957142857</v>
      </c>
      <c r="R132" s="450">
        <v>3.7498572211428569</v>
      </c>
      <c r="S132" s="450">
        <v>74.093855721428568</v>
      </c>
      <c r="T132" s="450">
        <v>53.035571505714287</v>
      </c>
      <c r="U132" s="450">
        <v>14.135857038571428</v>
      </c>
      <c r="V132" s="450">
        <v>11.79</v>
      </c>
      <c r="W132" s="450">
        <v>2.0514285564285717</v>
      </c>
      <c r="X132" s="450">
        <v>51.970714024285719</v>
      </c>
      <c r="Y132" s="450">
        <v>10.749428476857142</v>
      </c>
    </row>
    <row r="133" spans="15:26">
      <c r="P133" s="449">
        <v>26</v>
      </c>
      <c r="Q133" s="450">
        <v>9.5591429302857147</v>
      </c>
      <c r="R133" s="450">
        <v>3.5651427677142853</v>
      </c>
      <c r="S133" s="450">
        <v>66.795142037142867</v>
      </c>
      <c r="T133" s="450">
        <v>40.369000025714286</v>
      </c>
      <c r="U133" s="450">
        <v>10.912428581428573</v>
      </c>
      <c r="V133" s="450">
        <v>10.93</v>
      </c>
      <c r="W133" s="450">
        <v>2.1038571597142854</v>
      </c>
      <c r="X133" s="450">
        <v>44.390714371428579</v>
      </c>
      <c r="Y133" s="450">
        <v>9.1145714351428584</v>
      </c>
    </row>
    <row r="134" spans="15:26">
      <c r="P134" s="449">
        <v>27</v>
      </c>
      <c r="Q134" s="450">
        <v>9.3137141635714293</v>
      </c>
      <c r="R134" s="450">
        <v>4.7600000245714282</v>
      </c>
      <c r="S134" s="450">
        <v>67.368571689999996</v>
      </c>
      <c r="T134" s="450">
        <v>33.409999999999997</v>
      </c>
      <c r="U134" s="450">
        <v>9.4035714009999989</v>
      </c>
      <c r="V134" s="450">
        <v>12.51</v>
      </c>
      <c r="W134" s="450">
        <v>2.0499999999999998</v>
      </c>
      <c r="X134" s="450">
        <v>39.173571994285716</v>
      </c>
      <c r="Y134" s="450">
        <v>7.6487142698571438</v>
      </c>
    </row>
    <row r="135" spans="15:26">
      <c r="O135" s="448">
        <v>28</v>
      </c>
      <c r="P135" s="449">
        <v>28</v>
      </c>
      <c r="Q135" s="450">
        <v>8.7544284548571447</v>
      </c>
      <c r="R135" s="450">
        <v>2.5707143034285713</v>
      </c>
      <c r="S135" s="450">
        <v>65.073571887142847</v>
      </c>
      <c r="T135" s="450">
        <v>33.160714285714285</v>
      </c>
      <c r="U135" s="450">
        <v>9.4155716217142871</v>
      </c>
      <c r="V135" s="450">
        <v>12.3</v>
      </c>
      <c r="W135" s="450">
        <v>2.2505714212857142</v>
      </c>
      <c r="X135" s="450">
        <v>36.999285560000011</v>
      </c>
      <c r="Y135" s="450">
        <v>7.0544285774285713</v>
      </c>
    </row>
    <row r="136" spans="15:26">
      <c r="P136" s="449">
        <v>29</v>
      </c>
      <c r="Q136" s="450">
        <v>8.6149000000000004</v>
      </c>
      <c r="R136" s="450">
        <v>3.7006000000000001</v>
      </c>
      <c r="S136" s="450">
        <v>62.515714285714289</v>
      </c>
      <c r="T136" s="450">
        <v>35.738</v>
      </c>
      <c r="U136" s="450">
        <v>9.5503999999999998</v>
      </c>
      <c r="V136" s="450">
        <v>12.245714285714286</v>
      </c>
      <c r="W136" s="450">
        <v>1.9771428571428571</v>
      </c>
      <c r="X136" s="450">
        <v>38.677142857142861</v>
      </c>
      <c r="Y136" s="450">
        <v>6.3400000000000007</v>
      </c>
    </row>
    <row r="137" spans="15:26">
      <c r="P137" s="449">
        <v>30</v>
      </c>
      <c r="Q137" s="450">
        <v>8.1221428598571439</v>
      </c>
      <c r="R137" s="450">
        <v>4.9111429789999992</v>
      </c>
      <c r="S137" s="450">
        <v>57.148857115714286</v>
      </c>
      <c r="T137" s="450">
        <v>85.065429679999994</v>
      </c>
      <c r="U137" s="450">
        <v>15.534142631428571</v>
      </c>
      <c r="V137" s="450">
        <v>10.995952741142858</v>
      </c>
      <c r="W137" s="450">
        <v>2.2859999964285715</v>
      </c>
      <c r="X137" s="450">
        <v>56.166428702857139</v>
      </c>
      <c r="Y137" s="450">
        <v>9.4385714285714304</v>
      </c>
    </row>
    <row r="138" spans="15:26">
      <c r="P138" s="449">
        <v>31</v>
      </c>
      <c r="Q138" s="450">
        <v>7.5620000000000003</v>
      </c>
      <c r="R138" s="450">
        <v>3.28</v>
      </c>
      <c r="S138" s="450">
        <v>58.768000000000001</v>
      </c>
      <c r="T138" s="450">
        <v>40.375</v>
      </c>
      <c r="U138" s="450">
        <v>8.5579999999999998</v>
      </c>
      <c r="V138" s="450">
        <v>13.18</v>
      </c>
      <c r="W138" s="450">
        <v>2</v>
      </c>
      <c r="X138" s="450">
        <v>50.215000000000003</v>
      </c>
      <c r="Y138" s="450">
        <v>8.5770238095238049</v>
      </c>
    </row>
    <row r="139" spans="15:26">
      <c r="O139" s="448">
        <v>32</v>
      </c>
      <c r="P139" s="449">
        <v>32</v>
      </c>
      <c r="Q139" s="450">
        <v>8.4994284765714276</v>
      </c>
      <c r="R139" s="450">
        <v>4.8781427315714287</v>
      </c>
      <c r="S139" s="450">
        <v>54.703428540000004</v>
      </c>
      <c r="T139" s="450">
        <v>52.946428571428569</v>
      </c>
      <c r="U139" s="450">
        <v>10.739857128857144</v>
      </c>
      <c r="V139" s="450">
        <v>10.850328444285712</v>
      </c>
      <c r="W139" s="450">
        <v>2.0667142697142857</v>
      </c>
      <c r="X139" s="450">
        <v>50.460713522857141</v>
      </c>
      <c r="Y139" s="450">
        <v>9.7962856299999999</v>
      </c>
    </row>
    <row r="140" spans="15:26">
      <c r="P140" s="449">
        <v>33</v>
      </c>
      <c r="Q140" s="450">
        <v>7.8117142411428571</v>
      </c>
      <c r="R140" s="450">
        <v>4.5999999999999996</v>
      </c>
      <c r="S140" s="450">
        <v>59.066285269999995</v>
      </c>
      <c r="T140" s="450">
        <v>47.13</v>
      </c>
      <c r="U140" s="450">
        <v>9.23</v>
      </c>
      <c r="V140" s="450">
        <v>10.84</v>
      </c>
      <c r="W140" s="450">
        <v>2.0499999999999998</v>
      </c>
      <c r="X140" s="450">
        <v>44.64</v>
      </c>
      <c r="Y140" s="450">
        <v>8.7822855541428577</v>
      </c>
    </row>
    <row r="141" spans="15:26">
      <c r="P141" s="449">
        <v>34</v>
      </c>
      <c r="Q141" s="450">
        <v>6.44</v>
      </c>
      <c r="R141" s="450">
        <v>5.1568571165714285</v>
      </c>
      <c r="S141" s="450">
        <v>82.033571515714272</v>
      </c>
      <c r="T141" s="450">
        <v>63.892999920000001</v>
      </c>
      <c r="U141" s="450">
        <v>10.917285918714287</v>
      </c>
      <c r="V141" s="450">
        <v>10.534582955714285</v>
      </c>
      <c r="W141" s="450">
        <v>1.8788571358571429</v>
      </c>
      <c r="X141" s="450">
        <v>35.627857751428571</v>
      </c>
      <c r="Y141" s="450">
        <v>11.383714402571428</v>
      </c>
    </row>
    <row r="142" spans="15:26">
      <c r="P142" s="449">
        <v>35</v>
      </c>
      <c r="Q142" s="450">
        <v>7.5428571428571427</v>
      </c>
      <c r="R142" s="450">
        <v>2.15</v>
      </c>
      <c r="S142" s="450">
        <v>71.48</v>
      </c>
      <c r="T142" s="450">
        <v>45.64</v>
      </c>
      <c r="U142" s="450">
        <v>9.4700000000000006</v>
      </c>
      <c r="V142" s="450">
        <v>10.92</v>
      </c>
      <c r="W142" s="450">
        <v>1.88</v>
      </c>
      <c r="X142" s="450">
        <v>32.979999999999997</v>
      </c>
      <c r="Y142" s="450">
        <v>7.88</v>
      </c>
    </row>
    <row r="143" spans="15:26">
      <c r="O143" s="448">
        <v>36</v>
      </c>
      <c r="P143" s="449">
        <v>36</v>
      </c>
      <c r="Q143" s="450">
        <v>7.1671427998571433</v>
      </c>
      <c r="R143" s="450">
        <v>4.8342857142857136</v>
      </c>
      <c r="S143" s="450">
        <v>63.092857142857149</v>
      </c>
      <c r="T143" s="450">
        <v>34.571428571428569</v>
      </c>
      <c r="U143" s="450">
        <v>7.5942857142857134</v>
      </c>
      <c r="V143" s="450">
        <v>11.091428571428571</v>
      </c>
      <c r="W143" s="450">
        <v>1.8442857142857143</v>
      </c>
      <c r="X143" s="450">
        <v>31.20428571428571</v>
      </c>
      <c r="Y143" s="450">
        <v>8.0857142857142854</v>
      </c>
      <c r="Z143" s="479"/>
    </row>
    <row r="144" spans="15:26">
      <c r="P144" s="449">
        <v>37</v>
      </c>
      <c r="Q144" s="450">
        <v>7.1637143408571422</v>
      </c>
      <c r="R144" s="450">
        <v>3.1535714688571423</v>
      </c>
      <c r="S144" s="450">
        <v>61.141713821428574</v>
      </c>
      <c r="T144" s="450">
        <v>28.744000025714286</v>
      </c>
      <c r="U144" s="450">
        <v>6.5637142318571433</v>
      </c>
      <c r="V144" s="450">
        <v>10.825238499999999</v>
      </c>
      <c r="W144" s="450">
        <v>1.8114285809999999</v>
      </c>
      <c r="X144" s="450">
        <v>29.614285605714283</v>
      </c>
      <c r="Y144" s="450">
        <v>8.6452856064285708</v>
      </c>
    </row>
    <row r="145" spans="14:25">
      <c r="P145" s="449">
        <v>38</v>
      </c>
      <c r="Q145" s="450">
        <v>8.31</v>
      </c>
      <c r="R145" s="450">
        <v>3.3441428289999995</v>
      </c>
      <c r="S145" s="450">
        <v>49.664428712857145</v>
      </c>
      <c r="T145" s="450">
        <v>35.571571351428574</v>
      </c>
      <c r="U145" s="450">
        <v>7.2939999444285712</v>
      </c>
      <c r="V145" s="450">
        <v>11.159824370000001</v>
      </c>
      <c r="W145" s="450">
        <v>1.8427142925714282</v>
      </c>
      <c r="X145" s="450">
        <v>30.912857054285716</v>
      </c>
      <c r="Y145" s="450">
        <v>8.6452856064285708</v>
      </c>
    </row>
    <row r="146" spans="14:25">
      <c r="P146" s="449">
        <v>39</v>
      </c>
      <c r="Q146" s="450">
        <v>7.621428489714285</v>
      </c>
      <c r="R146" s="450">
        <v>4.6500000000000004</v>
      </c>
      <c r="S146" s="450">
        <v>42.24</v>
      </c>
      <c r="T146" s="450">
        <v>39.39</v>
      </c>
      <c r="U146" s="450">
        <v>7.68</v>
      </c>
      <c r="V146" s="450">
        <v>11.33</v>
      </c>
      <c r="W146" s="450">
        <v>1.64</v>
      </c>
      <c r="X146" s="450">
        <v>37.200000000000003</v>
      </c>
      <c r="Y146" s="450">
        <v>7.4194285528571422</v>
      </c>
    </row>
    <row r="147" spans="14:25">
      <c r="O147" s="448">
        <v>40</v>
      </c>
      <c r="P147" s="449">
        <v>40</v>
      </c>
      <c r="Q147" s="450">
        <v>7.621428489714285</v>
      </c>
      <c r="R147" s="450">
        <v>5.128571373571428</v>
      </c>
      <c r="S147" s="450">
        <v>38.906285422857138</v>
      </c>
      <c r="T147" s="450">
        <v>41.34000069857143</v>
      </c>
      <c r="U147" s="450">
        <v>9.112857137571428</v>
      </c>
      <c r="V147" s="450">
        <v>11.565001485714285</v>
      </c>
      <c r="W147" s="450">
        <v>1.8221428395714285</v>
      </c>
      <c r="X147" s="450">
        <v>42.197143011428572</v>
      </c>
      <c r="Y147" s="450">
        <v>9.6005713597142837</v>
      </c>
    </row>
    <row r="148" spans="14:25">
      <c r="P148" s="449">
        <v>41</v>
      </c>
      <c r="Q148" s="450">
        <v>7.2698572022574259</v>
      </c>
      <c r="R148" s="450">
        <v>4.8594285079410948</v>
      </c>
      <c r="S148" s="450">
        <v>42.923713956560341</v>
      </c>
      <c r="T148" s="450">
        <v>56.607142857142847</v>
      </c>
      <c r="U148" s="450">
        <v>11.170142854962995</v>
      </c>
      <c r="V148" s="450">
        <v>12.740178653172041</v>
      </c>
      <c r="W148" s="450">
        <v>1.7041428429739784</v>
      </c>
      <c r="X148" s="450">
        <v>49.475714547293492</v>
      </c>
      <c r="Y148" s="450">
        <v>10.943285942077617</v>
      </c>
    </row>
    <row r="149" spans="14:25">
      <c r="P149" s="449">
        <v>42</v>
      </c>
      <c r="Q149" s="450">
        <v>6.2732856614249064</v>
      </c>
      <c r="R149" s="450">
        <v>4.00314286776951</v>
      </c>
      <c r="S149" s="450">
        <v>73.976001194545148</v>
      </c>
      <c r="T149" s="450">
        <v>89.232285635811792</v>
      </c>
      <c r="U149" s="450">
        <v>19.282285690307582</v>
      </c>
      <c r="V149" s="450">
        <v>11.792381422860229</v>
      </c>
      <c r="W149" s="450">
        <v>1.5524285691124997</v>
      </c>
      <c r="X149" s="450">
        <v>72.350713457379968</v>
      </c>
      <c r="Y149" s="450">
        <v>17.972571236746628</v>
      </c>
    </row>
    <row r="150" spans="14:25">
      <c r="P150" s="449">
        <v>43</v>
      </c>
      <c r="Q150" s="450">
        <v>8.3208571161542526</v>
      </c>
      <c r="R150" s="450">
        <v>6.0481427737644662</v>
      </c>
      <c r="S150" s="450">
        <v>97.234427315848038</v>
      </c>
      <c r="T150" s="450">
        <v>125.70828465052978</v>
      </c>
      <c r="U150" s="450">
        <v>26.382142475673081</v>
      </c>
      <c r="V150" s="450">
        <v>12.0416071755545</v>
      </c>
      <c r="W150" s="450">
        <v>1.585428544453207</v>
      </c>
      <c r="X150" s="450">
        <v>82.484284537179079</v>
      </c>
      <c r="Y150" s="450">
        <v>19.552571432931028</v>
      </c>
    </row>
    <row r="151" spans="14:25">
      <c r="O151" s="448">
        <v>44</v>
      </c>
      <c r="P151" s="449">
        <v>44</v>
      </c>
      <c r="Q151" s="450">
        <v>9.2941429947142868</v>
      </c>
      <c r="R151" s="450">
        <v>7.6531428608571428</v>
      </c>
      <c r="S151" s="450">
        <v>120.62971387142855</v>
      </c>
      <c r="T151" s="450">
        <v>157.60714285714286</v>
      </c>
      <c r="U151" s="450">
        <v>33.364427840000005</v>
      </c>
      <c r="V151" s="450">
        <v>12.188929967142856</v>
      </c>
      <c r="W151" s="450">
        <v>1.6864285471428571</v>
      </c>
      <c r="X151" s="450">
        <v>110.40928649571428</v>
      </c>
      <c r="Y151" s="450">
        <v>33.081571032857141</v>
      </c>
    </row>
    <row r="152" spans="14:25">
      <c r="P152" s="449">
        <v>45</v>
      </c>
      <c r="Q152" s="450">
        <v>8.6642857274285721</v>
      </c>
      <c r="R152" s="450">
        <v>4.2061428341428568</v>
      </c>
      <c r="S152" s="450">
        <v>125.43157086857143</v>
      </c>
      <c r="T152" s="450">
        <v>105.63685608857143</v>
      </c>
      <c r="U152" s="450">
        <v>18.735571588571428</v>
      </c>
      <c r="V152" s="450">
        <v>13</v>
      </c>
      <c r="W152" s="450">
        <v>1.7397142818571427</v>
      </c>
      <c r="X152" s="450">
        <v>114.14357212285714</v>
      </c>
      <c r="Y152" s="450">
        <v>39.80185754</v>
      </c>
    </row>
    <row r="153" spans="14:25">
      <c r="P153" s="449">
        <v>46</v>
      </c>
      <c r="Q153" s="450">
        <v>8.5371428571428574</v>
      </c>
      <c r="R153" s="450">
        <v>5.9</v>
      </c>
      <c r="S153" s="450">
        <v>78.757142857142853</v>
      </c>
      <c r="T153" s="450">
        <v>79.304285714285712</v>
      </c>
      <c r="U153" s="450">
        <v>13.16</v>
      </c>
      <c r="V153" s="450">
        <v>13.001428571428571</v>
      </c>
      <c r="W153" s="450">
        <v>1.5</v>
      </c>
      <c r="X153" s="450">
        <v>93.457142857142841</v>
      </c>
      <c r="Y153" s="450">
        <v>37.212857142857146</v>
      </c>
    </row>
    <row r="154" spans="14:25">
      <c r="P154" s="449">
        <v>47</v>
      </c>
      <c r="Q154" s="450">
        <v>9.0094285692857135</v>
      </c>
      <c r="R154" s="450">
        <v>7.1015714912857133</v>
      </c>
      <c r="S154" s="450">
        <v>88.111712864285735</v>
      </c>
      <c r="T154" s="450">
        <v>74.684428622857141</v>
      </c>
      <c r="U154" s="450">
        <v>13.483142988571428</v>
      </c>
      <c r="V154" s="450">
        <v>12.142405645714286</v>
      </c>
      <c r="W154" s="450">
        <v>1.5</v>
      </c>
      <c r="X154" s="450">
        <v>104.10500007571429</v>
      </c>
      <c r="Y154" s="450">
        <v>35.055428368571434</v>
      </c>
    </row>
    <row r="155" spans="14:25">
      <c r="O155" s="448">
        <v>48</v>
      </c>
      <c r="P155" s="449">
        <v>48</v>
      </c>
      <c r="Q155" s="450">
        <v>8.5042856081428582</v>
      </c>
      <c r="R155" s="450">
        <v>4.3617142950000005</v>
      </c>
      <c r="S155" s="450">
        <v>80.151286534285717</v>
      </c>
      <c r="T155" s="450">
        <v>95.303570342857142</v>
      </c>
      <c r="U155" s="450">
        <v>12.543571337142859</v>
      </c>
      <c r="V155" s="450">
        <v>11.975262778571429</v>
      </c>
      <c r="W155" s="450">
        <v>1.5</v>
      </c>
      <c r="X155" s="450">
        <v>91.569999695714287</v>
      </c>
      <c r="Y155" s="450">
        <v>28.370000294285713</v>
      </c>
    </row>
    <row r="156" spans="14:25">
      <c r="P156" s="449">
        <v>49</v>
      </c>
      <c r="Q156" s="450">
        <v>8.27</v>
      </c>
      <c r="R156" s="450">
        <v>6.9099999999999993</v>
      </c>
      <c r="S156" s="450">
        <v>66.555714285714288</v>
      </c>
      <c r="T156" s="450">
        <v>54.31</v>
      </c>
      <c r="U156" s="450">
        <v>8.99</v>
      </c>
      <c r="V156" s="450">
        <v>12.26</v>
      </c>
      <c r="W156" s="450">
        <v>1.5</v>
      </c>
      <c r="X156" s="450">
        <v>62.974285714285706</v>
      </c>
      <c r="Y156" s="450">
        <v>22.919999999999998</v>
      </c>
    </row>
    <row r="157" spans="14:25">
      <c r="P157" s="449">
        <v>50</v>
      </c>
      <c r="Q157" s="450">
        <v>8.1765714374285707</v>
      </c>
      <c r="R157" s="450">
        <v>6.5639999597142857</v>
      </c>
      <c r="S157" s="450">
        <v>61.602715082857152</v>
      </c>
      <c r="T157" s="450">
        <v>52.47614288285714</v>
      </c>
      <c r="U157" s="450">
        <v>10.909571511285714</v>
      </c>
      <c r="V157" s="450">
        <v>13.001428604285715</v>
      </c>
      <c r="W157" s="450">
        <v>1.457142846857143</v>
      </c>
      <c r="X157" s="450">
        <v>52.244286674285718</v>
      </c>
      <c r="Y157" s="450">
        <v>17.695714271428571</v>
      </c>
    </row>
    <row r="158" spans="14:25">
      <c r="P158" s="449">
        <v>51</v>
      </c>
      <c r="Q158" s="450">
        <v>10.342857142857142</v>
      </c>
      <c r="R158" s="450">
        <v>7.3285714285714283</v>
      </c>
      <c r="S158" s="450">
        <v>53.9</v>
      </c>
      <c r="T158" s="450">
        <v>126.14285714285714</v>
      </c>
      <c r="U158" s="450">
        <v>16.8</v>
      </c>
      <c r="V158" s="450">
        <v>12.257142857142856</v>
      </c>
      <c r="W158" s="450">
        <v>1.3857142857142859</v>
      </c>
      <c r="X158" s="450">
        <v>86.528571428571439</v>
      </c>
      <c r="Y158" s="450">
        <v>33.51428571428572</v>
      </c>
    </row>
    <row r="159" spans="14:25">
      <c r="O159" s="448">
        <v>52</v>
      </c>
      <c r="P159" s="449">
        <v>52</v>
      </c>
      <c r="Q159" s="450">
        <v>10.661999840142856</v>
      </c>
      <c r="R159" s="450">
        <v>7.4820000789999996</v>
      </c>
      <c r="S159" s="450">
        <v>57.504999978571433</v>
      </c>
      <c r="T159" s="450">
        <v>100.38085719714286</v>
      </c>
      <c r="U159" s="450">
        <v>16.435142652857145</v>
      </c>
      <c r="V159" s="450">
        <v>12.222315514285714</v>
      </c>
      <c r="W159" s="450">
        <v>1.2999999520000001</v>
      </c>
      <c r="X159" s="450">
        <v>103.53357153142858</v>
      </c>
      <c r="Y159" s="450">
        <v>52.753143308571431</v>
      </c>
    </row>
    <row r="160" spans="14:25">
      <c r="N160" s="448">
        <v>2019</v>
      </c>
      <c r="O160" s="448">
        <v>1</v>
      </c>
      <c r="P160" s="449">
        <v>1</v>
      </c>
      <c r="Q160" s="450">
        <v>8.992857251428573</v>
      </c>
      <c r="R160" s="450">
        <v>4.4642857141428571</v>
      </c>
      <c r="S160" s="450">
        <v>57.514999934285704</v>
      </c>
      <c r="T160" s="450">
        <v>79.871427261428579</v>
      </c>
      <c r="U160" s="450">
        <v>13.115714484285716</v>
      </c>
      <c r="V160" s="450">
        <v>11.571904317142856</v>
      </c>
      <c r="W160" s="450">
        <v>1.2999999520000001</v>
      </c>
      <c r="X160" s="450">
        <v>121.75642612857142</v>
      </c>
      <c r="Y160" s="450">
        <v>64.398429325714275</v>
      </c>
    </row>
    <row r="161" spans="15:25">
      <c r="P161" s="449">
        <v>2</v>
      </c>
      <c r="Q161" s="450">
        <v>7.4904285157142843</v>
      </c>
      <c r="R161" s="450">
        <v>3.3685714177142856</v>
      </c>
      <c r="S161" s="450">
        <v>63.363856724285711</v>
      </c>
      <c r="T161" s="450">
        <v>84.184571402857145</v>
      </c>
      <c r="U161" s="450">
        <v>16.11014284285714</v>
      </c>
      <c r="V161" s="450">
        <v>11.570298602857141</v>
      </c>
      <c r="W161" s="450">
        <v>1.2999999520000001</v>
      </c>
      <c r="X161" s="450">
        <v>180.32999965714288</v>
      </c>
      <c r="Y161" s="450">
        <v>70.997858864285703</v>
      </c>
    </row>
    <row r="162" spans="15:25">
      <c r="P162" s="449">
        <v>3</v>
      </c>
      <c r="Q162" s="450">
        <v>14.36</v>
      </c>
      <c r="R162" s="450">
        <v>10.74</v>
      </c>
      <c r="S162" s="450">
        <v>80.75</v>
      </c>
      <c r="T162" s="450">
        <v>149.30000000000001</v>
      </c>
      <c r="U162" s="450">
        <v>29.23</v>
      </c>
      <c r="V162" s="450">
        <v>11.28</v>
      </c>
      <c r="W162" s="450">
        <v>1.33</v>
      </c>
      <c r="X162" s="450">
        <v>167.22</v>
      </c>
      <c r="Y162" s="450">
        <v>68.83</v>
      </c>
    </row>
    <row r="163" spans="15:25">
      <c r="O163" s="448">
        <v>4</v>
      </c>
      <c r="P163" s="449">
        <v>4</v>
      </c>
      <c r="Q163" s="450">
        <v>17.131428719999999</v>
      </c>
      <c r="R163" s="450">
        <v>11.155714580142858</v>
      </c>
      <c r="S163" s="450">
        <v>85.689570837142853</v>
      </c>
      <c r="T163" s="450">
        <v>168.80999974285714</v>
      </c>
      <c r="U163" s="450">
        <v>36.200000218571425</v>
      </c>
      <c r="V163" s="450">
        <v>11.843988554285716</v>
      </c>
      <c r="W163" s="450">
        <v>3.0287143159999999</v>
      </c>
      <c r="X163" s="450">
        <v>185.51500375714286</v>
      </c>
      <c r="Y163" s="450">
        <v>70.089428494285713</v>
      </c>
    </row>
    <row r="164" spans="15:25">
      <c r="P164" s="449">
        <v>5</v>
      </c>
      <c r="Q164" s="450">
        <v>30.592286245714288</v>
      </c>
      <c r="R164" s="450">
        <v>16.463000024285716</v>
      </c>
      <c r="S164" s="450">
        <v>416.48700821428571</v>
      </c>
      <c r="T164" s="450">
        <v>195.24999782857142</v>
      </c>
      <c r="U164" s="450">
        <v>36.703999928571427</v>
      </c>
      <c r="V164" s="450">
        <v>12.496724401428571</v>
      </c>
      <c r="W164" s="450">
        <v>6.6928571292857146</v>
      </c>
      <c r="X164" s="450">
        <v>199.03571430000002</v>
      </c>
      <c r="Y164" s="450">
        <v>74.655428748571438</v>
      </c>
    </row>
    <row r="165" spans="15:25">
      <c r="P165" s="449">
        <v>6</v>
      </c>
      <c r="Q165" s="450">
        <v>20.372857142857146</v>
      </c>
      <c r="R165" s="450">
        <v>17.05857142857143</v>
      </c>
      <c r="S165" s="450">
        <v>426.67142857142863</v>
      </c>
      <c r="T165" s="450">
        <v>265.28000000000003</v>
      </c>
      <c r="U165" s="450">
        <v>51.29</v>
      </c>
      <c r="V165" s="450">
        <v>12.744285714285715</v>
      </c>
      <c r="W165" s="450">
        <v>14.464285714285714</v>
      </c>
      <c r="X165" s="450">
        <v>338.89857142857142</v>
      </c>
      <c r="Y165" s="450">
        <v>117.82857142857142</v>
      </c>
    </row>
    <row r="166" spans="15:25">
      <c r="P166" s="449">
        <v>7</v>
      </c>
      <c r="Q166" s="450">
        <v>28.837571554285717</v>
      </c>
      <c r="R166" s="450">
        <v>18.065285818571429</v>
      </c>
      <c r="S166" s="450">
        <v>581.62514822857145</v>
      </c>
      <c r="T166" s="450">
        <v>230.7322888857143</v>
      </c>
      <c r="U166" s="450">
        <v>46.224000658571427</v>
      </c>
      <c r="V166" s="450">
        <v>23.841369902857146</v>
      </c>
      <c r="W166" s="450">
        <v>21.059571402857141</v>
      </c>
      <c r="X166" s="450">
        <v>288.0957205571429</v>
      </c>
      <c r="Y166" s="450">
        <v>118.07871352857144</v>
      </c>
    </row>
    <row r="167" spans="15:25">
      <c r="O167" s="448">
        <v>8</v>
      </c>
      <c r="P167" s="449">
        <v>8</v>
      </c>
      <c r="Q167" s="450">
        <v>20.077857700000003</v>
      </c>
      <c r="R167" s="450">
        <v>14.531571660571432</v>
      </c>
      <c r="S167" s="450">
        <v>439.74099729999995</v>
      </c>
      <c r="T167" s="450">
        <v>219.37485614285717</v>
      </c>
      <c r="U167" s="450">
        <v>42.94585745571429</v>
      </c>
      <c r="V167" s="450">
        <v>23.894881112857146</v>
      </c>
      <c r="W167" s="450">
        <v>6.8928571428571432</v>
      </c>
      <c r="X167" s="450">
        <v>411.75142995714288</v>
      </c>
      <c r="Y167" s="450">
        <v>98.32</v>
      </c>
    </row>
    <row r="168" spans="15:25">
      <c r="P168" s="449">
        <v>9</v>
      </c>
      <c r="Q168" s="450">
        <v>26.317999977142858</v>
      </c>
      <c r="R168" s="450">
        <v>19.520428521428574</v>
      </c>
      <c r="S168" s="450">
        <v>316.26999772857147</v>
      </c>
      <c r="T168" s="450">
        <v>191.17842539999998</v>
      </c>
      <c r="U168" s="450">
        <v>34.696428571428569</v>
      </c>
      <c r="V168" s="450">
        <v>22.406962801428573</v>
      </c>
      <c r="W168" s="450">
        <v>3.3807143142857146</v>
      </c>
      <c r="X168" s="450">
        <v>249.46285358571427</v>
      </c>
      <c r="Y168" s="450">
        <v>120.90099988571428</v>
      </c>
    </row>
    <row r="169" spans="15:25">
      <c r="P169" s="449">
        <v>10</v>
      </c>
      <c r="Q169" s="450">
        <v>27.959571565714288</v>
      </c>
      <c r="R169" s="450">
        <v>20.831714628571426</v>
      </c>
      <c r="S169" s="450">
        <v>326.63642664285715</v>
      </c>
      <c r="T169" s="450">
        <v>184.08928571428572</v>
      </c>
      <c r="U169" s="450">
        <v>38.680999754285715</v>
      </c>
      <c r="V169" s="450">
        <v>23.828572680000001</v>
      </c>
      <c r="W169" s="450">
        <v>2.3840000118571427</v>
      </c>
      <c r="X169" s="450">
        <v>225.10000174285716</v>
      </c>
      <c r="Y169" s="450">
        <v>78.177285328571429</v>
      </c>
    </row>
    <row r="170" spans="15:25">
      <c r="P170" s="449">
        <v>11</v>
      </c>
      <c r="Q170" s="450">
        <v>27.959571565714288</v>
      </c>
      <c r="R170" s="450">
        <v>22.247142927987216</v>
      </c>
      <c r="S170" s="450">
        <v>416.08099801199745</v>
      </c>
      <c r="T170" s="450">
        <v>226.88085501534573</v>
      </c>
      <c r="U170" s="450">
        <v>42.633285522460888</v>
      </c>
      <c r="V170" s="450">
        <v>23.809881482805473</v>
      </c>
      <c r="W170" s="450">
        <v>1.9291428668158341</v>
      </c>
      <c r="X170" s="450">
        <v>217.45642525809117</v>
      </c>
      <c r="Y170" s="450">
        <v>44.638999938964801</v>
      </c>
    </row>
    <row r="171" spans="15:25">
      <c r="O171" s="448">
        <v>12</v>
      </c>
      <c r="P171" s="449">
        <v>12</v>
      </c>
      <c r="Q171" s="450">
        <v>28.476714270455457</v>
      </c>
      <c r="R171" s="450">
        <v>21.707857131428572</v>
      </c>
      <c r="S171" s="450">
        <v>394.13957431428571</v>
      </c>
      <c r="T171" s="450">
        <v>203.44642857142858</v>
      </c>
      <c r="U171" s="450">
        <v>43.529285431428569</v>
      </c>
      <c r="V171" s="450">
        <v>19.572964258571432</v>
      </c>
      <c r="W171" s="450">
        <v>1.7968571012857144</v>
      </c>
      <c r="X171" s="450">
        <v>327.82142857142861</v>
      </c>
      <c r="Y171" s="450">
        <v>98.4</v>
      </c>
    </row>
    <row r="172" spans="15:25">
      <c r="P172" s="449">
        <v>13</v>
      </c>
      <c r="Q172" s="450">
        <v>24.844714028571435</v>
      </c>
      <c r="R172" s="450">
        <v>20.569142751428576</v>
      </c>
      <c r="S172" s="450">
        <v>522.42285592857138</v>
      </c>
      <c r="T172" s="450">
        <v>225.26185825714285</v>
      </c>
      <c r="U172" s="450">
        <v>57.974427901428569</v>
      </c>
      <c r="V172" s="450">
        <v>12.582738467142859</v>
      </c>
      <c r="W172" s="450">
        <v>1.6904285634285714</v>
      </c>
      <c r="X172" s="450">
        <v>339.04356602857143</v>
      </c>
      <c r="Y172" s="450">
        <v>92.103571201428579</v>
      </c>
    </row>
    <row r="173" spans="15:25">
      <c r="P173" s="449">
        <v>14</v>
      </c>
      <c r="Q173" s="450">
        <v>29.483285902857141</v>
      </c>
      <c r="R173" s="450">
        <v>18.767857142857142</v>
      </c>
      <c r="S173" s="450">
        <v>316.33943394285717</v>
      </c>
      <c r="T173" s="450">
        <v>152.47643277142856</v>
      </c>
      <c r="U173" s="450">
        <v>55.119428907142868</v>
      </c>
      <c r="V173" s="450">
        <v>21.303751674285714</v>
      </c>
      <c r="W173" s="450">
        <v>1.6808571647142858</v>
      </c>
      <c r="X173" s="450">
        <v>250.08571298571431</v>
      </c>
      <c r="Y173" s="450">
        <v>65.665856497142855</v>
      </c>
    </row>
    <row r="174" spans="15:25">
      <c r="P174" s="449">
        <v>15</v>
      </c>
      <c r="Q174" s="450">
        <v>20.040428705714284</v>
      </c>
      <c r="R174" s="450">
        <v>14.275999887714287</v>
      </c>
      <c r="S174" s="450">
        <v>168.45457024285716</v>
      </c>
      <c r="T174" s="450">
        <v>98.160714291428576</v>
      </c>
      <c r="U174" s="450">
        <v>27.713714872857139</v>
      </c>
      <c r="V174" s="450">
        <v>17.810774395714287</v>
      </c>
      <c r="W174" s="450">
        <v>1.7205714498571432</v>
      </c>
      <c r="X174" s="450">
        <v>148.48785617142858</v>
      </c>
      <c r="Y174" s="450">
        <v>49.633285522857136</v>
      </c>
    </row>
    <row r="175" spans="15:25">
      <c r="O175" s="448">
        <v>16</v>
      </c>
      <c r="P175" s="449">
        <v>16</v>
      </c>
      <c r="Q175" s="450">
        <v>16.072142737142858</v>
      </c>
      <c r="R175" s="450">
        <v>10.180143014285713</v>
      </c>
      <c r="S175" s="450">
        <v>131.80142647142856</v>
      </c>
      <c r="T175" s="450">
        <v>98.279714314285712</v>
      </c>
      <c r="U175" s="450">
        <v>22.869143077142859</v>
      </c>
      <c r="V175" s="450">
        <v>12.210951395714286</v>
      </c>
      <c r="W175" s="450">
        <v>1.789857131857143</v>
      </c>
      <c r="X175" s="450">
        <v>105.47928511571429</v>
      </c>
      <c r="Y175" s="450">
        <v>31.291000095714285</v>
      </c>
    </row>
    <row r="176" spans="15:25">
      <c r="P176" s="449">
        <v>17</v>
      </c>
      <c r="Q176" s="450">
        <v>15.383999960000001</v>
      </c>
      <c r="R176" s="450">
        <v>12.121571608857142</v>
      </c>
      <c r="S176" s="450">
        <v>143.84128789999997</v>
      </c>
      <c r="T176" s="450">
        <v>83.547571454285716</v>
      </c>
      <c r="U176" s="450">
        <v>20.273857388571425</v>
      </c>
      <c r="V176" s="450">
        <v>12.949641501428573</v>
      </c>
      <c r="W176" s="450">
        <v>1.6648571664285714</v>
      </c>
      <c r="X176" s="450">
        <v>103.81928579571429</v>
      </c>
      <c r="Y176" s="450">
        <v>25.921857015714284</v>
      </c>
    </row>
    <row r="177" spans="15:25">
      <c r="P177" s="449">
        <v>18</v>
      </c>
      <c r="Q177" s="450">
        <v>16.026142665714286</v>
      </c>
      <c r="R177" s="450">
        <v>11.996285711571428</v>
      </c>
      <c r="S177" s="450">
        <v>111.12314277285714</v>
      </c>
      <c r="T177" s="450">
        <v>74.392857142857139</v>
      </c>
      <c r="U177" s="450">
        <v>18.103142875714287</v>
      </c>
      <c r="V177" s="450">
        <v>11.493274145714285</v>
      </c>
      <c r="W177" s="450">
        <v>1.55</v>
      </c>
      <c r="X177" s="450">
        <v>91.532855442857141</v>
      </c>
      <c r="Y177" s="450">
        <v>22.190428595714284</v>
      </c>
    </row>
    <row r="178" spans="15:25">
      <c r="P178" s="449">
        <v>19</v>
      </c>
      <c r="Q178" s="450">
        <v>14.769714355714287</v>
      </c>
      <c r="R178" s="450">
        <v>10.123285769857144</v>
      </c>
      <c r="S178" s="450">
        <v>89.41828482428572</v>
      </c>
      <c r="T178" s="450">
        <v>60.613000051428571</v>
      </c>
      <c r="U178" s="450">
        <v>15.728999954285714</v>
      </c>
      <c r="V178" s="450">
        <v>10.883738517142858</v>
      </c>
      <c r="W178" s="450">
        <v>1.5914285865714286</v>
      </c>
      <c r="X178" s="450">
        <v>82.45500183</v>
      </c>
      <c r="Y178" s="450">
        <v>20.991285870000006</v>
      </c>
    </row>
    <row r="179" spans="15:25">
      <c r="P179" s="449">
        <v>20</v>
      </c>
      <c r="Q179" s="450">
        <v>13.81242861</v>
      </c>
      <c r="R179" s="450">
        <v>9.3731427190000005</v>
      </c>
      <c r="S179" s="450">
        <v>79.212427410000004</v>
      </c>
      <c r="T179" s="450">
        <v>72.321428569999995</v>
      </c>
      <c r="U179" s="450">
        <v>20.647571429999999</v>
      </c>
      <c r="V179" s="450">
        <v>11.153748650000001</v>
      </c>
      <c r="W179" s="450">
        <v>1.5371428389999999</v>
      </c>
      <c r="X179" s="450">
        <v>76.857142859999996</v>
      </c>
      <c r="Y179" s="450">
        <v>23.085714070000002</v>
      </c>
    </row>
    <row r="180" spans="15:25">
      <c r="P180" s="449">
        <v>21</v>
      </c>
      <c r="Q180" s="450">
        <v>12.849714414285714</v>
      </c>
      <c r="R180" s="450">
        <v>7.085428442285715</v>
      </c>
      <c r="S180" s="450">
        <v>62.717000688571432</v>
      </c>
      <c r="T180" s="450">
        <v>52.565571377142859</v>
      </c>
      <c r="U180" s="450">
        <v>14.46171447</v>
      </c>
      <c r="V180" s="450">
        <v>12</v>
      </c>
      <c r="W180" s="450">
        <v>1.5128571304285714</v>
      </c>
      <c r="X180" s="450">
        <v>58.057856968571436</v>
      </c>
      <c r="Y180" s="450">
        <v>17.858285902857144</v>
      </c>
    </row>
    <row r="181" spans="15:25">
      <c r="O181" s="448">
        <v>22</v>
      </c>
      <c r="P181" s="449">
        <v>22</v>
      </c>
      <c r="Q181" s="450">
        <v>12.105428559999998</v>
      </c>
      <c r="R181" s="450">
        <v>7.3308571058571435</v>
      </c>
      <c r="S181" s="450">
        <v>41.633143151428598</v>
      </c>
      <c r="T181" s="450">
        <v>49.261999948571429</v>
      </c>
      <c r="U181" s="450">
        <v>12.621714454285712</v>
      </c>
      <c r="V181" s="450">
        <v>10.442797251571431</v>
      </c>
      <c r="W181" s="450">
        <v>1.5</v>
      </c>
      <c r="X181" s="450">
        <v>51.520714895714285</v>
      </c>
      <c r="Y181" s="450">
        <v>15.324571202857143</v>
      </c>
    </row>
    <row r="182" spans="15:25">
      <c r="P182" s="449">
        <v>23</v>
      </c>
      <c r="Q182" s="450">
        <v>11.272714207142856</v>
      </c>
      <c r="R182" s="450">
        <v>7.7242857718571427</v>
      </c>
      <c r="S182" s="450">
        <v>41.633143151428598</v>
      </c>
      <c r="T182" s="450">
        <v>40.500142779999997</v>
      </c>
      <c r="U182" s="450">
        <v>10.571857179142857</v>
      </c>
      <c r="V182" s="450">
        <v>10.979225701428572</v>
      </c>
      <c r="W182" s="450">
        <v>1.5</v>
      </c>
      <c r="X182" s="450">
        <v>46.520714351428573</v>
      </c>
      <c r="Y182" s="450">
        <v>13.868142808571431</v>
      </c>
    </row>
    <row r="183" spans="15:25">
      <c r="P183" s="449">
        <v>24</v>
      </c>
      <c r="Q183" s="450">
        <v>10.867999894285715</v>
      </c>
      <c r="R183" s="450">
        <v>8.8337143495714301</v>
      </c>
      <c r="S183" s="450">
        <v>78.434000150000003</v>
      </c>
      <c r="T183" s="450">
        <v>35.785857065714289</v>
      </c>
      <c r="U183" s="450">
        <v>9.2180000031428584</v>
      </c>
      <c r="V183" s="450">
        <v>11.096784181428571</v>
      </c>
      <c r="W183" s="450">
        <v>1.5</v>
      </c>
      <c r="X183" s="450">
        <v>42.473571777142858</v>
      </c>
      <c r="Y183" s="450">
        <v>12.512571334285715</v>
      </c>
    </row>
    <row r="184" spans="15:25">
      <c r="P184" s="449">
        <v>25</v>
      </c>
      <c r="Q184" s="450">
        <v>10.167285918857143</v>
      </c>
      <c r="R184" s="450">
        <v>7.6592858184285708</v>
      </c>
      <c r="S184" s="450">
        <v>77.872000559999989</v>
      </c>
      <c r="T184" s="450">
        <v>33.357000077142857</v>
      </c>
      <c r="U184" s="450">
        <v>8.9321429390000002</v>
      </c>
      <c r="V184" s="450">
        <v>10.461965969999998</v>
      </c>
      <c r="W184" s="450">
        <v>1.5</v>
      </c>
      <c r="X184" s="450">
        <v>43.729285104285715</v>
      </c>
      <c r="Y184" s="450">
        <v>11.450428658571429</v>
      </c>
    </row>
    <row r="185" spans="15:25">
      <c r="O185" s="448">
        <v>26</v>
      </c>
      <c r="P185" s="449">
        <v>26</v>
      </c>
      <c r="Q185" s="450">
        <v>9.3535717554285718</v>
      </c>
      <c r="R185" s="450">
        <v>6.2751428064285708</v>
      </c>
      <c r="S185" s="450">
        <v>76.447856358571428</v>
      </c>
      <c r="T185" s="450">
        <v>29.154571531428569</v>
      </c>
      <c r="U185" s="450">
        <v>8.3007144928571428</v>
      </c>
      <c r="V185" s="450">
        <v>11.259941372857144</v>
      </c>
      <c r="W185" s="450">
        <v>1.5</v>
      </c>
      <c r="X185" s="450">
        <v>44.616428919999997</v>
      </c>
      <c r="Y185" s="450">
        <v>9.6660000944285702</v>
      </c>
    </row>
    <row r="186" spans="15:25">
      <c r="P186" s="449">
        <v>27</v>
      </c>
      <c r="Q186" s="450">
        <v>8.86</v>
      </c>
      <c r="R186" s="450">
        <v>7.15</v>
      </c>
      <c r="S186" s="837">
        <v>77.430000000000007</v>
      </c>
      <c r="T186" s="450">
        <v>30.35</v>
      </c>
      <c r="U186" s="450">
        <v>8.59</v>
      </c>
      <c r="V186" s="450">
        <v>10.758154460361988</v>
      </c>
      <c r="W186" s="450">
        <v>1.59</v>
      </c>
      <c r="X186" s="450">
        <v>43.84</v>
      </c>
      <c r="Y186" s="450">
        <v>8.27</v>
      </c>
    </row>
    <row r="187" spans="15:25">
      <c r="P187" s="449">
        <v>28</v>
      </c>
      <c r="Q187" s="450">
        <v>8.9135712215714289</v>
      </c>
      <c r="R187" s="450">
        <v>5.7058570728571425</v>
      </c>
      <c r="S187" s="837">
        <v>76.24514443428572</v>
      </c>
      <c r="T187" s="450">
        <v>27.702285765714286</v>
      </c>
      <c r="U187" s="450">
        <v>7.8261427880000003</v>
      </c>
      <c r="V187" s="450">
        <v>11.139168601428571</v>
      </c>
      <c r="W187" s="450">
        <v>1.6000000240000001</v>
      </c>
      <c r="X187" s="450">
        <v>39.995714458571435</v>
      </c>
      <c r="Y187" s="450">
        <v>7.4899999752857136</v>
      </c>
    </row>
    <row r="188" spans="15:25">
      <c r="P188" s="449">
        <v>29</v>
      </c>
      <c r="Q188" s="450">
        <v>9.1244284766060932</v>
      </c>
      <c r="R188" s="450">
        <v>6.4564285959516052</v>
      </c>
      <c r="S188" s="837">
        <v>66.31271307809007</v>
      </c>
      <c r="T188" s="450">
        <v>29.940428597586454</v>
      </c>
      <c r="U188" s="450">
        <v>7.6488569804600273</v>
      </c>
      <c r="V188" s="450">
        <v>10.810358456202879</v>
      </c>
      <c r="W188" s="450">
        <v>1.6000000238418504</v>
      </c>
      <c r="X188" s="450">
        <v>42.704285757882197</v>
      </c>
      <c r="Y188" s="450">
        <v>6.46428571428571</v>
      </c>
    </row>
    <row r="189" spans="15:25">
      <c r="O189" s="448">
        <v>30</v>
      </c>
      <c r="P189" s="449">
        <v>30</v>
      </c>
      <c r="Q189" s="450">
        <v>8.5528571428571407</v>
      </c>
      <c r="R189" s="450">
        <v>4.6828571428571433</v>
      </c>
      <c r="S189" s="837">
        <v>72.048571428571435</v>
      </c>
      <c r="T189" s="450">
        <v>36.729999999999997</v>
      </c>
      <c r="U189" s="450">
        <v>8.18</v>
      </c>
      <c r="V189" s="450">
        <v>12.61</v>
      </c>
      <c r="W189" s="450">
        <v>1.6285714285714283</v>
      </c>
      <c r="X189" s="450">
        <v>44.611428571428576</v>
      </c>
      <c r="Y189" s="450">
        <v>8.2285714285714295</v>
      </c>
    </row>
    <row r="190" spans="15:25">
      <c r="P190" s="449">
        <v>31</v>
      </c>
      <c r="Q190" s="450">
        <v>8.6655714172857152</v>
      </c>
      <c r="R190" s="450">
        <v>6.0697142064285714</v>
      </c>
      <c r="S190" s="837">
        <v>71.543143134285714</v>
      </c>
      <c r="T190" s="450">
        <v>31.720428468571431</v>
      </c>
      <c r="U190" s="450">
        <v>7.0618571554285712</v>
      </c>
      <c r="V190" s="450">
        <v>12.322975702857141</v>
      </c>
      <c r="W190" s="450">
        <v>1.7000000479999999</v>
      </c>
      <c r="X190" s="450">
        <v>43.444999694285706</v>
      </c>
      <c r="Y190" s="450">
        <v>6.7562857354285706</v>
      </c>
    </row>
    <row r="191" spans="15:25">
      <c r="P191" s="449">
        <v>32</v>
      </c>
      <c r="Q191" s="450">
        <v>8.8231430052857132</v>
      </c>
      <c r="R191" s="450">
        <v>7.5088570807142858</v>
      </c>
      <c r="S191" s="450">
        <v>73.754999434285722</v>
      </c>
      <c r="T191" s="450">
        <v>23.255857194285714</v>
      </c>
      <c r="U191" s="450">
        <v>6.2595714159999991</v>
      </c>
      <c r="V191" s="450">
        <v>12.551451548571427</v>
      </c>
      <c r="W191" s="450">
        <v>1.7214285988571427</v>
      </c>
      <c r="X191" s="450">
        <v>38.432857512857147</v>
      </c>
      <c r="Y191" s="450">
        <v>6.4201429230000002</v>
      </c>
    </row>
    <row r="192" spans="15:25">
      <c r="P192" s="449">
        <v>33</v>
      </c>
      <c r="Q192" s="450">
        <v>7.5077142715714285</v>
      </c>
      <c r="R192" s="450">
        <v>3.2121428764285715</v>
      </c>
      <c r="S192" s="450">
        <v>68.878572191428574</v>
      </c>
      <c r="T192" s="450">
        <v>21.297428674285715</v>
      </c>
      <c r="U192" s="450">
        <v>6.3691428730000004</v>
      </c>
      <c r="V192" s="450">
        <v>12.137084417142857</v>
      </c>
      <c r="W192" s="450">
        <v>1.7482857022857143</v>
      </c>
      <c r="X192" s="450">
        <v>36.690713608571421</v>
      </c>
      <c r="Y192" s="450">
        <v>4.7154285567142855</v>
      </c>
    </row>
    <row r="193" spans="15:25">
      <c r="P193" s="449">
        <v>34</v>
      </c>
      <c r="Q193" s="450">
        <v>7.6147142817142859</v>
      </c>
      <c r="R193" s="450">
        <v>3.3949999810000002</v>
      </c>
      <c r="S193" s="450">
        <v>65.663999831428569</v>
      </c>
      <c r="T193" s="450">
        <v>20.922428674285715</v>
      </c>
      <c r="U193" s="450">
        <v>6.115428584</v>
      </c>
      <c r="V193" s="450">
        <v>12.034524235714285</v>
      </c>
      <c r="W193" s="450">
        <v>1.7482857022857143</v>
      </c>
      <c r="X193" s="450">
        <v>34.872856138571429</v>
      </c>
      <c r="Y193" s="450">
        <v>5.7421428814285713</v>
      </c>
    </row>
    <row r="194" spans="15:25">
      <c r="P194" s="449">
        <v>35</v>
      </c>
      <c r="Q194" s="450">
        <v>8.7815715245714294</v>
      </c>
      <c r="R194" s="450">
        <v>7.1025714534285722</v>
      </c>
      <c r="S194" s="450">
        <v>65.224427905714279</v>
      </c>
      <c r="T194" s="450">
        <v>19.458285740000001</v>
      </c>
      <c r="U194" s="450">
        <v>6.3137143680000003</v>
      </c>
      <c r="V194" s="450">
        <v>12.041607177142856</v>
      </c>
      <c r="W194" s="450">
        <v>1.75</v>
      </c>
      <c r="X194" s="450">
        <v>34.16142872428572</v>
      </c>
      <c r="Y194" s="450">
        <v>6.5945714541428577</v>
      </c>
    </row>
    <row r="195" spans="15:25">
      <c r="O195" s="448">
        <v>36</v>
      </c>
      <c r="P195" s="449">
        <v>36</v>
      </c>
      <c r="Q195" s="450">
        <v>8.2851428302857144</v>
      </c>
      <c r="R195" s="450">
        <v>6.7619999824285708</v>
      </c>
      <c r="S195" s="450">
        <v>60.719142914285719</v>
      </c>
      <c r="T195" s="450">
        <v>25.369000025714286</v>
      </c>
      <c r="U195" s="450">
        <v>5.8737142427142857</v>
      </c>
      <c r="V195" s="450">
        <v>12.055594308571429</v>
      </c>
      <c r="W195" s="450">
        <v>1.6425714154285713</v>
      </c>
      <c r="X195" s="450">
        <v>35.968571799999999</v>
      </c>
      <c r="Y195" s="450">
        <v>4.9847143037142851</v>
      </c>
    </row>
    <row r="196" spans="15:25">
      <c r="P196" s="449">
        <v>37</v>
      </c>
      <c r="Q196" s="450">
        <v>7.6475714954285712</v>
      </c>
      <c r="R196" s="450">
        <v>6.5272856442857137</v>
      </c>
      <c r="S196" s="450">
        <v>62.679428645714289</v>
      </c>
      <c r="T196" s="450">
        <v>28.136857168571428</v>
      </c>
      <c r="U196" s="450">
        <v>6.1154285838571436</v>
      </c>
      <c r="V196" s="450">
        <v>12.130952835714286</v>
      </c>
      <c r="W196" s="450">
        <v>1.6457142658571429</v>
      </c>
      <c r="X196" s="450">
        <v>34.324999674285714</v>
      </c>
      <c r="Y196" s="450">
        <v>5.502714293285714</v>
      </c>
    </row>
    <row r="197" spans="15:25">
      <c r="P197" s="449">
        <v>38</v>
      </c>
      <c r="Q197" s="450">
        <v>7.6971428571428575</v>
      </c>
      <c r="R197" s="450">
        <v>5.444285714285714</v>
      </c>
      <c r="S197" s="450">
        <v>65.47</v>
      </c>
      <c r="T197" s="450">
        <v>29.351428571428567</v>
      </c>
      <c r="U197" s="450">
        <v>6.8328571428571419</v>
      </c>
      <c r="V197" s="450">
        <v>12.194285714285716</v>
      </c>
      <c r="W197" s="450">
        <v>1.6014285714285712</v>
      </c>
      <c r="X197" s="450">
        <v>33.131428571428572</v>
      </c>
      <c r="Y197" s="450">
        <v>6.8414285714285716</v>
      </c>
    </row>
    <row r="198" spans="15:25">
      <c r="P198" s="449">
        <v>39</v>
      </c>
      <c r="Q198" s="450">
        <v>7.6702859061104887</v>
      </c>
      <c r="R198" s="450">
        <v>5.896142857415323</v>
      </c>
      <c r="S198" s="450">
        <v>72.930715288434641</v>
      </c>
      <c r="T198" s="450">
        <v>26.470285688127774</v>
      </c>
      <c r="U198" s="450">
        <v>9.2337144442966927</v>
      </c>
      <c r="V198" s="450">
        <v>12.167024339948341</v>
      </c>
      <c r="W198" s="450">
        <v>1.4285714115415273</v>
      </c>
      <c r="X198" s="450">
        <v>32.532142911638481</v>
      </c>
      <c r="Y198" s="450">
        <v>5.5879999569484111</v>
      </c>
    </row>
    <row r="199" spans="15:25">
      <c r="O199" s="448">
        <v>40</v>
      </c>
      <c r="P199" s="449">
        <v>40</v>
      </c>
      <c r="Q199" s="450">
        <v>6.5494285314285721</v>
      </c>
      <c r="R199" s="450">
        <v>3.8238571030000004</v>
      </c>
      <c r="S199" s="450">
        <v>70.661287578571418</v>
      </c>
      <c r="T199" s="450">
        <v>28.190571377142856</v>
      </c>
      <c r="U199" s="450">
        <v>9.6928569934285722</v>
      </c>
      <c r="V199" s="450">
        <v>12.594642775714282</v>
      </c>
      <c r="W199" s="450">
        <v>1.3999999759999999</v>
      </c>
      <c r="X199" s="450">
        <v>36.384999957142853</v>
      </c>
      <c r="Y199" s="450">
        <v>8.0550000327142861</v>
      </c>
    </row>
    <row r="200" spans="15:25">
      <c r="P200" s="449">
        <v>41</v>
      </c>
      <c r="Q200" s="450"/>
      <c r="R200" s="450"/>
      <c r="S200" s="450"/>
      <c r="T200" s="450"/>
      <c r="U200" s="450"/>
      <c r="V200" s="450"/>
      <c r="W200" s="450"/>
      <c r="X200" s="450"/>
      <c r="Y200" s="450"/>
    </row>
    <row r="201" spans="15:25">
      <c r="P201" s="449">
        <v>42</v>
      </c>
      <c r="Q201" s="450"/>
      <c r="R201" s="450"/>
      <c r="S201" s="450"/>
      <c r="T201" s="450"/>
      <c r="U201" s="450"/>
      <c r="V201" s="450"/>
      <c r="W201" s="450"/>
      <c r="X201" s="450"/>
      <c r="Y201" s="450"/>
    </row>
    <row r="202" spans="15:25">
      <c r="P202" s="449">
        <v>43</v>
      </c>
      <c r="Q202" s="450"/>
      <c r="R202" s="450"/>
      <c r="S202" s="450"/>
      <c r="T202" s="450"/>
      <c r="U202" s="450"/>
      <c r="V202" s="450"/>
      <c r="W202" s="450"/>
      <c r="X202" s="450"/>
      <c r="Y202" s="450"/>
    </row>
    <row r="203" spans="15:25">
      <c r="O203" s="448">
        <v>44</v>
      </c>
      <c r="P203" s="449">
        <v>44</v>
      </c>
      <c r="Q203" s="450"/>
      <c r="R203" s="450"/>
      <c r="S203" s="450"/>
      <c r="T203" s="450"/>
      <c r="U203" s="450"/>
      <c r="V203" s="450"/>
      <c r="W203" s="450"/>
      <c r="X203" s="450"/>
      <c r="Y203" s="450"/>
    </row>
    <row r="204" spans="15:25">
      <c r="P204" s="449">
        <v>45</v>
      </c>
      <c r="Q204" s="450"/>
      <c r="R204" s="450"/>
      <c r="S204" s="450"/>
      <c r="T204" s="450"/>
      <c r="U204" s="450"/>
      <c r="V204" s="450"/>
      <c r="W204" s="450"/>
      <c r="X204" s="450"/>
      <c r="Y204" s="450"/>
    </row>
    <row r="205" spans="15:25">
      <c r="P205" s="449">
        <v>46</v>
      </c>
      <c r="Q205" s="450"/>
      <c r="R205" s="450"/>
      <c r="S205" s="450"/>
      <c r="T205" s="450"/>
      <c r="U205" s="450"/>
      <c r="V205" s="450"/>
      <c r="W205" s="450"/>
      <c r="X205" s="450"/>
      <c r="Y205" s="450"/>
    </row>
    <row r="206" spans="15:25">
      <c r="P206" s="449">
        <v>47</v>
      </c>
      <c r="Q206" s="450"/>
      <c r="R206" s="450"/>
      <c r="S206" s="450"/>
      <c r="T206" s="450"/>
      <c r="U206" s="450"/>
      <c r="V206" s="450"/>
      <c r="W206" s="450"/>
      <c r="X206" s="450"/>
      <c r="Y206" s="450"/>
    </row>
    <row r="207" spans="15:25">
      <c r="O207" s="448">
        <v>48</v>
      </c>
      <c r="P207" s="449">
        <v>48</v>
      </c>
      <c r="Q207" s="450"/>
      <c r="R207" s="450"/>
      <c r="S207" s="450"/>
      <c r="T207" s="450"/>
      <c r="U207" s="450"/>
      <c r="V207" s="450"/>
      <c r="W207" s="450"/>
      <c r="X207" s="450"/>
      <c r="Y207" s="450"/>
    </row>
    <row r="208" spans="15:25">
      <c r="P208" s="449">
        <v>49</v>
      </c>
      <c r="Q208" s="450"/>
      <c r="R208" s="450"/>
      <c r="S208" s="450"/>
      <c r="T208" s="450"/>
      <c r="U208" s="450"/>
      <c r="V208" s="450"/>
      <c r="W208" s="450"/>
      <c r="X208" s="450"/>
      <c r="Y208" s="450"/>
    </row>
    <row r="209" spans="15:25">
      <c r="P209" s="449">
        <v>50</v>
      </c>
      <c r="Q209" s="450"/>
      <c r="R209" s="450"/>
      <c r="S209" s="450"/>
      <c r="T209" s="450"/>
      <c r="U209" s="450"/>
      <c r="V209" s="450"/>
      <c r="W209" s="450"/>
      <c r="X209" s="450"/>
      <c r="Y209" s="450"/>
    </row>
    <row r="210" spans="15:25">
      <c r="P210" s="449">
        <v>51</v>
      </c>
      <c r="Q210" s="450"/>
      <c r="R210" s="450"/>
      <c r="S210" s="450"/>
      <c r="T210" s="450"/>
      <c r="U210" s="450"/>
      <c r="V210" s="450"/>
      <c r="W210" s="450"/>
      <c r="X210" s="450"/>
      <c r="Y210" s="450"/>
    </row>
    <row r="211" spans="15:25">
      <c r="O211" s="448">
        <v>52</v>
      </c>
      <c r="P211" s="449">
        <v>52</v>
      </c>
      <c r="Q211" s="450"/>
      <c r="R211" s="450"/>
      <c r="S211" s="450"/>
      <c r="T211" s="450"/>
      <c r="U211" s="450"/>
      <c r="V211" s="450"/>
      <c r="W211" s="450"/>
      <c r="X211" s="450"/>
      <c r="Y211" s="450"/>
    </row>
    <row r="212" spans="15:25" hidden="1">
      <c r="P212" s="449"/>
    </row>
    <row r="213" spans="15:25" hidden="1">
      <c r="P213" s="449"/>
    </row>
    <row r="214" spans="15:25" hidden="1">
      <c r="P214" s="449"/>
    </row>
    <row r="215" spans="15:25" hidden="1"/>
    <row r="216" spans="15:25" hidden="1"/>
    <row r="217" spans="15:25" hidden="1"/>
    <row r="218" spans="15:25" hidden="1"/>
    <row r="219" spans="15:25" hidden="1"/>
    <row r="220" spans="15:25">
      <c r="Q220" s="478" t="s">
        <v>277</v>
      </c>
      <c r="R220" s="478" t="s">
        <v>278</v>
      </c>
      <c r="S220" s="478" t="s">
        <v>279</v>
      </c>
      <c r="T220" s="478" t="s">
        <v>280</v>
      </c>
      <c r="U220" s="478" t="s">
        <v>281</v>
      </c>
      <c r="V220" s="478" t="s">
        <v>282</v>
      </c>
      <c r="W220" s="478" t="s">
        <v>283</v>
      </c>
      <c r="X220" s="478" t="s">
        <v>284</v>
      </c>
      <c r="Y220" s="478" t="s">
        <v>285</v>
      </c>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T59"/>
  <sheetViews>
    <sheetView showGridLines="0" view="pageBreakPreview" zoomScale="115" zoomScaleNormal="100" zoomScaleSheetLayoutView="115" zoomScalePageLayoutView="160" workbookViewId="0">
      <selection activeCell="P22" sqref="P22"/>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92" customWidth="1"/>
    <col min="12" max="12" width="9.33203125" style="692"/>
    <col min="13" max="13" width="20.5" style="738" customWidth="1"/>
    <col min="14" max="15" width="9.33203125" style="307"/>
    <col min="16" max="20" width="9.33203125" style="692"/>
  </cols>
  <sheetData>
    <row r="1" spans="1:15" ht="11.25" customHeight="1"/>
    <row r="2" spans="1:15" ht="11.25" customHeight="1">
      <c r="A2" s="926" t="s">
        <v>445</v>
      </c>
      <c r="B2" s="926"/>
      <c r="C2" s="926"/>
      <c r="D2" s="926"/>
      <c r="E2" s="926"/>
      <c r="F2" s="926"/>
      <c r="G2" s="926"/>
      <c r="H2" s="926"/>
      <c r="I2" s="926"/>
      <c r="J2" s="926"/>
      <c r="K2" s="926"/>
    </row>
    <row r="3" spans="1:15" ht="11.25" customHeight="1">
      <c r="A3" s="18"/>
      <c r="B3" s="18"/>
      <c r="C3" s="18"/>
      <c r="D3" s="18"/>
      <c r="E3" s="18"/>
      <c r="F3" s="18"/>
      <c r="G3" s="18"/>
      <c r="H3" s="18"/>
      <c r="I3" s="18"/>
      <c r="J3" s="721"/>
      <c r="K3" s="721"/>
      <c r="L3" s="351"/>
    </row>
    <row r="4" spans="1:15" ht="11.25" customHeight="1">
      <c r="A4" s="910" t="s">
        <v>446</v>
      </c>
      <c r="B4" s="910"/>
      <c r="C4" s="910"/>
      <c r="D4" s="910"/>
      <c r="E4" s="910"/>
      <c r="F4" s="910"/>
      <c r="G4" s="910"/>
      <c r="H4" s="910"/>
      <c r="I4" s="183"/>
      <c r="J4" s="722"/>
      <c r="L4" s="351"/>
    </row>
    <row r="5" spans="1:15" ht="7.5" customHeight="1">
      <c r="A5" s="184"/>
      <c r="B5" s="184"/>
      <c r="C5" s="184"/>
      <c r="D5" s="184"/>
      <c r="E5" s="184"/>
      <c r="F5" s="184"/>
      <c r="G5" s="184"/>
      <c r="H5" s="184"/>
      <c r="I5" s="184"/>
      <c r="J5" s="723"/>
      <c r="L5" s="724"/>
    </row>
    <row r="6" spans="1:15" ht="11.25" customHeight="1">
      <c r="A6" s="184"/>
      <c r="B6" s="188" t="s">
        <v>447</v>
      </c>
      <c r="C6" s="184"/>
      <c r="D6" s="184"/>
      <c r="E6" s="184"/>
      <c r="F6" s="184"/>
      <c r="G6" s="184"/>
      <c r="H6" s="184"/>
      <c r="I6" s="184"/>
      <c r="J6" s="723"/>
      <c r="L6" s="725"/>
    </row>
    <row r="7" spans="1:15" ht="7.5" customHeight="1">
      <c r="A7" s="184"/>
      <c r="B7" s="185"/>
      <c r="C7" s="184"/>
      <c r="D7" s="184"/>
      <c r="E7" s="184"/>
      <c r="F7" s="184"/>
      <c r="G7" s="184"/>
      <c r="H7" s="184"/>
      <c r="I7" s="184"/>
      <c r="J7" s="723"/>
      <c r="L7" s="726"/>
    </row>
    <row r="8" spans="1:15" ht="21" customHeight="1">
      <c r="A8" s="184"/>
      <c r="B8" s="534" t="s">
        <v>167</v>
      </c>
      <c r="C8" s="535" t="s">
        <v>168</v>
      </c>
      <c r="D8" s="535" t="s">
        <v>169</v>
      </c>
      <c r="E8" s="535" t="s">
        <v>172</v>
      </c>
      <c r="F8" s="535" t="s">
        <v>171</v>
      </c>
      <c r="G8" s="536" t="s">
        <v>170</v>
      </c>
      <c r="H8" s="180"/>
      <c r="I8" s="180"/>
      <c r="J8" s="727"/>
      <c r="L8" s="728"/>
      <c r="M8" s="739" t="s">
        <v>168</v>
      </c>
      <c r="N8" s="740" t="str">
        <f>M8&amp;"
 ("&amp;ROUND(HLOOKUP(M8,$C$8:$G$9,2,0),2)&amp;"   USD/MWh)"</f>
        <v>PIURA OESTE 220
 (10,69   USD/MWh)</v>
      </c>
    </row>
    <row r="9" spans="1:15" ht="18" customHeight="1">
      <c r="A9" s="184"/>
      <c r="B9" s="537" t="s">
        <v>173</v>
      </c>
      <c r="C9" s="276">
        <v>10.694123521253889</v>
      </c>
      <c r="D9" s="276">
        <v>10.642648763540159</v>
      </c>
      <c r="E9" s="276">
        <v>10.556433428524516</v>
      </c>
      <c r="F9" s="276">
        <v>10.408521755087808</v>
      </c>
      <c r="G9" s="276">
        <v>10.336415999097323</v>
      </c>
      <c r="H9" s="180"/>
      <c r="I9" s="180"/>
      <c r="J9" s="727"/>
      <c r="K9" s="727"/>
      <c r="L9" s="728"/>
      <c r="M9" s="739" t="s">
        <v>169</v>
      </c>
      <c r="N9" s="740" t="str">
        <f>M9&amp;"
("&amp;ROUND(HLOOKUP(M9,$C$8:$G$9,2,0),2)&amp;" USD/MWh)"</f>
        <v>CHICLAYO 220
(10,64 USD/MWh)</v>
      </c>
    </row>
    <row r="10" spans="1:15" ht="14.25" customHeight="1">
      <c r="A10" s="184"/>
      <c r="B10" s="950" t="str">
        <f>"Cuadro N°11: Valor de los costos marginales medios registrados en las principales barras del área norte durante el mes de "&amp;'1. Resumen'!Q4</f>
        <v>Cuadro N°11: Valor de los costos marginales medios registrados en las principales barras del área norte durante el mes de setiembre</v>
      </c>
      <c r="C10" s="950"/>
      <c r="D10" s="950"/>
      <c r="E10" s="950"/>
      <c r="F10" s="950"/>
      <c r="G10" s="950"/>
      <c r="H10" s="950"/>
      <c r="I10" s="950"/>
      <c r="J10" s="727"/>
      <c r="K10" s="727"/>
      <c r="L10" s="728"/>
      <c r="M10" s="739" t="s">
        <v>171</v>
      </c>
      <c r="N10" s="740" t="str">
        <f>M10&amp;"
("&amp;ROUND(HLOOKUP(M10,$C$8:$G$9,2,0),2)&amp;" USD/MWh)"</f>
        <v>TRUJILLO 220
(10,41 USD/MWh)</v>
      </c>
    </row>
    <row r="11" spans="1:15" ht="11.25" customHeight="1">
      <c r="A11" s="184"/>
      <c r="B11" s="191"/>
      <c r="C11" s="180"/>
      <c r="D11" s="180"/>
      <c r="E11" s="180"/>
      <c r="F11" s="180"/>
      <c r="G11" s="180"/>
      <c r="H11" s="180"/>
      <c r="I11" s="180"/>
      <c r="J11" s="727"/>
      <c r="K11" s="727"/>
      <c r="L11" s="728"/>
      <c r="M11" s="739" t="s">
        <v>170</v>
      </c>
      <c r="N11" s="740" t="str">
        <f>M11&amp;"
("&amp;ROUND(HLOOKUP(M11,$C$8:$G$9,2,0),2)&amp;" USD/MWh)"</f>
        <v>CHIMBOTE1 138
(10,34 USD/MWh)</v>
      </c>
    </row>
    <row r="12" spans="1:15" ht="11.25" customHeight="1">
      <c r="A12" s="184"/>
      <c r="B12" s="180"/>
      <c r="C12" s="180"/>
      <c r="D12" s="180"/>
      <c r="E12" s="180"/>
      <c r="F12" s="180"/>
      <c r="G12" s="180"/>
      <c r="H12" s="180"/>
      <c r="I12" s="180"/>
      <c r="J12" s="727"/>
      <c r="K12" s="727"/>
      <c r="L12" s="729"/>
      <c r="M12" s="739" t="s">
        <v>172</v>
      </c>
      <c r="N12" s="740" t="str">
        <f>M12&amp;"
("&amp;ROUND(HLOOKUP(M12,$C$8:$G$9,2,0),2)&amp;" USD/MWh)"</f>
        <v>CAJAMARCA 220
(10,56 USD/MWh)</v>
      </c>
    </row>
    <row r="13" spans="1:15" ht="11.25" customHeight="1">
      <c r="A13" s="184"/>
      <c r="B13" s="180"/>
      <c r="C13" s="180"/>
      <c r="D13" s="180"/>
      <c r="E13" s="180"/>
      <c r="F13" s="180"/>
      <c r="G13" s="180"/>
      <c r="H13" s="180"/>
      <c r="I13" s="180"/>
      <c r="J13" s="727"/>
      <c r="K13" s="727"/>
      <c r="L13" s="728"/>
      <c r="M13" s="739"/>
      <c r="N13" s="740"/>
      <c r="O13" s="739"/>
    </row>
    <row r="14" spans="1:15" ht="11.25" customHeight="1">
      <c r="A14" s="184"/>
      <c r="B14" s="180"/>
      <c r="C14" s="180"/>
      <c r="D14" s="180"/>
      <c r="E14" s="180"/>
      <c r="F14" s="180"/>
      <c r="G14" s="180"/>
      <c r="H14" s="180"/>
      <c r="I14" s="180"/>
      <c r="J14" s="727"/>
      <c r="K14" s="727"/>
      <c r="L14" s="728"/>
      <c r="M14" s="739" t="s">
        <v>565</v>
      </c>
      <c r="N14" s="740" t="str">
        <f>M14&amp;"
("&amp;ROUND(HLOOKUP(M14,$C$26:$I$27,2,0),2)&amp;" USD/MWh)"</f>
        <v>CHAVARRIA 220
(9,94 USD/MWh)</v>
      </c>
    </row>
    <row r="15" spans="1:15" ht="11.25" customHeight="1">
      <c r="A15" s="184"/>
      <c r="B15" s="180"/>
      <c r="C15" s="180"/>
      <c r="D15" s="180"/>
      <c r="E15" s="180"/>
      <c r="F15" s="180"/>
      <c r="G15" s="180"/>
      <c r="H15" s="180"/>
      <c r="I15" s="180"/>
      <c r="J15" s="727"/>
      <c r="K15" s="727"/>
      <c r="L15" s="728"/>
      <c r="M15" s="739" t="s">
        <v>176</v>
      </c>
      <c r="N15" s="740" t="str">
        <f t="shared" ref="N15:N20" si="0">M15&amp;"
("&amp;ROUND(HLOOKUP(M15,$C$26:$I$27,2,0),2)&amp;" USD/MWh)"</f>
        <v>INDEPENDENCIA 220
(10,03 USD/MWh)</v>
      </c>
    </row>
    <row r="16" spans="1:15" ht="11.25" customHeight="1">
      <c r="A16" s="184"/>
      <c r="B16" s="180"/>
      <c r="C16" s="180"/>
      <c r="D16" s="180"/>
      <c r="E16" s="180"/>
      <c r="F16" s="180"/>
      <c r="G16" s="180"/>
      <c r="H16" s="180"/>
      <c r="I16" s="180"/>
      <c r="J16" s="727"/>
      <c r="K16" s="727"/>
      <c r="L16" s="728"/>
      <c r="M16" s="739" t="s">
        <v>177</v>
      </c>
      <c r="N16" s="740" t="str">
        <f t="shared" si="0"/>
        <v>CARABAYLLO 220
(9,93 USD/MWh)</v>
      </c>
    </row>
    <row r="17" spans="1:14" ht="11.25" customHeight="1">
      <c r="A17" s="184"/>
      <c r="B17" s="180"/>
      <c r="C17" s="180"/>
      <c r="D17" s="180"/>
      <c r="E17" s="180"/>
      <c r="F17" s="180"/>
      <c r="G17" s="180"/>
      <c r="H17" s="180"/>
      <c r="I17" s="180"/>
      <c r="J17" s="727"/>
      <c r="K17" s="727"/>
      <c r="L17" s="728"/>
      <c r="M17" s="739" t="s">
        <v>174</v>
      </c>
      <c r="N17" s="740" t="str">
        <f t="shared" si="0"/>
        <v>SANTA ROSA 220
(9,93 USD/MWh)</v>
      </c>
    </row>
    <row r="18" spans="1:14" ht="11.25" customHeight="1">
      <c r="A18" s="184"/>
      <c r="B18" s="180"/>
      <c r="C18" s="180"/>
      <c r="D18" s="180"/>
      <c r="E18" s="180"/>
      <c r="F18" s="180"/>
      <c r="G18" s="180"/>
      <c r="H18" s="180"/>
      <c r="I18" s="180"/>
      <c r="J18" s="727"/>
      <c r="K18" s="727"/>
      <c r="L18" s="728"/>
      <c r="M18" s="739" t="s">
        <v>175</v>
      </c>
      <c r="N18" s="740" t="str">
        <f t="shared" si="0"/>
        <v>SAN JUAN 220
(9,84 USD/MWh)</v>
      </c>
    </row>
    <row r="19" spans="1:14" ht="11.25" customHeight="1">
      <c r="A19" s="184"/>
      <c r="B19" s="180"/>
      <c r="C19" s="180"/>
      <c r="D19" s="180"/>
      <c r="E19" s="180"/>
      <c r="F19" s="180"/>
      <c r="G19" s="180"/>
      <c r="H19" s="180"/>
      <c r="I19" s="180"/>
      <c r="J19" s="727"/>
      <c r="K19" s="727"/>
      <c r="L19" s="730"/>
      <c r="M19" s="739" t="s">
        <v>178</v>
      </c>
      <c r="N19" s="740" t="str">
        <f t="shared" si="0"/>
        <v>POMACOCHA 220
(9,84 USD/MWh)</v>
      </c>
    </row>
    <row r="20" spans="1:14" ht="11.25" customHeight="1">
      <c r="A20" s="184"/>
      <c r="B20" s="190"/>
      <c r="C20" s="190"/>
      <c r="D20" s="190"/>
      <c r="E20" s="190"/>
      <c r="F20" s="190"/>
      <c r="G20" s="180"/>
      <c r="H20" s="180"/>
      <c r="I20" s="180"/>
      <c r="J20" s="727"/>
      <c r="K20" s="727"/>
      <c r="L20" s="728"/>
      <c r="M20" s="739" t="s">
        <v>179</v>
      </c>
      <c r="N20" s="740" t="str">
        <f t="shared" si="0"/>
        <v>OROYA NUEVA 50
(9,85 USD/MWh)</v>
      </c>
    </row>
    <row r="21" spans="1:14" ht="11.25" customHeight="1">
      <c r="A21" s="184"/>
      <c r="B21" s="951" t="str">
        <f>"Gráfico N°20: Costos marginales medios registrados en las principales barras del área norte durante el mes de "&amp;'1. Resumen'!Q4</f>
        <v>Gráfico N°20: Costos marginales medios registrados en las principales barras del área norte durante el mes de setiembre</v>
      </c>
      <c r="C21" s="951"/>
      <c r="D21" s="951"/>
      <c r="E21" s="951"/>
      <c r="F21" s="951"/>
      <c r="G21" s="951"/>
      <c r="H21" s="951"/>
      <c r="I21" s="951"/>
      <c r="J21" s="727"/>
      <c r="K21" s="727"/>
      <c r="L21" s="728"/>
      <c r="M21" s="739"/>
      <c r="N21" s="740"/>
    </row>
    <row r="22" spans="1:14" ht="7.5" customHeight="1">
      <c r="A22" s="184"/>
      <c r="B22" s="186"/>
      <c r="C22" s="186"/>
      <c r="D22" s="186"/>
      <c r="E22" s="186"/>
      <c r="F22" s="186"/>
      <c r="G22" s="184"/>
      <c r="H22" s="184"/>
      <c r="I22" s="184"/>
      <c r="J22" s="723"/>
      <c r="K22" s="723"/>
      <c r="L22" s="725"/>
      <c r="M22" s="739"/>
      <c r="N22" s="740"/>
    </row>
    <row r="23" spans="1:14" ht="11.25" customHeight="1">
      <c r="A23" s="184"/>
      <c r="B23" s="186"/>
      <c r="C23" s="186"/>
      <c r="D23" s="186"/>
      <c r="E23" s="186"/>
      <c r="F23" s="186"/>
      <c r="G23" s="184"/>
      <c r="H23" s="184"/>
      <c r="I23" s="184"/>
      <c r="J23" s="723"/>
      <c r="K23" s="723"/>
      <c r="L23" s="731"/>
      <c r="M23" s="739" t="s">
        <v>180</v>
      </c>
      <c r="N23" s="740" t="str">
        <f t="shared" ref="N23:N29" si="1">M23&amp;"
("&amp;ROUND(HLOOKUP(M23,$C$45:$I$46,2,0),2)&amp;" USD/MWh)"</f>
        <v>TINTAYA NUEVA 220
(11,02 USD/MWh)</v>
      </c>
    </row>
    <row r="24" spans="1:14" ht="11.25" customHeight="1">
      <c r="A24" s="184"/>
      <c r="B24" s="189" t="s">
        <v>448</v>
      </c>
      <c r="C24" s="186"/>
      <c r="D24" s="186"/>
      <c r="E24" s="186"/>
      <c r="F24" s="186"/>
      <c r="G24" s="184"/>
      <c r="H24" s="184"/>
      <c r="I24" s="184"/>
      <c r="J24" s="723"/>
      <c r="K24" s="723"/>
      <c r="L24" s="725"/>
      <c r="M24" s="739" t="s">
        <v>181</v>
      </c>
      <c r="N24" s="740" t="str">
        <f t="shared" si="1"/>
        <v>PUNO 138
(10,78 USD/MWh)</v>
      </c>
    </row>
    <row r="25" spans="1:14" ht="6.75" customHeight="1">
      <c r="A25" s="184"/>
      <c r="B25" s="186"/>
      <c r="C25" s="186"/>
      <c r="D25" s="186"/>
      <c r="E25" s="186"/>
      <c r="F25" s="186"/>
      <c r="G25" s="184"/>
      <c r="H25" s="184"/>
      <c r="I25" s="184"/>
      <c r="J25" s="723"/>
      <c r="K25" s="723"/>
      <c r="L25" s="725"/>
      <c r="M25" s="739" t="s">
        <v>182</v>
      </c>
      <c r="N25" s="740" t="str">
        <f t="shared" si="1"/>
        <v>SOCABAYA 220
(10,62 USD/MWh)</v>
      </c>
    </row>
    <row r="26" spans="1:14" ht="25.5" customHeight="1">
      <c r="A26" s="184"/>
      <c r="B26" s="538" t="s">
        <v>167</v>
      </c>
      <c r="C26" s="535" t="s">
        <v>176</v>
      </c>
      <c r="D26" s="535" t="s">
        <v>565</v>
      </c>
      <c r="E26" s="535" t="s">
        <v>177</v>
      </c>
      <c r="F26" s="535" t="s">
        <v>174</v>
      </c>
      <c r="G26" s="535" t="s">
        <v>179</v>
      </c>
      <c r="H26" s="535" t="s">
        <v>175</v>
      </c>
      <c r="I26" s="536" t="s">
        <v>178</v>
      </c>
      <c r="J26" s="732"/>
      <c r="K26" s="727"/>
      <c r="L26" s="728"/>
      <c r="M26" s="739" t="s">
        <v>183</v>
      </c>
      <c r="N26" s="740" t="str">
        <f t="shared" si="1"/>
        <v>MOQUEGUA 138
(10,59 USD/MWh)</v>
      </c>
    </row>
    <row r="27" spans="1:14" ht="18" customHeight="1">
      <c r="A27" s="184"/>
      <c r="B27" s="539" t="s">
        <v>173</v>
      </c>
      <c r="C27" s="276">
        <v>10.031297754390316</v>
      </c>
      <c r="D27" s="276">
        <v>9.9370287598473901</v>
      </c>
      <c r="E27" s="276">
        <v>9.9330300701624594</v>
      </c>
      <c r="F27" s="276">
        <v>9.9264731214097832</v>
      </c>
      <c r="G27" s="276">
        <v>9.8522280303217169</v>
      </c>
      <c r="H27" s="276">
        <v>9.8442057703512358</v>
      </c>
      <c r="I27" s="276">
        <v>9.8429797831528116</v>
      </c>
      <c r="J27" s="733"/>
      <c r="K27" s="727"/>
      <c r="L27" s="728"/>
      <c r="M27" s="739" t="s">
        <v>184</v>
      </c>
      <c r="N27" s="740" t="str">
        <f t="shared" si="1"/>
        <v>DOLORESPATA 138
(10,58 USD/MWh)</v>
      </c>
    </row>
    <row r="28" spans="1:14" ht="19.5" customHeight="1">
      <c r="A28" s="184"/>
      <c r="B28" s="952" t="str">
        <f>"Cuadro N°12: Valor de los costos marginales medios registrados en las principales barras del área centro durante el mes de "&amp;'1. Resumen'!Q4</f>
        <v>Cuadro N°12: Valor de los costos marginales medios registrados en las principales barras del área centro durante el mes de setiembre</v>
      </c>
      <c r="C28" s="952"/>
      <c r="D28" s="952"/>
      <c r="E28" s="952"/>
      <c r="F28" s="952"/>
      <c r="G28" s="952"/>
      <c r="H28" s="952"/>
      <c r="I28" s="952"/>
      <c r="J28" s="727"/>
      <c r="K28" s="727"/>
      <c r="L28" s="728"/>
      <c r="M28" s="739" t="s">
        <v>185</v>
      </c>
      <c r="N28" s="740" t="str">
        <f t="shared" si="1"/>
        <v>COTARUSE 220
(10,3 USD/MWh)</v>
      </c>
    </row>
    <row r="29" spans="1:14" ht="11.25" customHeight="1">
      <c r="A29" s="184"/>
      <c r="B29" s="190"/>
      <c r="C29" s="190"/>
      <c r="D29" s="190"/>
      <c r="E29" s="190"/>
      <c r="F29" s="190"/>
      <c r="G29" s="190"/>
      <c r="H29" s="190"/>
      <c r="I29" s="190"/>
      <c r="J29" s="734"/>
      <c r="K29" s="734"/>
      <c r="L29" s="728"/>
      <c r="M29" s="739" t="s">
        <v>186</v>
      </c>
      <c r="N29" s="740" t="str">
        <f t="shared" si="1"/>
        <v>SAN GABAN 138
(10,45 USD/MWh)</v>
      </c>
    </row>
    <row r="30" spans="1:14" ht="11.25" customHeight="1">
      <c r="A30" s="184"/>
      <c r="B30" s="190"/>
      <c r="C30" s="190"/>
      <c r="D30" s="190"/>
      <c r="E30" s="190"/>
      <c r="F30" s="190"/>
      <c r="G30" s="190"/>
      <c r="H30" s="190"/>
      <c r="I30" s="190"/>
      <c r="J30" s="734"/>
      <c r="K30" s="734"/>
      <c r="L30" s="728"/>
      <c r="M30" s="739"/>
      <c r="N30" s="691"/>
    </row>
    <row r="31" spans="1:14" ht="11.25" customHeight="1">
      <c r="A31" s="184"/>
      <c r="B31" s="190"/>
      <c r="C31" s="190"/>
      <c r="D31" s="190"/>
      <c r="E31" s="190"/>
      <c r="F31" s="190"/>
      <c r="G31" s="190"/>
      <c r="H31" s="190"/>
      <c r="I31" s="190"/>
      <c r="J31" s="734"/>
      <c r="K31" s="734"/>
      <c r="L31" s="728"/>
      <c r="M31" s="739"/>
      <c r="N31" s="691"/>
    </row>
    <row r="32" spans="1:14" ht="11.25" customHeight="1">
      <c r="A32" s="184"/>
      <c r="B32" s="190"/>
      <c r="C32" s="190"/>
      <c r="D32" s="190"/>
      <c r="E32" s="190"/>
      <c r="F32" s="190"/>
      <c r="G32" s="190"/>
      <c r="H32" s="190"/>
      <c r="I32" s="190"/>
      <c r="J32" s="734"/>
      <c r="K32" s="734"/>
      <c r="L32" s="728"/>
      <c r="M32" s="739"/>
    </row>
    <row r="33" spans="1:12" ht="11.25" customHeight="1">
      <c r="A33" s="184"/>
      <c r="B33" s="190"/>
      <c r="C33" s="190"/>
      <c r="D33" s="190"/>
      <c r="E33" s="190"/>
      <c r="F33" s="190"/>
      <c r="G33" s="190"/>
      <c r="H33" s="190"/>
      <c r="I33" s="190"/>
      <c r="J33" s="734"/>
      <c r="K33" s="734"/>
      <c r="L33" s="728"/>
    </row>
    <row r="34" spans="1:12" ht="11.25" customHeight="1">
      <c r="A34" s="184"/>
      <c r="B34" s="190"/>
      <c r="C34" s="190"/>
      <c r="D34" s="190"/>
      <c r="E34" s="190"/>
      <c r="F34" s="190"/>
      <c r="G34" s="190"/>
      <c r="H34" s="190"/>
      <c r="I34" s="190"/>
      <c r="J34" s="734"/>
      <c r="K34" s="734"/>
      <c r="L34" s="728"/>
    </row>
    <row r="35" spans="1:12" ht="11.25" customHeight="1">
      <c r="A35" s="184"/>
      <c r="B35" s="190"/>
      <c r="C35" s="190"/>
      <c r="D35" s="190"/>
      <c r="E35" s="190"/>
      <c r="F35" s="190"/>
      <c r="G35" s="190"/>
      <c r="H35" s="190"/>
      <c r="I35" s="190"/>
      <c r="J35" s="734"/>
      <c r="K35" s="734"/>
      <c r="L35" s="735"/>
    </row>
    <row r="36" spans="1:12" ht="11.25" customHeight="1">
      <c r="A36" s="184"/>
      <c r="B36" s="190"/>
      <c r="C36" s="190"/>
      <c r="D36" s="190"/>
      <c r="E36" s="190"/>
      <c r="F36" s="190"/>
      <c r="G36" s="190"/>
      <c r="H36" s="190"/>
      <c r="I36" s="190"/>
      <c r="J36" s="734"/>
      <c r="K36" s="734"/>
      <c r="L36" s="728"/>
    </row>
    <row r="37" spans="1:12" ht="11.25" customHeight="1">
      <c r="A37" s="184"/>
      <c r="B37" s="190"/>
      <c r="C37" s="190"/>
      <c r="D37" s="190"/>
      <c r="E37" s="190"/>
      <c r="F37" s="190"/>
      <c r="G37" s="190"/>
      <c r="H37" s="190"/>
      <c r="I37" s="190"/>
      <c r="J37" s="734"/>
      <c r="K37" s="734"/>
      <c r="L37" s="728"/>
    </row>
    <row r="38" spans="1:12" ht="11.25" customHeight="1">
      <c r="A38" s="184"/>
      <c r="B38" s="190"/>
      <c r="C38" s="190"/>
      <c r="D38" s="190"/>
      <c r="E38" s="190"/>
      <c r="F38" s="190"/>
      <c r="G38" s="190"/>
      <c r="H38" s="190"/>
      <c r="I38" s="190"/>
      <c r="J38" s="734"/>
      <c r="K38" s="734"/>
      <c r="L38" s="728"/>
    </row>
    <row r="39" spans="1:12" ht="11.25" customHeight="1">
      <c r="A39" s="184"/>
      <c r="B39" s="190"/>
      <c r="C39" s="190"/>
      <c r="D39" s="190"/>
      <c r="E39" s="190"/>
      <c r="F39" s="190"/>
      <c r="G39" s="190"/>
      <c r="H39" s="190"/>
      <c r="I39" s="190"/>
      <c r="J39" s="734"/>
      <c r="K39" s="734"/>
      <c r="L39" s="728"/>
    </row>
    <row r="40" spans="1:12" ht="13.5" customHeight="1">
      <c r="A40" s="184"/>
      <c r="B40" s="950" t="str">
        <f>"Gráfico N°21: Costos marginales medios registrados en las principales barras del área centro durante el mes de "&amp;'1. Resumen'!Q4</f>
        <v>Gráfico N°21: Costos marginales medios registrados en las principales barras del área centro durante el mes de setiembre</v>
      </c>
      <c r="C40" s="950"/>
      <c r="D40" s="950"/>
      <c r="E40" s="950"/>
      <c r="F40" s="950"/>
      <c r="G40" s="950"/>
      <c r="H40" s="950"/>
      <c r="I40" s="950"/>
      <c r="J40" s="734"/>
      <c r="K40" s="734"/>
      <c r="L40" s="728"/>
    </row>
    <row r="41" spans="1:12" ht="6.75" customHeight="1">
      <c r="A41" s="184"/>
      <c r="B41" s="190"/>
      <c r="C41" s="190"/>
      <c r="D41" s="190"/>
      <c r="E41" s="190"/>
      <c r="F41" s="190"/>
      <c r="G41" s="190"/>
      <c r="H41" s="190"/>
      <c r="I41" s="190"/>
      <c r="J41" s="734"/>
      <c r="K41" s="734"/>
      <c r="L41" s="728"/>
    </row>
    <row r="42" spans="1:12" ht="8.25" customHeight="1">
      <c r="A42" s="184"/>
      <c r="B42" s="186"/>
      <c r="C42" s="186"/>
      <c r="D42" s="186"/>
      <c r="E42" s="186"/>
      <c r="F42" s="186"/>
      <c r="G42" s="186"/>
      <c r="H42" s="186"/>
      <c r="I42" s="186"/>
      <c r="J42" s="736"/>
      <c r="K42" s="736"/>
      <c r="L42" s="11"/>
    </row>
    <row r="43" spans="1:12" ht="11.25" customHeight="1">
      <c r="A43" s="184"/>
      <c r="B43" s="189" t="s">
        <v>449</v>
      </c>
      <c r="C43" s="186"/>
      <c r="D43" s="186"/>
      <c r="E43" s="186"/>
      <c r="F43" s="186"/>
      <c r="G43" s="186"/>
      <c r="H43" s="186"/>
      <c r="I43" s="186"/>
      <c r="J43" s="736"/>
      <c r="K43" s="736"/>
      <c r="L43" s="11"/>
    </row>
    <row r="44" spans="1:12" ht="6.75" customHeight="1">
      <c r="A44" s="184"/>
      <c r="B44" s="186"/>
      <c r="C44" s="186"/>
      <c r="D44" s="186"/>
      <c r="E44" s="186"/>
      <c r="F44" s="186"/>
      <c r="G44" s="186"/>
      <c r="H44" s="186"/>
      <c r="I44" s="186"/>
      <c r="J44" s="736"/>
      <c r="K44" s="736"/>
      <c r="L44" s="11"/>
    </row>
    <row r="45" spans="1:12" ht="27" customHeight="1">
      <c r="A45" s="184"/>
      <c r="B45" s="538" t="s">
        <v>167</v>
      </c>
      <c r="C45" s="535" t="s">
        <v>180</v>
      </c>
      <c r="D45" s="535" t="s">
        <v>181</v>
      </c>
      <c r="E45" s="535" t="s">
        <v>182</v>
      </c>
      <c r="F45" s="535" t="s">
        <v>183</v>
      </c>
      <c r="G45" s="535" t="s">
        <v>184</v>
      </c>
      <c r="H45" s="535" t="s">
        <v>186</v>
      </c>
      <c r="I45" s="536" t="s">
        <v>185</v>
      </c>
      <c r="J45" s="732"/>
      <c r="K45" s="734"/>
    </row>
    <row r="46" spans="1:12" ht="18.75" customHeight="1">
      <c r="A46" s="184"/>
      <c r="B46" s="539" t="s">
        <v>173</v>
      </c>
      <c r="C46" s="276">
        <v>11.017867511693765</v>
      </c>
      <c r="D46" s="276">
        <v>10.782694539635676</v>
      </c>
      <c r="E46" s="276">
        <v>10.615542637452849</v>
      </c>
      <c r="F46" s="276">
        <v>10.587067594780944</v>
      </c>
      <c r="G46" s="276">
        <v>10.577825722345331</v>
      </c>
      <c r="H46" s="276">
        <v>10.454557862095859</v>
      </c>
      <c r="I46" s="276">
        <v>10.30366570613818</v>
      </c>
      <c r="J46" s="733"/>
      <c r="K46" s="734"/>
    </row>
    <row r="47" spans="1:12" ht="18" customHeight="1">
      <c r="A47" s="184"/>
      <c r="B47" s="952" t="str">
        <f>"Cuadro N°13: Valor de los costos marginales medios registrados en las principales barras del área sur durante el mes de "&amp;'1. Resumen'!Q4</f>
        <v>Cuadro N°13: Valor de los costos marginales medios registrados en las principales barras del área sur durante el mes de setiembre</v>
      </c>
      <c r="C47" s="952"/>
      <c r="D47" s="952"/>
      <c r="E47" s="952"/>
      <c r="F47" s="952"/>
      <c r="G47" s="952"/>
      <c r="H47" s="952"/>
      <c r="I47" s="952"/>
      <c r="J47" s="733"/>
      <c r="K47" s="734"/>
    </row>
    <row r="48" spans="1:12" ht="12.75">
      <c r="A48" s="184"/>
      <c r="B48" s="190"/>
      <c r="C48" s="190"/>
      <c r="D48" s="190"/>
      <c r="E48" s="190"/>
      <c r="F48" s="190"/>
      <c r="G48" s="180"/>
      <c r="H48" s="180"/>
      <c r="I48" s="180"/>
      <c r="J48" s="727"/>
      <c r="K48" s="734"/>
    </row>
    <row r="49" spans="1:11" ht="12.75">
      <c r="A49" s="184"/>
      <c r="B49" s="180"/>
      <c r="C49" s="180"/>
      <c r="D49" s="180"/>
      <c r="E49" s="180"/>
      <c r="F49" s="180"/>
      <c r="G49" s="180"/>
      <c r="H49" s="180"/>
      <c r="I49" s="180"/>
      <c r="J49" s="727"/>
      <c r="K49" s="734"/>
    </row>
    <row r="50" spans="1:11" ht="12.75">
      <c r="A50" s="184"/>
      <c r="B50" s="111"/>
      <c r="C50" s="111"/>
      <c r="D50" s="111"/>
      <c r="E50" s="111"/>
      <c r="F50" s="111"/>
      <c r="G50" s="111"/>
      <c r="H50" s="111"/>
      <c r="I50" s="111"/>
      <c r="J50" s="737"/>
      <c r="K50" s="734"/>
    </row>
    <row r="51" spans="1:11" ht="12.75">
      <c r="A51" s="184"/>
      <c r="B51" s="111"/>
      <c r="C51" s="111"/>
      <c r="D51" s="111"/>
      <c r="E51" s="111"/>
      <c r="F51" s="111"/>
      <c r="G51" s="111"/>
      <c r="H51" s="111"/>
      <c r="I51" s="111"/>
      <c r="J51" s="737"/>
      <c r="K51" s="734"/>
    </row>
    <row r="52" spans="1:11" ht="12.75">
      <c r="A52" s="184"/>
      <c r="B52" s="111"/>
      <c r="C52" s="111"/>
      <c r="D52" s="111"/>
      <c r="E52" s="111"/>
      <c r="F52" s="111"/>
      <c r="G52" s="111"/>
      <c r="H52" s="111"/>
      <c r="I52" s="111"/>
      <c r="J52" s="737"/>
      <c r="K52" s="734"/>
    </row>
    <row r="53" spans="1:11" ht="12.75">
      <c r="A53" s="184"/>
      <c r="B53" s="111"/>
      <c r="C53" s="111"/>
      <c r="D53" s="111"/>
      <c r="E53" s="111"/>
      <c r="F53" s="111"/>
      <c r="G53" s="111"/>
      <c r="H53" s="111"/>
      <c r="I53" s="111"/>
      <c r="J53" s="737"/>
      <c r="K53" s="734"/>
    </row>
    <row r="54" spans="1:11" ht="12.75">
      <c r="A54" s="184"/>
      <c r="B54" s="111"/>
      <c r="C54" s="111"/>
      <c r="D54" s="111"/>
      <c r="E54" s="111"/>
      <c r="F54" s="111"/>
      <c r="G54" s="111"/>
      <c r="H54" s="111"/>
      <c r="I54" s="111"/>
      <c r="J54" s="737"/>
      <c r="K54" s="734"/>
    </row>
    <row r="55" spans="1:11" ht="12.75">
      <c r="A55" s="184"/>
      <c r="B55" s="111"/>
      <c r="C55" s="111"/>
      <c r="D55" s="111"/>
      <c r="E55" s="111"/>
      <c r="F55" s="111"/>
      <c r="G55" s="111"/>
      <c r="H55" s="111"/>
      <c r="I55" s="111"/>
      <c r="J55" s="737"/>
      <c r="K55" s="734"/>
    </row>
    <row r="56" spans="1:11" ht="12.75">
      <c r="A56" s="184"/>
      <c r="B56" s="180"/>
      <c r="C56" s="180"/>
      <c r="D56" s="180"/>
      <c r="E56" s="180"/>
      <c r="F56" s="180"/>
      <c r="G56" s="180"/>
      <c r="H56" s="180"/>
      <c r="I56" s="180"/>
      <c r="J56" s="727"/>
      <c r="K56" s="734"/>
    </row>
    <row r="57" spans="1:11" ht="12.75">
      <c r="A57" s="184"/>
      <c r="B57" s="180"/>
      <c r="C57" s="180"/>
      <c r="D57" s="180"/>
      <c r="E57" s="180"/>
      <c r="F57" s="180"/>
      <c r="G57" s="180"/>
      <c r="H57" s="180"/>
      <c r="I57" s="180"/>
      <c r="J57" s="727"/>
      <c r="K57" s="734"/>
    </row>
    <row r="58" spans="1:11" ht="12.75">
      <c r="A58" s="184"/>
      <c r="B58" s="950" t="str">
        <f>"Gráfico N°22: Costos marginales medios registrados en las principales barras del área sur durante el mes de "&amp;'1. Resumen'!Q4</f>
        <v>Gráfico N°22: Costos marginales medios registrados en las principales barras del área sur durante el mes de setiembre</v>
      </c>
      <c r="C58" s="950"/>
      <c r="D58" s="950"/>
      <c r="E58" s="950"/>
      <c r="F58" s="950"/>
      <c r="G58" s="950"/>
      <c r="H58" s="950"/>
      <c r="I58" s="950"/>
      <c r="J58" s="727"/>
      <c r="K58" s="734"/>
    </row>
    <row r="59" spans="1:11" ht="12.75">
      <c r="A59" s="74"/>
      <c r="B59" s="136"/>
      <c r="C59" s="136"/>
      <c r="D59" s="136"/>
      <c r="E59" s="136"/>
      <c r="F59" s="136"/>
      <c r="G59" s="136"/>
      <c r="H59" s="180"/>
      <c r="I59" s="180"/>
      <c r="J59" s="727"/>
      <c r="K59" s="734"/>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60" zoomScaleNormal="100" zoomScaleSheetLayoutView="160" zoomScalePageLayoutView="145" workbookViewId="0">
      <selection activeCell="P22" sqref="P22"/>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10" t="s">
        <v>451</v>
      </c>
      <c r="B2" s="910"/>
      <c r="C2" s="910"/>
      <c r="D2" s="910"/>
      <c r="E2" s="910"/>
      <c r="F2" s="910"/>
      <c r="G2" s="910"/>
      <c r="H2" s="910"/>
      <c r="I2" s="910"/>
      <c r="J2" s="910"/>
      <c r="K2" s="910"/>
      <c r="L2" s="910"/>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7"/>
  <sheetViews>
    <sheetView showGridLines="0" view="pageBreakPreview" zoomScale="115" zoomScaleNormal="100" zoomScaleSheetLayoutView="115" zoomScalePageLayoutView="115" workbookViewId="0">
      <selection activeCell="P22" sqref="P22"/>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53" t="s">
        <v>450</v>
      </c>
      <c r="B2" s="953"/>
      <c r="C2" s="953"/>
      <c r="D2" s="953"/>
      <c r="E2" s="953"/>
      <c r="F2" s="953"/>
      <c r="G2" s="953"/>
      <c r="H2" s="953"/>
      <c r="I2" s="203"/>
      <c r="J2" s="203"/>
      <c r="K2" s="203"/>
    </row>
    <row r="3" spans="1:12" ht="3" customHeight="1">
      <c r="A3" s="77"/>
      <c r="B3" s="77"/>
      <c r="C3" s="77"/>
      <c r="D3" s="77"/>
      <c r="E3" s="77"/>
      <c r="F3" s="77"/>
      <c r="G3" s="77"/>
      <c r="H3" s="77"/>
      <c r="I3" s="204"/>
      <c r="J3" s="204"/>
      <c r="K3" s="204"/>
      <c r="L3" s="36"/>
    </row>
    <row r="4" spans="1:12" ht="15" customHeight="1">
      <c r="A4" s="944" t="s">
        <v>553</v>
      </c>
      <c r="B4" s="944"/>
      <c r="C4" s="944"/>
      <c r="D4" s="944"/>
      <c r="E4" s="944"/>
      <c r="F4" s="944"/>
      <c r="G4" s="944"/>
      <c r="H4" s="944"/>
      <c r="I4" s="195"/>
      <c r="J4" s="195"/>
      <c r="K4" s="195"/>
      <c r="L4" s="36"/>
    </row>
    <row r="5" spans="1:12" ht="11.25" customHeight="1">
      <c r="A5" s="77"/>
      <c r="B5" s="164"/>
      <c r="C5" s="78"/>
      <c r="D5" s="79"/>
      <c r="E5" s="79"/>
      <c r="F5" s="80"/>
      <c r="G5" s="76"/>
      <c r="H5" s="76"/>
      <c r="I5" s="196"/>
      <c r="J5" s="196"/>
      <c r="K5" s="196"/>
      <c r="L5" s="205"/>
    </row>
    <row r="6" spans="1:12" ht="30.75" customHeight="1">
      <c r="A6" s="567" t="s">
        <v>187</v>
      </c>
      <c r="B6" s="565" t="s">
        <v>188</v>
      </c>
      <c r="C6" s="565" t="s">
        <v>189</v>
      </c>
      <c r="D6" s="564" t="str">
        <f>UPPER('1. Resumen'!Q4)&amp;"
 "&amp;'1. Resumen'!Q5</f>
        <v>SETIEMBRE
 2019</v>
      </c>
      <c r="E6" s="564" t="str">
        <f>UPPER('1. Resumen'!Q4)&amp;"
 "&amp;'1. Resumen'!Q5-1</f>
        <v>SETIEMBRE
 2018</v>
      </c>
      <c r="F6" s="564" t="str">
        <f>UPPER('1. Resumen'!Q4)&amp;"
 "&amp;'1. Resumen'!Q5-2</f>
        <v>SETIEMBRE
 2017</v>
      </c>
      <c r="G6" s="565" t="s">
        <v>530</v>
      </c>
      <c r="H6" s="566" t="s">
        <v>462</v>
      </c>
      <c r="I6" s="196"/>
      <c r="J6" s="196"/>
      <c r="K6" s="196"/>
      <c r="L6" s="166"/>
    </row>
    <row r="7" spans="1:12" ht="14.25" customHeight="1">
      <c r="A7" s="828" t="s">
        <v>711</v>
      </c>
      <c r="B7" s="773" t="s">
        <v>712</v>
      </c>
      <c r="C7" s="774" t="s">
        <v>713</v>
      </c>
      <c r="D7" s="775"/>
      <c r="E7" s="775">
        <v>16.133333333333326</v>
      </c>
      <c r="F7" s="775"/>
      <c r="G7" s="776">
        <f t="shared" ref="G7" si="0">+D7/E7-1</f>
        <v>-1</v>
      </c>
      <c r="H7" s="781"/>
      <c r="I7" s="196"/>
      <c r="J7" s="196"/>
      <c r="K7" s="196"/>
      <c r="L7" s="58"/>
    </row>
    <row r="8" spans="1:12" ht="14.25" customHeight="1">
      <c r="A8" s="954" t="s">
        <v>191</v>
      </c>
      <c r="B8" s="773" t="s">
        <v>590</v>
      </c>
      <c r="C8" s="774" t="s">
        <v>589</v>
      </c>
      <c r="D8" s="775"/>
      <c r="E8" s="775"/>
      <c r="F8" s="775">
        <v>3.3499999999999988</v>
      </c>
      <c r="G8" s="776"/>
      <c r="H8" s="781">
        <f t="shared" ref="H8" si="1">+E8/F8-1</f>
        <v>-1</v>
      </c>
      <c r="I8" s="196"/>
      <c r="J8" s="196"/>
      <c r="K8" s="196"/>
      <c r="L8" s="58"/>
    </row>
    <row r="9" spans="1:12" ht="14.25" customHeight="1">
      <c r="A9" s="955"/>
      <c r="B9" s="777" t="s">
        <v>709</v>
      </c>
      <c r="C9" s="778" t="s">
        <v>710</v>
      </c>
      <c r="D9" s="779">
        <v>4.5666666666666638</v>
      </c>
      <c r="E9" s="779"/>
      <c r="F9" s="779">
        <v>32.783333333333331</v>
      </c>
      <c r="G9" s="780"/>
      <c r="H9" s="781">
        <f t="shared" ref="H9:H12" si="2">+E9/F9-1</f>
        <v>-1</v>
      </c>
      <c r="I9" s="196"/>
      <c r="J9" s="196"/>
      <c r="K9" s="196"/>
      <c r="L9" s="58"/>
    </row>
    <row r="10" spans="1:12" ht="12.75">
      <c r="A10" s="955"/>
      <c r="B10" s="777" t="s">
        <v>522</v>
      </c>
      <c r="C10" s="778" t="s">
        <v>523</v>
      </c>
      <c r="D10" s="779"/>
      <c r="E10" s="779"/>
      <c r="F10" s="779">
        <v>1.116666666666668</v>
      </c>
      <c r="G10" s="780"/>
      <c r="H10" s="781">
        <f t="shared" si="2"/>
        <v>-1</v>
      </c>
      <c r="I10" s="196"/>
      <c r="J10" s="196"/>
      <c r="K10" s="196"/>
      <c r="L10" s="58"/>
    </row>
    <row r="11" spans="1:12" ht="12.75">
      <c r="A11" s="956"/>
      <c r="B11" s="853" t="s">
        <v>604</v>
      </c>
      <c r="C11" s="854" t="s">
        <v>605</v>
      </c>
      <c r="D11" s="796">
        <v>5.3833333333333329</v>
      </c>
      <c r="E11" s="796"/>
      <c r="F11" s="796"/>
      <c r="G11" s="780">
        <v>1</v>
      </c>
      <c r="H11" s="797"/>
      <c r="I11" s="196"/>
      <c r="J11" s="196"/>
      <c r="K11" s="196"/>
      <c r="L11" s="58"/>
    </row>
    <row r="12" spans="1:12" ht="16.5">
      <c r="A12" s="828" t="s">
        <v>190</v>
      </c>
      <c r="B12" s="741" t="s">
        <v>524</v>
      </c>
      <c r="C12" s="742" t="s">
        <v>476</v>
      </c>
      <c r="D12" s="796"/>
      <c r="E12" s="796"/>
      <c r="F12" s="796">
        <v>556.88333333333344</v>
      </c>
      <c r="G12" s="780"/>
      <c r="H12" s="797">
        <f t="shared" si="2"/>
        <v>-1</v>
      </c>
      <c r="I12" s="196"/>
      <c r="J12" s="196"/>
      <c r="K12" s="196"/>
      <c r="L12" s="58"/>
    </row>
    <row r="13" spans="1:12" ht="18.75" customHeight="1">
      <c r="A13" s="556" t="s">
        <v>192</v>
      </c>
      <c r="B13" s="557"/>
      <c r="C13" s="558"/>
      <c r="D13" s="559">
        <f>SUM(D7:D12)</f>
        <v>9.9499999999999957</v>
      </c>
      <c r="E13" s="559">
        <f>SUM(E7:E12)</f>
        <v>16.133333333333326</v>
      </c>
      <c r="F13" s="559">
        <f>SUM(F7:F12)</f>
        <v>594.13333333333344</v>
      </c>
      <c r="G13" s="560">
        <f>+D13/E13-1</f>
        <v>-0.38326446280991733</v>
      </c>
      <c r="H13" s="560">
        <f>+F13/G13-1</f>
        <v>-1551.1915543575924</v>
      </c>
      <c r="I13" s="196"/>
      <c r="J13" s="196"/>
      <c r="K13" s="197"/>
      <c r="L13" s="206"/>
    </row>
    <row r="14" spans="1:12" ht="11.25" customHeight="1">
      <c r="A14" s="274" t="str">
        <f>"Cuadro N° 14: Horas de operación de los principales equipos de congestión en "&amp;'1. Resumen'!Q4</f>
        <v>Cuadro N° 14: Horas de operación de los principales equipos de congestión en setiembre</v>
      </c>
      <c r="B14" s="209"/>
      <c r="C14" s="210"/>
      <c r="D14" s="211"/>
      <c r="E14" s="211"/>
      <c r="F14" s="212"/>
      <c r="G14" s="76"/>
      <c r="H14" s="82"/>
      <c r="I14" s="196"/>
      <c r="J14" s="196"/>
      <c r="K14" s="197"/>
      <c r="L14" s="206"/>
    </row>
    <row r="15" spans="1:12" ht="11.25" customHeight="1">
      <c r="A15" s="137"/>
      <c r="B15" s="209"/>
      <c r="C15" s="210"/>
      <c r="D15" s="211"/>
      <c r="E15" s="211"/>
      <c r="F15" s="212"/>
      <c r="G15" s="76"/>
      <c r="H15" s="76"/>
      <c r="I15" s="196"/>
      <c r="J15" s="196"/>
      <c r="K15" s="197"/>
      <c r="L15" s="206"/>
    </row>
    <row r="16" spans="1:12" ht="11.25" customHeight="1">
      <c r="A16" s="137"/>
      <c r="B16" s="209"/>
      <c r="C16" s="210"/>
      <c r="D16" s="211"/>
      <c r="E16" s="211"/>
      <c r="F16" s="212"/>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7"/>
      <c r="L19" s="207"/>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6"/>
      <c r="L22" s="58"/>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77"/>
      <c r="C30" s="77"/>
      <c r="D30" s="77"/>
      <c r="E30" s="77"/>
      <c r="F30" s="77"/>
      <c r="G30" s="77"/>
      <c r="H30" s="77"/>
      <c r="I30" s="196"/>
      <c r="J30" s="196"/>
      <c r="K30" s="198"/>
      <c r="L30" s="206"/>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8.25" customHeight="1">
      <c r="A35" s="77"/>
      <c r="B35" s="77"/>
      <c r="C35" s="77"/>
      <c r="D35" s="77"/>
      <c r="E35" s="77"/>
      <c r="F35" s="77"/>
      <c r="G35" s="77"/>
      <c r="H35" s="77"/>
      <c r="I35" s="196"/>
      <c r="J35" s="196"/>
      <c r="K35" s="199"/>
      <c r="L35" s="59"/>
    </row>
    <row r="36" spans="1:12" ht="24.7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8"/>
    </row>
    <row r="41" spans="1:12" ht="11.25" customHeight="1">
      <c r="A41" s="77"/>
      <c r="B41" s="77"/>
      <c r="C41" s="77"/>
      <c r="D41" s="77"/>
      <c r="E41" s="77"/>
      <c r="F41" s="77"/>
      <c r="G41" s="77"/>
      <c r="H41" s="77"/>
      <c r="I41" s="196"/>
      <c r="J41" s="196"/>
      <c r="K41" s="198"/>
    </row>
    <row r="42" spans="1:12" ht="12.75">
      <c r="A42" s="54"/>
      <c r="B42" s="77"/>
      <c r="C42" s="77"/>
      <c r="D42" s="77"/>
      <c r="E42" s="77"/>
      <c r="F42" s="77"/>
      <c r="G42" s="77"/>
      <c r="H42" s="77"/>
      <c r="I42" s="196"/>
      <c r="J42" s="196"/>
      <c r="K42" s="198"/>
    </row>
    <row r="43" spans="1:12" ht="12.75">
      <c r="A43" s="77"/>
      <c r="B43" s="77"/>
      <c r="C43" s="77"/>
      <c r="D43" s="77"/>
      <c r="E43" s="77"/>
      <c r="F43" s="77"/>
      <c r="G43" s="77"/>
      <c r="H43" s="77"/>
      <c r="I43" s="196"/>
      <c r="J43" s="196"/>
      <c r="K43" s="198"/>
    </row>
    <row r="44" spans="1:12" ht="12.75">
      <c r="A44" s="77"/>
      <c r="B44" s="77"/>
      <c r="C44" s="77"/>
      <c r="D44" s="77"/>
      <c r="E44" s="77"/>
      <c r="F44" s="77"/>
      <c r="G44" s="77"/>
      <c r="H44" s="77"/>
      <c r="I44" s="196"/>
      <c r="J44" s="196"/>
      <c r="K44" s="198"/>
    </row>
    <row r="45" spans="1:12" ht="12.75">
      <c r="A45" s="77"/>
      <c r="B45" s="77"/>
      <c r="C45" s="77"/>
      <c r="D45" s="77"/>
      <c r="E45" s="77"/>
      <c r="F45" s="77"/>
      <c r="G45" s="77"/>
      <c r="H45" s="77"/>
      <c r="I45" s="196"/>
      <c r="J45" s="196"/>
      <c r="K45" s="198"/>
    </row>
    <row r="46" spans="1:12" ht="12.75">
      <c r="A46" s="77"/>
      <c r="B46" s="77"/>
      <c r="C46" s="77"/>
      <c r="D46" s="77"/>
      <c r="E46" s="77"/>
      <c r="F46" s="77"/>
      <c r="G46" s="77"/>
      <c r="H46" s="77"/>
      <c r="I46" s="196"/>
      <c r="J46" s="196"/>
      <c r="K46" s="198"/>
    </row>
    <row r="47" spans="1:12" ht="12.75">
      <c r="A47" s="77"/>
      <c r="B47" s="77"/>
      <c r="C47" s="77"/>
      <c r="D47" s="77"/>
      <c r="E47" s="77"/>
      <c r="F47" s="77"/>
      <c r="G47" s="77"/>
      <c r="H47" s="77"/>
      <c r="I47" s="111"/>
      <c r="J47" s="111"/>
      <c r="K47" s="198"/>
    </row>
    <row r="48" spans="1:12" ht="12.75">
      <c r="A48" s="77"/>
      <c r="B48" s="77"/>
      <c r="C48" s="77"/>
      <c r="D48" s="77"/>
      <c r="E48" s="77"/>
      <c r="F48" s="77"/>
      <c r="G48" s="77"/>
      <c r="H48" s="77"/>
      <c r="I48" s="111"/>
      <c r="J48" s="111"/>
      <c r="K48" s="198"/>
    </row>
    <row r="49" spans="1:11" ht="12.75">
      <c r="A49" s="77"/>
      <c r="B49" s="77"/>
      <c r="C49" s="77"/>
      <c r="D49" s="77"/>
      <c r="E49" s="77"/>
      <c r="F49" s="77"/>
      <c r="G49" s="77"/>
      <c r="H49" s="77"/>
      <c r="I49" s="111"/>
      <c r="J49" s="111"/>
      <c r="K49" s="198"/>
    </row>
    <row r="50" spans="1:11" ht="12.75">
      <c r="B50" s="77"/>
      <c r="C50" s="77"/>
      <c r="D50" s="77"/>
      <c r="E50" s="77"/>
      <c r="F50" s="77"/>
      <c r="G50" s="77"/>
      <c r="H50" s="77"/>
      <c r="I50" s="111"/>
      <c r="J50" s="111"/>
      <c r="K50" s="198"/>
    </row>
    <row r="51" spans="1:11" ht="12.75">
      <c r="A51" s="274" t="str">
        <f>"Gráfico N° 23: Comparación de las horas de operación de los principales equipos de congestión en "&amp;'1. Resumen'!Q4&amp;"."</f>
        <v>Gráfico N° 23: Comparación de las horas de operación de los principales equipos de congestión en setiembre.</v>
      </c>
      <c r="B51" s="77"/>
      <c r="C51" s="77"/>
      <c r="D51" s="77"/>
      <c r="E51" s="77"/>
      <c r="F51" s="77"/>
      <c r="G51" s="77"/>
      <c r="H51" s="77"/>
      <c r="I51" s="111"/>
      <c r="J51" s="111"/>
      <c r="K51" s="198"/>
    </row>
    <row r="52" spans="1:11" ht="12.75">
      <c r="A52" s="77"/>
      <c r="B52" s="77"/>
      <c r="C52" s="77"/>
      <c r="D52" s="77"/>
      <c r="E52" s="77"/>
      <c r="F52" s="77"/>
      <c r="G52" s="77"/>
      <c r="H52" s="77"/>
      <c r="I52" s="197"/>
      <c r="J52" s="197"/>
      <c r="K52" s="198"/>
    </row>
    <row r="53" spans="1:11" ht="12.75">
      <c r="A53" s="196"/>
      <c r="B53" s="197"/>
      <c r="C53" s="197"/>
      <c r="D53" s="197"/>
      <c r="E53" s="197"/>
      <c r="F53" s="197"/>
      <c r="G53" s="197"/>
      <c r="H53" s="197"/>
      <c r="I53" s="197"/>
      <c r="J53" s="197"/>
      <c r="K53" s="198"/>
    </row>
    <row r="54" spans="1:11" ht="12.75">
      <c r="A54" s="196"/>
      <c r="B54" s="208"/>
      <c r="C54" s="198"/>
      <c r="D54" s="198"/>
      <c r="E54" s="198"/>
      <c r="F54" s="198"/>
      <c r="G54" s="197"/>
      <c r="H54" s="197"/>
      <c r="I54" s="197"/>
      <c r="J54" s="197"/>
      <c r="K54" s="198"/>
    </row>
    <row r="55" spans="1:11" ht="12.75">
      <c r="A55" s="1"/>
      <c r="B55" s="31"/>
      <c r="C55" s="31"/>
      <c r="D55" s="31"/>
      <c r="E55" s="31"/>
      <c r="F55" s="31"/>
      <c r="G55" s="31"/>
      <c r="H55" s="197"/>
      <c r="I55" s="197"/>
      <c r="J55" s="197"/>
      <c r="K55" s="198"/>
    </row>
    <row r="56" spans="1:11" ht="12.75">
      <c r="A56" s="1"/>
      <c r="B56" s="31"/>
      <c r="C56" s="31"/>
      <c r="D56" s="31"/>
      <c r="E56" s="31"/>
      <c r="F56" s="31"/>
      <c r="G56" s="31"/>
      <c r="H56" s="197"/>
      <c r="I56" s="197"/>
      <c r="J56" s="197"/>
      <c r="K56" s="197"/>
    </row>
    <row r="57" spans="1:11" ht="12.75">
      <c r="A57" s="1"/>
      <c r="B57" s="31"/>
      <c r="C57" s="31"/>
      <c r="D57" s="31"/>
      <c r="E57" s="31"/>
      <c r="F57" s="31"/>
      <c r="G57" s="31"/>
      <c r="H57" s="197"/>
      <c r="I57" s="197"/>
      <c r="J57" s="197"/>
      <c r="K57" s="197"/>
    </row>
  </sheetData>
  <mergeCells count="3">
    <mergeCell ref="A4:H4"/>
    <mergeCell ref="A2:H2"/>
    <mergeCell ref="A8:A1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0"/>
  <sheetViews>
    <sheetView showGridLines="0" view="pageBreakPreview" zoomScale="145" zoomScaleNormal="160" zoomScaleSheetLayoutView="145" zoomScalePageLayoutView="160" workbookViewId="0">
      <selection activeCell="P22" sqref="P22"/>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59" t="s">
        <v>492</v>
      </c>
      <c r="B2" s="959"/>
      <c r="C2" s="959"/>
      <c r="D2" s="959"/>
      <c r="E2" s="959"/>
      <c r="F2" s="959"/>
      <c r="G2" s="959"/>
      <c r="H2" s="959"/>
      <c r="I2" s="959"/>
      <c r="J2" s="959"/>
      <c r="K2" s="163"/>
    </row>
    <row r="3" spans="1:12" ht="6.75" customHeight="1">
      <c r="A3" s="17"/>
      <c r="B3" s="159"/>
      <c r="C3" s="213"/>
      <c r="D3" s="18"/>
      <c r="E3" s="18"/>
      <c r="F3" s="192"/>
      <c r="G3" s="66"/>
      <c r="H3" s="66"/>
      <c r="I3" s="71"/>
      <c r="J3" s="163"/>
      <c r="K3" s="163"/>
      <c r="L3" s="36"/>
    </row>
    <row r="4" spans="1:12" ht="15" customHeight="1">
      <c r="A4" s="960" t="s">
        <v>552</v>
      </c>
      <c r="B4" s="960"/>
      <c r="C4" s="960"/>
      <c r="D4" s="960"/>
      <c r="E4" s="960"/>
      <c r="F4" s="960"/>
      <c r="G4" s="960"/>
      <c r="H4" s="960"/>
      <c r="I4" s="960"/>
      <c r="J4" s="960"/>
      <c r="K4" s="163"/>
      <c r="L4" s="36"/>
    </row>
    <row r="5" spans="1:12" ht="38.25" customHeight="1">
      <c r="A5" s="957" t="s">
        <v>193</v>
      </c>
      <c r="B5" s="569" t="s">
        <v>194</v>
      </c>
      <c r="C5" s="570" t="s">
        <v>195</v>
      </c>
      <c r="D5" s="570" t="s">
        <v>196</v>
      </c>
      <c r="E5" s="570" t="s">
        <v>197</v>
      </c>
      <c r="F5" s="570" t="s">
        <v>198</v>
      </c>
      <c r="G5" s="570" t="s">
        <v>199</v>
      </c>
      <c r="H5" s="570" t="s">
        <v>200</v>
      </c>
      <c r="I5" s="571" t="s">
        <v>201</v>
      </c>
      <c r="J5" s="572" t="s">
        <v>202</v>
      </c>
      <c r="K5" s="131"/>
    </row>
    <row r="6" spans="1:12" ht="11.25" customHeight="1">
      <c r="A6" s="958"/>
      <c r="B6" s="782" t="s">
        <v>203</v>
      </c>
      <c r="C6" s="571" t="s">
        <v>204</v>
      </c>
      <c r="D6" s="571" t="s">
        <v>205</v>
      </c>
      <c r="E6" s="571" t="s">
        <v>206</v>
      </c>
      <c r="F6" s="571" t="s">
        <v>207</v>
      </c>
      <c r="G6" s="571" t="s">
        <v>208</v>
      </c>
      <c r="H6" s="571" t="s">
        <v>209</v>
      </c>
      <c r="I6" s="783"/>
      <c r="J6" s="784" t="s">
        <v>210</v>
      </c>
      <c r="K6" s="19"/>
    </row>
    <row r="7" spans="1:12" ht="12" customHeight="1">
      <c r="A7" s="798" t="s">
        <v>460</v>
      </c>
      <c r="B7" s="799">
        <v>4</v>
      </c>
      <c r="C7" s="799">
        <v>1</v>
      </c>
      <c r="D7" s="799"/>
      <c r="E7" s="800">
        <v>1</v>
      </c>
      <c r="F7" s="799">
        <v>18</v>
      </c>
      <c r="G7" s="799"/>
      <c r="H7" s="799"/>
      <c r="I7" s="801">
        <f>+SUM(B7:H7)</f>
        <v>24</v>
      </c>
      <c r="J7" s="802">
        <v>151.86999999999998</v>
      </c>
      <c r="K7" s="22"/>
    </row>
    <row r="8" spans="1:12" ht="16.5" customHeight="1">
      <c r="A8" s="798" t="s">
        <v>574</v>
      </c>
      <c r="B8" s="803"/>
      <c r="C8" s="799"/>
      <c r="D8" s="799"/>
      <c r="E8" s="800"/>
      <c r="F8" s="799"/>
      <c r="G8" s="799"/>
      <c r="H8" s="799"/>
      <c r="I8" s="801">
        <f t="shared" ref="I8:I11" si="0">+SUM(B8:H8)</f>
        <v>0</v>
      </c>
      <c r="J8" s="802">
        <v>0</v>
      </c>
      <c r="K8" s="22"/>
    </row>
    <row r="9" spans="1:12" ht="12" customHeight="1">
      <c r="A9" s="804" t="s">
        <v>515</v>
      </c>
      <c r="B9" s="799"/>
      <c r="C9" s="799"/>
      <c r="D9" s="799"/>
      <c r="E9" s="800"/>
      <c r="F9" s="799">
        <v>4</v>
      </c>
      <c r="G9" s="799"/>
      <c r="H9" s="799"/>
      <c r="I9" s="801">
        <f t="shared" si="0"/>
        <v>4</v>
      </c>
      <c r="J9" s="802">
        <v>800.93999999999994</v>
      </c>
      <c r="K9" s="22"/>
    </row>
    <row r="10" spans="1:12" ht="12" customHeight="1">
      <c r="A10" s="804" t="s">
        <v>167</v>
      </c>
      <c r="B10" s="799"/>
      <c r="C10" s="799"/>
      <c r="D10" s="799">
        <v>1</v>
      </c>
      <c r="E10" s="800">
        <v>1</v>
      </c>
      <c r="F10" s="799"/>
      <c r="G10" s="799"/>
      <c r="H10" s="799"/>
      <c r="I10" s="801">
        <f t="shared" si="0"/>
        <v>2</v>
      </c>
      <c r="J10" s="802">
        <v>20.7</v>
      </c>
      <c r="K10" s="22"/>
    </row>
    <row r="11" spans="1:12" ht="12" customHeight="1">
      <c r="A11" s="798" t="s">
        <v>603</v>
      </c>
      <c r="B11" s="803"/>
      <c r="C11" s="799"/>
      <c r="D11" s="799"/>
      <c r="E11" s="800">
        <v>1</v>
      </c>
      <c r="F11" s="799"/>
      <c r="G11" s="799"/>
      <c r="H11" s="799"/>
      <c r="I11" s="801">
        <f t="shared" si="0"/>
        <v>1</v>
      </c>
      <c r="J11" s="802">
        <v>0.33</v>
      </c>
      <c r="K11" s="22"/>
    </row>
    <row r="12" spans="1:12" ht="14.25" customHeight="1">
      <c r="A12" s="793" t="s">
        <v>201</v>
      </c>
      <c r="B12" s="785">
        <f t="shared" ref="B12:H12" si="1">+SUM(B7:B11)</f>
        <v>4</v>
      </c>
      <c r="C12" s="785">
        <f t="shared" si="1"/>
        <v>1</v>
      </c>
      <c r="D12" s="785">
        <f t="shared" si="1"/>
        <v>1</v>
      </c>
      <c r="E12" s="785">
        <f t="shared" si="1"/>
        <v>3</v>
      </c>
      <c r="F12" s="785">
        <f t="shared" si="1"/>
        <v>22</v>
      </c>
      <c r="G12" s="785">
        <f t="shared" si="1"/>
        <v>0</v>
      </c>
      <c r="H12" s="785">
        <f t="shared" si="1"/>
        <v>0</v>
      </c>
      <c r="I12" s="785">
        <f>SUM(I7:I11)</f>
        <v>31</v>
      </c>
      <c r="J12" s="786">
        <f>SUM(J7:J11)</f>
        <v>973.84</v>
      </c>
      <c r="K12" s="22"/>
    </row>
    <row r="13" spans="1:12" ht="11.25" customHeight="1">
      <c r="A13" s="96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setiembre 2019</v>
      </c>
      <c r="B13" s="961"/>
      <c r="C13" s="961"/>
      <c r="D13" s="961"/>
      <c r="E13" s="961"/>
      <c r="F13" s="961"/>
      <c r="G13" s="961"/>
      <c r="H13" s="961"/>
      <c r="I13" s="961"/>
      <c r="J13" s="961"/>
      <c r="K13" s="22"/>
    </row>
    <row r="14" spans="1:12" ht="11.25" customHeight="1">
      <c r="K14" s="22"/>
    </row>
    <row r="15" spans="1:12" ht="11.25" customHeight="1">
      <c r="A15" s="17"/>
      <c r="B15" s="216"/>
      <c r="C15" s="215"/>
      <c r="D15" s="215"/>
      <c r="E15" s="215"/>
      <c r="F15" s="215"/>
      <c r="G15" s="178"/>
      <c r="H15" s="178"/>
      <c r="I15" s="138"/>
      <c r="J15" s="25"/>
      <c r="K15" s="25"/>
      <c r="L15" s="22"/>
    </row>
    <row r="16" spans="1:12" ht="11.25" customHeight="1">
      <c r="A16" s="965" t="str">
        <f>"FALLAS  POR TIPO DE CAUSA  -  "&amp;UPPER('1. Resumen'!Q4)&amp;" "&amp;'1. Resumen'!Q5</f>
        <v>FALLAS  POR TIPO DE CAUSA  -  SETIEMBRE 2019</v>
      </c>
      <c r="B16" s="965"/>
      <c r="C16" s="965"/>
      <c r="D16" s="965"/>
      <c r="E16" s="965" t="str">
        <f>"FALLAS  POR TIPO DE EQUIPO  -  "&amp;UPPER('1. Resumen'!Q4)&amp;" "&amp;'1. Resumen'!Q5</f>
        <v>FALLAS  POR TIPO DE EQUIPO  -  SETIEMBRE 2019</v>
      </c>
      <c r="F16" s="965"/>
      <c r="G16" s="965"/>
      <c r="H16" s="965"/>
      <c r="I16" s="965"/>
      <c r="J16" s="965"/>
      <c r="K16" s="25"/>
      <c r="L16" s="22"/>
    </row>
    <row r="17" spans="1:12" ht="11.25" customHeight="1">
      <c r="A17" s="17"/>
      <c r="E17" s="215"/>
      <c r="F17" s="215"/>
      <c r="G17" s="178"/>
      <c r="H17" s="178"/>
      <c r="I17" s="138"/>
      <c r="J17" s="111"/>
      <c r="K17" s="111"/>
      <c r="L17" s="22"/>
    </row>
    <row r="18" spans="1:12" ht="11.25" customHeight="1">
      <c r="A18" s="17"/>
      <c r="B18" s="216"/>
      <c r="C18" s="215"/>
      <c r="D18" s="215"/>
      <c r="E18" s="215"/>
      <c r="F18" s="215"/>
      <c r="G18" s="178"/>
      <c r="H18" s="178"/>
      <c r="I18" s="138"/>
      <c r="J18" s="111"/>
      <c r="K18" s="111"/>
      <c r="L18" s="30"/>
    </row>
    <row r="19" spans="1:12" ht="11.25" customHeight="1">
      <c r="A19" s="17"/>
      <c r="B19" s="216"/>
      <c r="C19" s="215"/>
      <c r="D19" s="215"/>
      <c r="E19" s="215"/>
      <c r="F19" s="215"/>
      <c r="G19" s="178"/>
      <c r="H19" s="178"/>
      <c r="I19" s="138"/>
      <c r="J19" s="111"/>
      <c r="K19" s="111"/>
      <c r="L19" s="22"/>
    </row>
    <row r="20" spans="1:12" ht="11.25" customHeight="1">
      <c r="A20" s="17"/>
      <c r="B20" s="216"/>
      <c r="C20" s="215"/>
      <c r="D20" s="215"/>
      <c r="E20" s="215"/>
      <c r="F20" s="215"/>
      <c r="G20" s="178"/>
      <c r="H20" s="178"/>
      <c r="I20" s="138"/>
      <c r="J20" s="111"/>
      <c r="K20" s="111"/>
      <c r="L20" s="22"/>
    </row>
    <row r="21" spans="1:12" ht="11.25" customHeight="1">
      <c r="A21" s="17"/>
      <c r="B21" s="216"/>
      <c r="C21" s="215"/>
      <c r="D21" s="215"/>
      <c r="E21" s="215"/>
      <c r="F21" s="215"/>
      <c r="G21" s="178"/>
      <c r="H21" s="178"/>
      <c r="I21" s="138"/>
      <c r="J21" s="111"/>
      <c r="K21" s="111"/>
      <c r="L21" s="22"/>
    </row>
    <row r="22" spans="1:12" ht="11.25" customHeight="1">
      <c r="A22" s="17"/>
      <c r="B22" s="216"/>
      <c r="C22" s="215"/>
      <c r="D22" s="215"/>
      <c r="E22" s="215"/>
      <c r="F22" s="215"/>
      <c r="G22" s="178"/>
      <c r="H22" s="178"/>
      <c r="I22" s="138"/>
      <c r="J22" s="111"/>
      <c r="K22" s="111"/>
      <c r="L22" s="30"/>
    </row>
    <row r="23" spans="1:12" ht="11.25" customHeight="1">
      <c r="A23" s="17"/>
      <c r="B23" s="216"/>
      <c r="C23" s="215"/>
      <c r="D23" s="215"/>
      <c r="E23" s="215"/>
      <c r="F23" s="215"/>
      <c r="G23" s="178"/>
      <c r="H23" s="178"/>
      <c r="I23" s="138"/>
      <c r="J23" s="111"/>
      <c r="K23" s="111"/>
      <c r="L23" s="22"/>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11.25" customHeight="1">
      <c r="A32" s="17"/>
      <c r="B32" s="216"/>
      <c r="C32" s="215"/>
      <c r="D32" s="215"/>
      <c r="E32" s="215"/>
      <c r="F32" s="215"/>
      <c r="G32" s="178"/>
      <c r="H32" s="178"/>
      <c r="I32" s="138"/>
      <c r="J32" s="111"/>
      <c r="K32" s="111"/>
      <c r="L32" s="22"/>
    </row>
    <row r="33" spans="1:12" ht="11.25" customHeight="1">
      <c r="A33" s="17"/>
      <c r="B33" s="216"/>
      <c r="C33" s="215"/>
      <c r="D33" s="215"/>
      <c r="E33" s="215"/>
      <c r="F33" s="215"/>
      <c r="G33" s="178"/>
      <c r="H33" s="178"/>
      <c r="I33" s="138"/>
      <c r="J33" s="111"/>
      <c r="K33" s="111"/>
      <c r="L33" s="22"/>
    </row>
    <row r="34" spans="1:12" ht="23.25" customHeight="1">
      <c r="A34" s="964" t="s">
        <v>473</v>
      </c>
      <c r="B34" s="964"/>
      <c r="C34" s="964"/>
      <c r="D34" s="277"/>
      <c r="E34" s="967" t="s">
        <v>474</v>
      </c>
      <c r="F34" s="967"/>
      <c r="G34" s="967"/>
      <c r="H34" s="967"/>
      <c r="I34" s="967"/>
      <c r="J34" s="967"/>
      <c r="K34" s="25"/>
      <c r="L34" s="22"/>
    </row>
    <row r="35" spans="1:12" ht="11.25" customHeight="1">
      <c r="A35" s="17"/>
      <c r="B35" s="132"/>
      <c r="C35" s="132"/>
      <c r="D35" s="132"/>
      <c r="E35" s="132"/>
      <c r="F35" s="132"/>
      <c r="G35" s="25"/>
      <c r="H35" s="25"/>
      <c r="I35" s="25"/>
      <c r="J35" s="25"/>
      <c r="K35" s="25"/>
      <c r="L35" s="22"/>
    </row>
    <row r="36" spans="1:12" ht="6.75" customHeight="1">
      <c r="A36" s="17"/>
      <c r="B36" s="132"/>
      <c r="C36" s="132"/>
      <c r="D36" s="132"/>
      <c r="E36" s="132"/>
      <c r="F36" s="132"/>
      <c r="G36" s="25"/>
      <c r="H36" s="25"/>
      <c r="I36" s="25"/>
      <c r="J36" s="25"/>
      <c r="K36" s="25"/>
      <c r="L36" s="217"/>
    </row>
    <row r="37" spans="1:12" ht="11.25" customHeight="1">
      <c r="A37" s="966" t="str">
        <f>"ENERGÍA INTERRUMPIDA APROXIMADA POR TIPO DE EQUIPO (MWh)  -  "&amp;UPPER('1. Resumen'!Q4)&amp;" "&amp;'1. Resumen'!Q5</f>
        <v>ENERGÍA INTERRUMPIDA APROXIMADA POR TIPO DE EQUIPO (MWh)  -  SETIEMBRE 2019</v>
      </c>
      <c r="B37" s="966"/>
      <c r="C37" s="966"/>
      <c r="D37" s="966"/>
      <c r="E37" s="966"/>
      <c r="F37" s="966"/>
      <c r="G37" s="966"/>
      <c r="H37" s="966"/>
      <c r="I37" s="966"/>
      <c r="J37" s="966"/>
      <c r="K37" s="25"/>
      <c r="L37" s="217"/>
    </row>
    <row r="38" spans="1:12" ht="11.25" customHeight="1">
      <c r="A38" s="17"/>
      <c r="B38" s="132"/>
      <c r="C38" s="132"/>
      <c r="D38" s="132"/>
      <c r="E38" s="132"/>
      <c r="F38" s="132"/>
      <c r="G38" s="25"/>
      <c r="H38" s="25"/>
      <c r="I38" s="25"/>
      <c r="J38" s="25"/>
      <c r="K38" s="25"/>
      <c r="L38" s="217"/>
    </row>
    <row r="39" spans="1:12" ht="11.25" customHeight="1">
      <c r="A39" s="17"/>
      <c r="B39" s="132"/>
      <c r="C39" s="25"/>
      <c r="D39" s="25"/>
      <c r="E39" s="25"/>
      <c r="F39" s="25"/>
      <c r="G39" s="25"/>
      <c r="H39" s="25"/>
      <c r="I39" s="25"/>
      <c r="J39" s="25"/>
      <c r="K39" s="25"/>
      <c r="L39" s="217"/>
    </row>
    <row r="40" spans="1:12" ht="11.25" customHeight="1">
      <c r="A40" s="17"/>
      <c r="B40" s="132"/>
      <c r="C40" s="25"/>
      <c r="D40" s="25"/>
      <c r="E40" s="25"/>
      <c r="F40" s="25"/>
      <c r="G40" s="25"/>
      <c r="H40" s="25"/>
    </row>
    <row r="41" spans="1:12" ht="12.75">
      <c r="A41" s="17"/>
      <c r="B41" s="132"/>
      <c r="J41" s="25"/>
      <c r="K41" s="25"/>
      <c r="L41" s="217"/>
    </row>
    <row r="42" spans="1:12" ht="12.75">
      <c r="A42" s="17"/>
      <c r="B42" s="132"/>
      <c r="C42" s="132"/>
      <c r="D42" s="132"/>
      <c r="E42" s="132"/>
      <c r="F42" s="132"/>
      <c r="G42" s="25"/>
      <c r="H42" s="25"/>
      <c r="I42" s="25"/>
      <c r="J42" s="25"/>
      <c r="K42" s="25"/>
      <c r="L42" s="217"/>
    </row>
    <row r="43" spans="1:12" ht="3" customHeight="1">
      <c r="A43" s="17"/>
      <c r="B43" s="132"/>
      <c r="C43" s="132"/>
      <c r="D43" s="132"/>
      <c r="E43" s="132"/>
      <c r="F43" s="132"/>
      <c r="G43" s="25"/>
      <c r="H43" s="25"/>
      <c r="I43" s="25"/>
      <c r="J43" s="25"/>
      <c r="K43" s="25"/>
      <c r="L43" s="217"/>
    </row>
    <row r="44" spans="1:12" ht="12.75">
      <c r="A44" s="17"/>
      <c r="B44" s="132"/>
      <c r="C44" s="132"/>
      <c r="D44" s="132"/>
      <c r="E44" s="132"/>
      <c r="F44" s="132"/>
      <c r="G44" s="25"/>
      <c r="H44" s="25"/>
      <c r="I44" s="25"/>
      <c r="J44" s="25"/>
      <c r="K44" s="25"/>
      <c r="L44" s="217"/>
    </row>
    <row r="45" spans="1:12" ht="12.75">
      <c r="A45" s="17"/>
      <c r="B45" s="132"/>
      <c r="C45" s="132"/>
      <c r="D45" s="132"/>
      <c r="E45" s="132"/>
      <c r="F45" s="132"/>
      <c r="G45" s="25"/>
      <c r="H45" s="25"/>
      <c r="I45" s="25"/>
      <c r="J45" s="25"/>
      <c r="K45" s="25"/>
      <c r="L45" s="217"/>
    </row>
    <row r="46" spans="1:12" ht="12.75">
      <c r="A46" s="17"/>
      <c r="B46" s="132"/>
      <c r="C46" s="132"/>
      <c r="D46" s="132"/>
      <c r="E46" s="132"/>
      <c r="F46" s="132"/>
      <c r="G46" s="25"/>
      <c r="H46" s="25"/>
      <c r="I46" s="25"/>
      <c r="J46" s="25"/>
      <c r="K46" s="25"/>
      <c r="L46" s="217"/>
    </row>
    <row r="47" spans="1:12" ht="12.75">
      <c r="A47" s="163"/>
      <c r="B47" s="25"/>
      <c r="C47" s="25"/>
      <c r="D47" s="25"/>
      <c r="E47" s="25"/>
      <c r="F47" s="25"/>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12.75">
      <c r="A50" s="163"/>
      <c r="B50" s="25"/>
      <c r="C50" s="25"/>
      <c r="D50" s="25"/>
      <c r="E50" s="25"/>
      <c r="F50" s="25"/>
      <c r="G50" s="25"/>
      <c r="H50" s="25"/>
      <c r="I50" s="25"/>
      <c r="J50" s="25"/>
      <c r="K50" s="25"/>
      <c r="L50" s="217"/>
    </row>
    <row r="51" spans="1:12" ht="12.75">
      <c r="A51" s="163"/>
      <c r="B51" s="25"/>
      <c r="C51" s="25"/>
      <c r="D51" s="25"/>
      <c r="E51" s="25"/>
      <c r="F51" s="25"/>
      <c r="G51" s="25"/>
      <c r="H51" s="25"/>
      <c r="I51" s="25"/>
      <c r="J51" s="25"/>
      <c r="K51" s="25"/>
      <c r="L51" s="217"/>
    </row>
    <row r="52" spans="1:12" ht="9" customHeight="1">
      <c r="A52" s="163"/>
      <c r="B52" s="25"/>
      <c r="C52" s="25"/>
      <c r="D52" s="25"/>
      <c r="E52" s="25"/>
      <c r="F52" s="25"/>
      <c r="G52" s="25"/>
      <c r="H52" s="25"/>
      <c r="I52" s="25"/>
      <c r="J52" s="25"/>
      <c r="K52" s="25"/>
      <c r="L52" s="217"/>
    </row>
    <row r="53" spans="1:12">
      <c r="A53" s="277" t="str">
        <f>"Gráfico N°26: Comparación de la energía interrumpida aproximada por tipo de equipo en "&amp;'1. Resumen'!Q4&amp;" "&amp;'1. Resumen'!Q5</f>
        <v>Gráfico N°26: Comparación de la energía interrumpida aproximada por tipo de equipo en setiembre 2019</v>
      </c>
      <c r="B53" s="25"/>
      <c r="C53" s="25"/>
      <c r="D53" s="25"/>
      <c r="E53" s="25"/>
      <c r="F53" s="25"/>
      <c r="G53" s="25"/>
      <c r="H53" s="25"/>
      <c r="I53" s="25"/>
      <c r="J53" s="25"/>
      <c r="K53" s="25"/>
      <c r="L53" s="217"/>
    </row>
    <row r="54" spans="1:12" ht="5.25" customHeight="1">
      <c r="B54" s="25"/>
      <c r="C54" s="25"/>
      <c r="D54" s="25"/>
      <c r="E54" s="25"/>
      <c r="F54" s="25"/>
      <c r="G54" s="25"/>
      <c r="H54" s="25"/>
      <c r="I54" s="25"/>
      <c r="J54" s="25"/>
      <c r="K54" s="25"/>
      <c r="L54" s="217"/>
    </row>
    <row r="55" spans="1:12" ht="24" customHeight="1">
      <c r="A55" s="962" t="s">
        <v>211</v>
      </c>
      <c r="B55" s="962"/>
      <c r="C55" s="962"/>
      <c r="D55" s="962"/>
      <c r="E55" s="962"/>
      <c r="F55" s="962"/>
      <c r="G55" s="962"/>
      <c r="H55" s="962"/>
      <c r="I55" s="962"/>
      <c r="J55" s="962"/>
      <c r="K55" s="25"/>
      <c r="L55" s="217"/>
    </row>
    <row r="56" spans="1:12" ht="11.25" customHeight="1">
      <c r="A56" s="963" t="s">
        <v>212</v>
      </c>
      <c r="B56" s="963"/>
      <c r="C56" s="963"/>
      <c r="D56" s="963"/>
      <c r="E56" s="963"/>
      <c r="F56" s="963"/>
      <c r="G56" s="963"/>
      <c r="H56" s="963"/>
      <c r="I56" s="963"/>
      <c r="J56" s="963"/>
      <c r="K56" s="25"/>
      <c r="L56" s="217"/>
    </row>
    <row r="57" spans="1:12" ht="12.75">
      <c r="A57" s="163"/>
      <c r="B57" s="25"/>
      <c r="C57" s="25"/>
      <c r="D57" s="25"/>
      <c r="E57" s="25"/>
      <c r="F57" s="25"/>
      <c r="G57" s="25"/>
      <c r="H57" s="25"/>
      <c r="I57" s="25"/>
      <c r="J57" s="25"/>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C65" s="25"/>
      <c r="D65" s="25"/>
      <c r="E65" s="25"/>
      <c r="F65" s="25"/>
      <c r="G65" s="25"/>
      <c r="H65" s="25"/>
      <c r="I65" s="25"/>
      <c r="J65" s="25"/>
      <c r="K65" s="25"/>
      <c r="L65" s="217"/>
    </row>
    <row r="66" spans="1:12" ht="12.75">
      <c r="A66" s="163"/>
      <c r="B66" s="25"/>
      <c r="C66" s="25"/>
      <c r="D66" s="25"/>
      <c r="E66" s="25"/>
      <c r="F66" s="25"/>
      <c r="G66" s="25"/>
      <c r="H66" s="25"/>
      <c r="I66" s="25"/>
      <c r="J66" s="25"/>
      <c r="K66" s="25"/>
      <c r="L66" s="217"/>
    </row>
    <row r="67" spans="1:12" ht="12.75">
      <c r="A67" s="163"/>
      <c r="B67" s="25"/>
      <c r="J67" s="25"/>
      <c r="K67" s="25"/>
      <c r="L67" s="217"/>
    </row>
    <row r="68" spans="1:12" ht="12.75">
      <c r="A68" s="163"/>
      <c r="B68" s="25"/>
      <c r="J68" s="25"/>
      <c r="K68" s="25"/>
      <c r="L68" s="217"/>
    </row>
    <row r="69" spans="1:12" ht="12.75">
      <c r="A69" s="163"/>
      <c r="B69" s="25"/>
      <c r="J69" s="25"/>
      <c r="K69" s="25"/>
      <c r="L69" s="217"/>
    </row>
    <row r="70" spans="1:12" ht="12.75">
      <c r="A70" s="163"/>
      <c r="B70" s="25"/>
      <c r="J70" s="25"/>
      <c r="K70" s="25"/>
      <c r="L70" s="217"/>
    </row>
    <row r="71" spans="1:12">
      <c r="B71" s="217"/>
      <c r="C71" s="217"/>
      <c r="D71" s="217"/>
      <c r="E71" s="217"/>
      <c r="F71" s="217"/>
      <c r="G71" s="217"/>
      <c r="H71" s="217"/>
      <c r="I71" s="217"/>
      <c r="J71" s="217"/>
      <c r="K71" s="217"/>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row r="249" spans="2:12">
      <c r="B249" s="217"/>
      <c r="C249" s="217"/>
      <c r="D249" s="217"/>
      <c r="E249" s="217"/>
      <c r="F249" s="217"/>
      <c r="G249" s="217"/>
      <c r="H249" s="217"/>
      <c r="I249" s="217"/>
      <c r="J249" s="217"/>
      <c r="K249" s="217"/>
      <c r="L249" s="217"/>
    </row>
    <row r="250" spans="2:12">
      <c r="B250" s="217"/>
      <c r="C250" s="217"/>
      <c r="D250" s="217"/>
      <c r="E250" s="217"/>
      <c r="F250" s="217"/>
      <c r="G250" s="217"/>
      <c r="H250" s="217"/>
      <c r="I250" s="217"/>
      <c r="J250" s="217"/>
      <c r="K250" s="217"/>
      <c r="L250" s="217"/>
    </row>
  </sheetData>
  <mergeCells count="11">
    <mergeCell ref="A56:J56"/>
    <mergeCell ref="A34:C34"/>
    <mergeCell ref="A16:D16"/>
    <mergeCell ref="E16:J16"/>
    <mergeCell ref="A37:J37"/>
    <mergeCell ref="E34:J34"/>
    <mergeCell ref="A5:A6"/>
    <mergeCell ref="A2:J2"/>
    <mergeCell ref="A4:J4"/>
    <mergeCell ref="A13:J13"/>
    <mergeCell ref="A55:J5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115" zoomScaleNormal="130" zoomScaleSheetLayoutView="115" zoomScalePageLayoutView="130" workbookViewId="0">
      <selection activeCell="P22" sqref="P22"/>
    </sheetView>
  </sheetViews>
  <sheetFormatPr defaultColWidth="9.33203125" defaultRowHeight="11.25"/>
  <cols>
    <col min="8" max="10" width="11.1640625" customWidth="1"/>
    <col min="11" max="11" width="12.5" customWidth="1"/>
    <col min="12" max="12" width="9.33203125" customWidth="1"/>
  </cols>
  <sheetData>
    <row r="3" spans="1:12">
      <c r="A3" s="868" t="s">
        <v>0</v>
      </c>
      <c r="B3" s="868"/>
      <c r="C3" s="868"/>
      <c r="D3" s="868"/>
      <c r="E3" s="868"/>
      <c r="F3" s="868"/>
      <c r="G3" s="868"/>
      <c r="H3" s="868"/>
      <c r="I3" s="868"/>
      <c r="J3" s="868"/>
      <c r="K3" s="868"/>
      <c r="L3" s="868"/>
    </row>
    <row r="4" spans="1:12">
      <c r="A4" s="868"/>
      <c r="B4" s="868"/>
      <c r="C4" s="868"/>
      <c r="D4" s="868"/>
      <c r="E4" s="868"/>
      <c r="F4" s="868"/>
      <c r="G4" s="868"/>
      <c r="H4" s="868"/>
      <c r="I4" s="868"/>
      <c r="J4" s="868"/>
      <c r="K4" s="868"/>
      <c r="L4" s="868"/>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461</v>
      </c>
      <c r="B7" s="219"/>
      <c r="C7" s="25"/>
      <c r="D7" s="25"/>
      <c r="E7" s="25"/>
      <c r="F7" s="25"/>
      <c r="G7" s="25"/>
      <c r="H7" s="25"/>
      <c r="I7" s="25"/>
      <c r="J7" s="25"/>
      <c r="K7" s="25"/>
      <c r="L7" s="25"/>
    </row>
    <row r="8" spans="1:12" ht="17.25" customHeight="1">
      <c r="A8" s="25"/>
      <c r="B8" s="25" t="s">
        <v>609</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554</v>
      </c>
      <c r="B10" s="219"/>
      <c r="C10" s="25"/>
      <c r="D10" s="25"/>
      <c r="E10" s="25"/>
      <c r="F10" s="25"/>
      <c r="G10" s="25"/>
      <c r="H10" s="25"/>
      <c r="I10" s="25"/>
      <c r="J10" s="25"/>
      <c r="K10" s="25"/>
      <c r="L10" s="22"/>
    </row>
    <row r="11" spans="1:12" ht="19.5" customHeight="1">
      <c r="A11" s="27"/>
      <c r="B11" s="25" t="s">
        <v>571</v>
      </c>
      <c r="C11" s="25"/>
      <c r="D11" s="25"/>
      <c r="E11" s="25"/>
      <c r="F11" s="21"/>
      <c r="G11" s="21"/>
      <c r="H11" s="21"/>
      <c r="I11" s="21"/>
      <c r="J11" s="21"/>
      <c r="K11" s="21"/>
      <c r="L11" s="22" t="s">
        <v>2</v>
      </c>
    </row>
    <row r="12" spans="1:12" ht="19.5" customHeight="1">
      <c r="A12" s="27"/>
      <c r="B12" s="25" t="s">
        <v>440</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453</v>
      </c>
      <c r="B14" s="25"/>
      <c r="C14" s="25"/>
      <c r="D14" s="25"/>
      <c r="E14" s="25"/>
      <c r="F14" s="25"/>
      <c r="G14" s="25"/>
      <c r="H14" s="25"/>
      <c r="I14" s="25"/>
      <c r="J14" s="25"/>
      <c r="K14" s="25"/>
      <c r="L14" s="22"/>
    </row>
    <row r="15" spans="1:12" ht="19.5" customHeight="1">
      <c r="A15" s="27"/>
      <c r="B15" s="25" t="s">
        <v>429</v>
      </c>
      <c r="C15" s="25"/>
      <c r="D15" s="25"/>
      <c r="E15" s="25"/>
      <c r="F15" s="21"/>
      <c r="G15" s="21"/>
      <c r="H15" s="21"/>
      <c r="I15" s="21"/>
      <c r="J15" s="21"/>
      <c r="K15" s="21"/>
      <c r="L15" s="22" t="s">
        <v>3</v>
      </c>
    </row>
    <row r="16" spans="1:12" ht="19.5" customHeight="1">
      <c r="A16" s="27"/>
      <c r="B16" s="25" t="s">
        <v>438</v>
      </c>
      <c r="C16" s="25"/>
      <c r="D16" s="25"/>
      <c r="E16" s="25"/>
      <c r="F16" s="25"/>
      <c r="G16" s="21"/>
      <c r="H16" s="21"/>
      <c r="I16" s="21"/>
      <c r="J16" s="21"/>
      <c r="K16" s="21"/>
      <c r="L16" s="22" t="s">
        <v>4</v>
      </c>
    </row>
    <row r="17" spans="1:12" ht="19.5" customHeight="1">
      <c r="A17" s="27"/>
      <c r="B17" s="25" t="s">
        <v>430</v>
      </c>
      <c r="C17" s="25"/>
      <c r="D17" s="25"/>
      <c r="E17" s="25"/>
      <c r="F17" s="25"/>
      <c r="G17" s="21"/>
      <c r="H17" s="21"/>
      <c r="I17" s="21"/>
      <c r="J17" s="21"/>
      <c r="K17" s="21"/>
      <c r="L17" s="22" t="s">
        <v>5</v>
      </c>
    </row>
    <row r="18" spans="1:12" ht="19.5" customHeight="1">
      <c r="A18" s="27"/>
      <c r="B18" s="25" t="s">
        <v>431</v>
      </c>
      <c r="C18" s="25"/>
      <c r="D18" s="25"/>
      <c r="E18" s="25"/>
      <c r="F18" s="21"/>
      <c r="G18" s="21"/>
      <c r="H18" s="21"/>
      <c r="I18" s="21"/>
      <c r="J18" s="21"/>
      <c r="K18" s="21"/>
      <c r="L18" s="22" t="s">
        <v>6</v>
      </c>
    </row>
    <row r="19" spans="1:12" ht="19.5" customHeight="1">
      <c r="A19" s="27"/>
      <c r="B19" s="25" t="s">
        <v>432</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452</v>
      </c>
      <c r="B21" s="25"/>
      <c r="C21" s="25"/>
      <c r="D21" s="25"/>
      <c r="E21" s="25"/>
      <c r="F21" s="25"/>
      <c r="G21" s="25"/>
      <c r="H21" s="25"/>
      <c r="I21" s="25"/>
      <c r="J21" s="25"/>
      <c r="K21" s="25"/>
      <c r="L21" s="30"/>
    </row>
    <row r="22" spans="1:12" ht="19.5" customHeight="1">
      <c r="A22" s="25"/>
      <c r="B22" s="25" t="s">
        <v>454</v>
      </c>
      <c r="C22" s="25"/>
      <c r="D22" s="25"/>
      <c r="E22" s="25"/>
      <c r="F22" s="25"/>
      <c r="G22" s="21"/>
      <c r="H22" s="21"/>
      <c r="I22" s="21"/>
      <c r="J22" s="21"/>
      <c r="K22" s="21"/>
      <c r="L22" s="22" t="s">
        <v>9</v>
      </c>
    </row>
    <row r="23" spans="1:12" ht="19.5" customHeight="1">
      <c r="A23" s="31"/>
      <c r="B23" s="25" t="s">
        <v>543</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263</v>
      </c>
      <c r="B25" s="25"/>
      <c r="C25" s="25"/>
      <c r="D25" s="25"/>
      <c r="E25" s="25"/>
      <c r="F25" s="25"/>
      <c r="G25" s="25"/>
      <c r="H25" s="25"/>
      <c r="I25" s="25"/>
      <c r="J25" s="25"/>
      <c r="K25" s="25"/>
      <c r="L25" s="30"/>
    </row>
    <row r="26" spans="1:12" ht="19.5" customHeight="1">
      <c r="A26" s="25"/>
      <c r="B26" s="25" t="s">
        <v>456</v>
      </c>
      <c r="C26" s="25"/>
      <c r="D26" s="25"/>
      <c r="E26" s="25"/>
      <c r="F26" s="21"/>
      <c r="G26" s="21"/>
      <c r="H26" s="21"/>
      <c r="I26" s="21"/>
      <c r="J26" s="21"/>
      <c r="K26" s="33"/>
      <c r="L26" s="22" t="s">
        <v>11</v>
      </c>
    </row>
    <row r="27" spans="1:12" ht="19.5" customHeight="1">
      <c r="A27" s="25"/>
      <c r="B27" s="25" t="s">
        <v>433</v>
      </c>
      <c r="C27" s="25"/>
      <c r="D27" s="25"/>
      <c r="E27" s="25"/>
      <c r="F27" s="25"/>
      <c r="G27" s="21"/>
      <c r="H27" s="21"/>
      <c r="I27" s="21"/>
      <c r="J27" s="21"/>
      <c r="K27" s="33"/>
      <c r="L27" s="22" t="s">
        <v>11</v>
      </c>
    </row>
    <row r="28" spans="1:12" ht="19.5" customHeight="1">
      <c r="A28" s="31"/>
      <c r="B28" s="25" t="s">
        <v>455</v>
      </c>
      <c r="C28" s="25"/>
      <c r="D28" s="25"/>
      <c r="E28" s="25"/>
      <c r="F28" s="21"/>
      <c r="G28" s="21"/>
      <c r="H28" s="33"/>
      <c r="I28" s="33"/>
      <c r="J28" s="33"/>
      <c r="K28" s="33"/>
      <c r="L28" s="22" t="s">
        <v>12</v>
      </c>
    </row>
    <row r="29" spans="1:12" ht="19.5" customHeight="1">
      <c r="A29" s="31"/>
      <c r="B29" s="25" t="s">
        <v>439</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445</v>
      </c>
      <c r="B31" s="25"/>
      <c r="C31" s="25"/>
      <c r="D31" s="25"/>
      <c r="E31" s="25"/>
      <c r="F31" s="25"/>
      <c r="G31" s="25"/>
      <c r="H31" s="25"/>
      <c r="I31" s="25"/>
      <c r="J31" s="25"/>
      <c r="K31" s="25"/>
      <c r="L31" s="22"/>
    </row>
    <row r="32" spans="1:12" ht="19.5" customHeight="1">
      <c r="A32" s="31"/>
      <c r="B32" s="25" t="s">
        <v>457</v>
      </c>
      <c r="C32" s="25"/>
      <c r="D32" s="25"/>
      <c r="E32" s="25"/>
      <c r="F32" s="25"/>
      <c r="G32" s="21"/>
      <c r="H32" s="21"/>
      <c r="I32" s="21"/>
      <c r="J32" s="21"/>
      <c r="K32" s="21"/>
      <c r="L32" s="22" t="s">
        <v>13</v>
      </c>
    </row>
    <row r="33" spans="1:12" ht="19.5" customHeight="1">
      <c r="A33" s="31"/>
      <c r="B33" s="25" t="s">
        <v>434</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435</v>
      </c>
      <c r="B35" s="26"/>
      <c r="C35" s="32"/>
      <c r="D35" s="26"/>
      <c r="E35" s="26"/>
      <c r="F35" s="26"/>
      <c r="G35" s="26"/>
      <c r="H35" s="26"/>
      <c r="I35" s="26"/>
      <c r="J35" s="26"/>
      <c r="K35" s="26"/>
      <c r="L35" s="22"/>
    </row>
    <row r="36" spans="1:12" ht="19.5" customHeight="1">
      <c r="A36" s="27"/>
      <c r="B36" s="25" t="s">
        <v>458</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436</v>
      </c>
      <c r="B38" s="35"/>
      <c r="C38" s="25"/>
      <c r="D38" s="25"/>
      <c r="E38" s="25"/>
      <c r="F38" s="25"/>
      <c r="G38" s="25"/>
      <c r="H38" s="25"/>
      <c r="I38" s="25"/>
      <c r="J38" s="25"/>
      <c r="K38" s="25"/>
      <c r="L38" s="38"/>
    </row>
    <row r="39" spans="1:12" ht="19.5" customHeight="1">
      <c r="A39" s="27"/>
      <c r="B39" s="25" t="s">
        <v>437</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213</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459</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Mensual-Setiembre 2019
INFSGI-MES-09-2019
11/10/2019
Versión: 01</oddHeader>
    <oddFooter>&amp;LCOES, 2019&amp;RDirección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78"/>
  <sheetViews>
    <sheetView showGridLines="0" view="pageBreakPreview" zoomScale="115" zoomScaleNormal="100" zoomScaleSheetLayoutView="115" zoomScalePageLayoutView="140" workbookViewId="0"/>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9" t="s">
        <v>286</v>
      </c>
      <c r="B1" s="278"/>
      <c r="C1" s="278"/>
      <c r="D1" s="278"/>
      <c r="E1" s="278"/>
      <c r="F1" s="278"/>
      <c r="G1" s="278"/>
    </row>
    <row r="2" spans="1:8" ht="14.25" customHeight="1">
      <c r="A2" s="968" t="s">
        <v>261</v>
      </c>
      <c r="B2" s="971" t="s">
        <v>55</v>
      </c>
      <c r="C2" s="974" t="str">
        <f>"ENERGÍA PRODUCIDA "&amp;UPPER('1. Resumen'!Q4)&amp;" "&amp;'1. Resumen'!Q5</f>
        <v>ENERGÍA PRODUCIDA SETIEMBRE 2019</v>
      </c>
      <c r="D2" s="974"/>
      <c r="E2" s="974"/>
      <c r="F2" s="974"/>
      <c r="G2" s="693" t="s">
        <v>287</v>
      </c>
      <c r="H2" s="203"/>
    </row>
    <row r="3" spans="1:8" ht="11.25" customHeight="1">
      <c r="A3" s="969"/>
      <c r="B3" s="972"/>
      <c r="C3" s="975" t="s">
        <v>288</v>
      </c>
      <c r="D3" s="975"/>
      <c r="E3" s="975"/>
      <c r="F3" s="976" t="str">
        <f>"TOTAL 
"&amp;UPPER('1. Resumen'!Q4)</f>
        <v>TOTAL 
SETIEMBRE</v>
      </c>
      <c r="G3" s="694" t="s">
        <v>289</v>
      </c>
      <c r="H3" s="194"/>
    </row>
    <row r="4" spans="1:8" ht="12.75" customHeight="1">
      <c r="A4" s="969"/>
      <c r="B4" s="972"/>
      <c r="C4" s="683" t="s">
        <v>222</v>
      </c>
      <c r="D4" s="683" t="s">
        <v>223</v>
      </c>
      <c r="E4" s="683" t="s">
        <v>290</v>
      </c>
      <c r="F4" s="977"/>
      <c r="G4" s="694">
        <v>2019</v>
      </c>
      <c r="H4" s="196"/>
    </row>
    <row r="5" spans="1:8" ht="11.25" customHeight="1">
      <c r="A5" s="970"/>
      <c r="B5" s="973"/>
      <c r="C5" s="684" t="s">
        <v>291</v>
      </c>
      <c r="D5" s="684" t="s">
        <v>291</v>
      </c>
      <c r="E5" s="684" t="s">
        <v>291</v>
      </c>
      <c r="F5" s="684" t="s">
        <v>291</v>
      </c>
      <c r="G5" s="695" t="s">
        <v>210</v>
      </c>
      <c r="H5" s="196"/>
    </row>
    <row r="6" spans="1:8" ht="9.75" customHeight="1">
      <c r="A6" s="765" t="s">
        <v>122</v>
      </c>
      <c r="B6" s="461" t="s">
        <v>87</v>
      </c>
      <c r="C6" s="462"/>
      <c r="D6" s="462"/>
      <c r="E6" s="462">
        <v>0</v>
      </c>
      <c r="F6" s="462">
        <v>0</v>
      </c>
      <c r="G6" s="761">
        <v>28416.323984999999</v>
      </c>
      <c r="H6" s="196"/>
    </row>
    <row r="7" spans="1:8" ht="9.75" customHeight="1">
      <c r="A7" s="745" t="s">
        <v>292</v>
      </c>
      <c r="B7" s="561"/>
      <c r="C7" s="562"/>
      <c r="D7" s="562"/>
      <c r="E7" s="562">
        <v>0</v>
      </c>
      <c r="F7" s="562">
        <v>0</v>
      </c>
      <c r="G7" s="750">
        <v>28416.323984999999</v>
      </c>
      <c r="H7" s="196"/>
    </row>
    <row r="8" spans="1:8" ht="9.75" customHeight="1">
      <c r="A8" s="765" t="s">
        <v>121</v>
      </c>
      <c r="B8" s="461" t="s">
        <v>64</v>
      </c>
      <c r="C8" s="462"/>
      <c r="D8" s="462"/>
      <c r="E8" s="462">
        <v>2249.6731325000001</v>
      </c>
      <c r="F8" s="462">
        <v>2249.6731325000001</v>
      </c>
      <c r="G8" s="761">
        <v>79917.802065000011</v>
      </c>
      <c r="H8" s="196"/>
    </row>
    <row r="9" spans="1:8" ht="9.75" customHeight="1">
      <c r="A9" s="745" t="s">
        <v>293</v>
      </c>
      <c r="B9" s="561"/>
      <c r="C9" s="562"/>
      <c r="D9" s="562"/>
      <c r="E9" s="562">
        <v>2249.6731325000001</v>
      </c>
      <c r="F9" s="562">
        <v>2249.6731325000001</v>
      </c>
      <c r="G9" s="750">
        <v>79917.802065000011</v>
      </c>
      <c r="H9" s="196"/>
    </row>
    <row r="10" spans="1:8" ht="9.75" customHeight="1">
      <c r="A10" s="743" t="s">
        <v>107</v>
      </c>
      <c r="B10" s="686" t="s">
        <v>84</v>
      </c>
      <c r="C10" s="687"/>
      <c r="D10" s="687"/>
      <c r="E10" s="687">
        <v>9854.4132575000003</v>
      </c>
      <c r="F10" s="687">
        <v>9854.4132575000003</v>
      </c>
      <c r="G10" s="749">
        <v>70635.218402500002</v>
      </c>
      <c r="H10" s="196"/>
    </row>
    <row r="11" spans="1:8" ht="9.75" customHeight="1">
      <c r="A11" s="745" t="s">
        <v>294</v>
      </c>
      <c r="B11" s="561"/>
      <c r="C11" s="562"/>
      <c r="D11" s="562"/>
      <c r="E11" s="562">
        <v>9854.4132575000003</v>
      </c>
      <c r="F11" s="562">
        <v>9854.4132575000003</v>
      </c>
      <c r="G11" s="750">
        <v>70635.218402500002</v>
      </c>
      <c r="H11" s="196"/>
    </row>
    <row r="12" spans="1:8" ht="9.75" customHeight="1">
      <c r="A12" s="743" t="s">
        <v>490</v>
      </c>
      <c r="B12" s="686" t="s">
        <v>494</v>
      </c>
      <c r="C12" s="687"/>
      <c r="D12" s="687"/>
      <c r="E12" s="687">
        <v>8986.3658925</v>
      </c>
      <c r="F12" s="687">
        <v>8986.3658925</v>
      </c>
      <c r="G12" s="749">
        <v>86186.040537499968</v>
      </c>
      <c r="H12" s="196"/>
    </row>
    <row r="13" spans="1:8" ht="9.75" customHeight="1">
      <c r="A13" s="745" t="s">
        <v>491</v>
      </c>
      <c r="B13" s="561"/>
      <c r="C13" s="562"/>
      <c r="D13" s="562"/>
      <c r="E13" s="562">
        <v>8986.3658925</v>
      </c>
      <c r="F13" s="562">
        <v>8986.3658925</v>
      </c>
      <c r="G13" s="750">
        <v>86186.040537499968</v>
      </c>
      <c r="H13" s="196"/>
    </row>
    <row r="14" spans="1:8" ht="9.75" customHeight="1">
      <c r="A14" s="743" t="s">
        <v>95</v>
      </c>
      <c r="B14" s="686" t="s">
        <v>295</v>
      </c>
      <c r="C14" s="687">
        <v>57352.166004999999</v>
      </c>
      <c r="D14" s="687"/>
      <c r="E14" s="687"/>
      <c r="F14" s="687">
        <v>57352.166004999999</v>
      </c>
      <c r="G14" s="749">
        <v>906692.36837000004</v>
      </c>
      <c r="H14" s="196"/>
    </row>
    <row r="15" spans="1:8" ht="9.75" customHeight="1">
      <c r="A15" s="745" t="s">
        <v>296</v>
      </c>
      <c r="B15" s="561"/>
      <c r="C15" s="562">
        <v>57352.166004999999</v>
      </c>
      <c r="D15" s="562"/>
      <c r="E15" s="562"/>
      <c r="F15" s="562">
        <v>57352.166004999999</v>
      </c>
      <c r="G15" s="750">
        <v>906692.36837000004</v>
      </c>
      <c r="H15" s="196"/>
    </row>
    <row r="16" spans="1:8" ht="10.5" customHeight="1">
      <c r="A16" s="743" t="s">
        <v>247</v>
      </c>
      <c r="B16" s="686" t="s">
        <v>297</v>
      </c>
      <c r="C16" s="687"/>
      <c r="D16" s="687">
        <v>0</v>
      </c>
      <c r="E16" s="687"/>
      <c r="F16" s="687">
        <v>0</v>
      </c>
      <c r="G16" s="749">
        <v>2.2500000000000001E-5</v>
      </c>
      <c r="H16" s="196"/>
    </row>
    <row r="17" spans="1:8" ht="10.5" customHeight="1">
      <c r="A17" s="745" t="s">
        <v>298</v>
      </c>
      <c r="B17" s="561"/>
      <c r="C17" s="562"/>
      <c r="D17" s="562">
        <v>0</v>
      </c>
      <c r="E17" s="562"/>
      <c r="F17" s="562">
        <v>0</v>
      </c>
      <c r="G17" s="750">
        <v>2.2500000000000001E-5</v>
      </c>
      <c r="H17" s="196"/>
    </row>
    <row r="18" spans="1:8" ht="9.75" customHeight="1">
      <c r="A18" s="743" t="s">
        <v>94</v>
      </c>
      <c r="B18" s="686" t="s">
        <v>299</v>
      </c>
      <c r="C18" s="687">
        <v>29011.298817499999</v>
      </c>
      <c r="D18" s="687"/>
      <c r="E18" s="687"/>
      <c r="F18" s="687">
        <v>29011.298817499999</v>
      </c>
      <c r="G18" s="749">
        <v>564275.2111099998</v>
      </c>
      <c r="H18" s="196"/>
    </row>
    <row r="19" spans="1:8" ht="9.75" customHeight="1">
      <c r="A19" s="743"/>
      <c r="B19" s="686" t="s">
        <v>300</v>
      </c>
      <c r="C19" s="687">
        <v>6750.1337649999996</v>
      </c>
      <c r="D19" s="687"/>
      <c r="E19" s="687"/>
      <c r="F19" s="687">
        <v>6750.1337649999996</v>
      </c>
      <c r="G19" s="749">
        <v>172649.1330400001</v>
      </c>
      <c r="H19" s="196"/>
    </row>
    <row r="20" spans="1:8" ht="9.75" customHeight="1">
      <c r="A20" s="745" t="s">
        <v>301</v>
      </c>
      <c r="B20" s="561"/>
      <c r="C20" s="562">
        <v>35761.432582499998</v>
      </c>
      <c r="D20" s="562"/>
      <c r="E20" s="562"/>
      <c r="F20" s="562">
        <v>35761.432582499998</v>
      </c>
      <c r="G20" s="750">
        <v>736924.3441499999</v>
      </c>
      <c r="H20" s="196"/>
    </row>
    <row r="21" spans="1:8" ht="9.75" customHeight="1">
      <c r="A21" s="743" t="s">
        <v>92</v>
      </c>
      <c r="B21" s="686" t="s">
        <v>302</v>
      </c>
      <c r="C21" s="687">
        <v>1162.8326500000001</v>
      </c>
      <c r="D21" s="687"/>
      <c r="E21" s="687"/>
      <c r="F21" s="687">
        <v>1162.8326500000001</v>
      </c>
      <c r="G21" s="749">
        <v>10728.237715000005</v>
      </c>
      <c r="H21" s="196"/>
    </row>
    <row r="22" spans="1:8" ht="9.75" customHeight="1">
      <c r="A22" s="743"/>
      <c r="B22" s="686" t="s">
        <v>303</v>
      </c>
      <c r="C22" s="687">
        <v>413.9918275</v>
      </c>
      <c r="D22" s="687"/>
      <c r="E22" s="687"/>
      <c r="F22" s="687">
        <v>413.9918275</v>
      </c>
      <c r="G22" s="749">
        <v>3631.3699749999996</v>
      </c>
      <c r="H22" s="196"/>
    </row>
    <row r="23" spans="1:8" ht="9.75" customHeight="1">
      <c r="A23" s="743"/>
      <c r="B23" s="686" t="s">
        <v>304</v>
      </c>
      <c r="C23" s="687">
        <v>3284.4659299999998</v>
      </c>
      <c r="D23" s="687"/>
      <c r="E23" s="687"/>
      <c r="F23" s="687">
        <v>3284.4659299999998</v>
      </c>
      <c r="G23" s="749">
        <v>29249.777782500001</v>
      </c>
      <c r="H23" s="196"/>
    </row>
    <row r="24" spans="1:8" ht="9.75" customHeight="1">
      <c r="A24" s="743"/>
      <c r="B24" s="686" t="s">
        <v>305</v>
      </c>
      <c r="C24" s="687">
        <v>8357.9531224999992</v>
      </c>
      <c r="D24" s="687"/>
      <c r="E24" s="687"/>
      <c r="F24" s="687">
        <v>8357.9531224999992</v>
      </c>
      <c r="G24" s="749">
        <v>76829.617357500014</v>
      </c>
      <c r="H24" s="196"/>
    </row>
    <row r="25" spans="1:8" ht="9.75" customHeight="1">
      <c r="A25" s="743"/>
      <c r="B25" s="686" t="s">
        <v>306</v>
      </c>
      <c r="C25" s="687">
        <v>52136.685719999994</v>
      </c>
      <c r="D25" s="687"/>
      <c r="E25" s="687"/>
      <c r="F25" s="687">
        <v>52136.685719999994</v>
      </c>
      <c r="G25" s="749">
        <v>559502.95168249996</v>
      </c>
      <c r="H25" s="196"/>
    </row>
    <row r="26" spans="1:8" ht="9.75" customHeight="1">
      <c r="A26" s="743"/>
      <c r="B26" s="686" t="s">
        <v>307</v>
      </c>
      <c r="C26" s="687">
        <v>5202.3245649999999</v>
      </c>
      <c r="D26" s="687"/>
      <c r="E26" s="687"/>
      <c r="F26" s="687">
        <v>5202.3245649999999</v>
      </c>
      <c r="G26" s="749">
        <v>46356.616867499994</v>
      </c>
      <c r="H26" s="196"/>
    </row>
    <row r="27" spans="1:8" ht="9.75" customHeight="1">
      <c r="A27" s="743"/>
      <c r="B27" s="686" t="s">
        <v>308</v>
      </c>
      <c r="C27" s="687"/>
      <c r="D27" s="687">
        <v>169.91392999999999</v>
      </c>
      <c r="E27" s="687"/>
      <c r="F27" s="687">
        <v>169.91392999999999</v>
      </c>
      <c r="G27" s="749">
        <v>316.05483999999996</v>
      </c>
      <c r="H27" s="196"/>
    </row>
    <row r="28" spans="1:8" ht="9.75" customHeight="1">
      <c r="A28" s="743"/>
      <c r="B28" s="686" t="s">
        <v>309</v>
      </c>
      <c r="C28" s="687"/>
      <c r="D28" s="687">
        <v>179.69910499999997</v>
      </c>
      <c r="E28" s="687"/>
      <c r="F28" s="687">
        <v>179.69910499999997</v>
      </c>
      <c r="G28" s="749">
        <v>293.71182999999996</v>
      </c>
      <c r="H28" s="196"/>
    </row>
    <row r="29" spans="1:8" ht="9.75" customHeight="1">
      <c r="A29" s="743"/>
      <c r="B29" s="686" t="s">
        <v>310</v>
      </c>
      <c r="C29" s="687"/>
      <c r="D29" s="687">
        <v>0</v>
      </c>
      <c r="E29" s="687"/>
      <c r="F29" s="687">
        <v>0</v>
      </c>
      <c r="G29" s="749">
        <v>30953.393329999999</v>
      </c>
      <c r="H29" s="196"/>
    </row>
    <row r="30" spans="1:8" ht="9.75" customHeight="1">
      <c r="A30" s="745" t="s">
        <v>311</v>
      </c>
      <c r="B30" s="561"/>
      <c r="C30" s="562">
        <v>70558.253814999989</v>
      </c>
      <c r="D30" s="562">
        <v>349.61303499999997</v>
      </c>
      <c r="E30" s="562"/>
      <c r="F30" s="562">
        <v>70907.866849999991</v>
      </c>
      <c r="G30" s="750">
        <v>757861.73138000001</v>
      </c>
      <c r="H30" s="196"/>
    </row>
    <row r="31" spans="1:8" ht="9.75" customHeight="1">
      <c r="A31" s="743" t="s">
        <v>115</v>
      </c>
      <c r="B31" s="686" t="s">
        <v>71</v>
      </c>
      <c r="C31" s="687"/>
      <c r="D31" s="687"/>
      <c r="E31" s="687">
        <v>3222.4154575000002</v>
      </c>
      <c r="F31" s="687">
        <v>3222.4154575000002</v>
      </c>
      <c r="G31" s="749">
        <v>25432.893187499998</v>
      </c>
      <c r="H31" s="196"/>
    </row>
    <row r="32" spans="1:8" ht="9.75" customHeight="1">
      <c r="A32" s="745" t="s">
        <v>312</v>
      </c>
      <c r="B32" s="561"/>
      <c r="C32" s="562"/>
      <c r="D32" s="562"/>
      <c r="E32" s="562">
        <v>3222.4154575000002</v>
      </c>
      <c r="F32" s="562">
        <v>3222.4154575000002</v>
      </c>
      <c r="G32" s="750">
        <v>25432.893187499998</v>
      </c>
      <c r="H32" s="196"/>
    </row>
    <row r="33" spans="1:8" ht="9.75" customHeight="1">
      <c r="A33" s="743" t="s">
        <v>93</v>
      </c>
      <c r="B33" s="686" t="s">
        <v>313</v>
      </c>
      <c r="C33" s="687">
        <v>68187.194457499994</v>
      </c>
      <c r="D33" s="687"/>
      <c r="E33" s="687"/>
      <c r="F33" s="687">
        <v>68187.194457499994</v>
      </c>
      <c r="G33" s="749">
        <v>928868.70762</v>
      </c>
      <c r="H33" s="196"/>
    </row>
    <row r="34" spans="1:8" ht="9.75" customHeight="1">
      <c r="A34" s="745" t="s">
        <v>314</v>
      </c>
      <c r="B34" s="561"/>
      <c r="C34" s="562">
        <v>68187.194457499994</v>
      </c>
      <c r="D34" s="562"/>
      <c r="E34" s="562"/>
      <c r="F34" s="562">
        <v>68187.194457499994</v>
      </c>
      <c r="G34" s="750">
        <v>928868.70762</v>
      </c>
      <c r="H34" s="196"/>
    </row>
    <row r="35" spans="1:8" ht="9.75" customHeight="1">
      <c r="A35" s="743" t="s">
        <v>102</v>
      </c>
      <c r="B35" s="686" t="s">
        <v>315</v>
      </c>
      <c r="C35" s="687">
        <v>5125.9529999999995</v>
      </c>
      <c r="D35" s="687"/>
      <c r="E35" s="687"/>
      <c r="F35" s="687">
        <v>5125.9529999999995</v>
      </c>
      <c r="G35" s="749">
        <v>46442.725500000008</v>
      </c>
      <c r="H35" s="196"/>
    </row>
    <row r="36" spans="1:8" ht="9.75" customHeight="1">
      <c r="A36" s="743"/>
      <c r="B36" s="686" t="s">
        <v>316</v>
      </c>
      <c r="C36" s="687">
        <v>3505.5884999999998</v>
      </c>
      <c r="D36" s="687"/>
      <c r="E36" s="687"/>
      <c r="F36" s="687">
        <v>3505.5884999999998</v>
      </c>
      <c r="G36" s="749">
        <v>32099.994000000006</v>
      </c>
      <c r="H36" s="196"/>
    </row>
    <row r="37" spans="1:8" ht="9.75" customHeight="1">
      <c r="A37" s="743"/>
      <c r="B37" s="686" t="s">
        <v>317</v>
      </c>
      <c r="C37" s="687"/>
      <c r="D37" s="687">
        <v>49.457857499999996</v>
      </c>
      <c r="E37" s="687"/>
      <c r="F37" s="687">
        <v>49.457857499999996</v>
      </c>
      <c r="G37" s="749">
        <v>57372.974369999996</v>
      </c>
      <c r="H37" s="196"/>
    </row>
    <row r="38" spans="1:8" ht="9.75" customHeight="1">
      <c r="A38" s="745" t="s">
        <v>318</v>
      </c>
      <c r="B38" s="561"/>
      <c r="C38" s="562">
        <v>8631.5414999999994</v>
      </c>
      <c r="D38" s="562">
        <v>49.457857499999996</v>
      </c>
      <c r="E38" s="562"/>
      <c r="F38" s="562">
        <v>8680.999357499999</v>
      </c>
      <c r="G38" s="750">
        <v>135915.69387000002</v>
      </c>
      <c r="H38" s="196"/>
    </row>
    <row r="39" spans="1:8" ht="19.5" customHeight="1">
      <c r="A39" s="758" t="s">
        <v>736</v>
      </c>
      <c r="B39" s="686" t="s">
        <v>76</v>
      </c>
      <c r="C39" s="687"/>
      <c r="D39" s="687"/>
      <c r="E39" s="687">
        <v>159.82693750000001</v>
      </c>
      <c r="F39" s="687">
        <v>159.82693750000001</v>
      </c>
      <c r="G39" s="749">
        <v>1434.0888775000001</v>
      </c>
      <c r="H39" s="196"/>
    </row>
    <row r="40" spans="1:8" ht="20.25" customHeight="1">
      <c r="A40" s="849" t="s">
        <v>600</v>
      </c>
      <c r="B40" s="561"/>
      <c r="C40" s="562"/>
      <c r="D40" s="562"/>
      <c r="E40" s="562">
        <v>159.82693750000001</v>
      </c>
      <c r="F40" s="562">
        <v>159.82693750000001</v>
      </c>
      <c r="G40" s="750">
        <v>1434.0888775000001</v>
      </c>
      <c r="H40" s="196"/>
    </row>
    <row r="41" spans="1:8" ht="9.75" customHeight="1">
      <c r="A41" s="743" t="s">
        <v>116</v>
      </c>
      <c r="B41" s="686" t="s">
        <v>74</v>
      </c>
      <c r="C41" s="687"/>
      <c r="D41" s="687"/>
      <c r="E41" s="687">
        <v>1388.22505</v>
      </c>
      <c r="F41" s="687">
        <v>1388.22505</v>
      </c>
      <c r="G41" s="749">
        <v>16765.132857499993</v>
      </c>
      <c r="H41" s="196"/>
    </row>
    <row r="42" spans="1:8" ht="9.75" customHeight="1">
      <c r="A42" s="745" t="s">
        <v>319</v>
      </c>
      <c r="B42" s="561"/>
      <c r="C42" s="562"/>
      <c r="D42" s="562"/>
      <c r="E42" s="562">
        <v>1388.22505</v>
      </c>
      <c r="F42" s="562">
        <v>1388.22505</v>
      </c>
      <c r="G42" s="750">
        <v>16765.132857499993</v>
      </c>
      <c r="H42" s="196"/>
    </row>
    <row r="43" spans="1:8" ht="9.75" customHeight="1">
      <c r="A43" s="743" t="s">
        <v>495</v>
      </c>
      <c r="B43" s="686" t="s">
        <v>730</v>
      </c>
      <c r="C43" s="687"/>
      <c r="D43" s="687"/>
      <c r="E43" s="687">
        <v>2998.2152299999998</v>
      </c>
      <c r="F43" s="687">
        <v>2998.2152299999998</v>
      </c>
      <c r="G43" s="749">
        <v>57503.033499999976</v>
      </c>
      <c r="H43" s="196"/>
    </row>
    <row r="44" spans="1:8" ht="9.75" customHeight="1">
      <c r="A44" s="745" t="s">
        <v>496</v>
      </c>
      <c r="B44" s="561"/>
      <c r="C44" s="562"/>
      <c r="D44" s="562"/>
      <c r="E44" s="562">
        <v>2998.2152299999998</v>
      </c>
      <c r="F44" s="562">
        <v>2998.2152299999998</v>
      </c>
      <c r="G44" s="750">
        <v>57503.033499999976</v>
      </c>
      <c r="H44" s="196"/>
    </row>
    <row r="45" spans="1:8" ht="9.75" customHeight="1">
      <c r="A45" s="743" t="s">
        <v>90</v>
      </c>
      <c r="B45" s="686" t="s">
        <v>320</v>
      </c>
      <c r="C45" s="687">
        <v>427656.342</v>
      </c>
      <c r="D45" s="687"/>
      <c r="E45" s="687"/>
      <c r="F45" s="687">
        <v>427656.342</v>
      </c>
      <c r="G45" s="749">
        <v>4069912.3944000048</v>
      </c>
      <c r="H45" s="196"/>
    </row>
    <row r="46" spans="1:8" ht="9.75" customHeight="1">
      <c r="A46" s="743"/>
      <c r="B46" s="686" t="s">
        <v>321</v>
      </c>
      <c r="C46" s="687">
        <v>139201.30656</v>
      </c>
      <c r="D46" s="687"/>
      <c r="E46" s="687"/>
      <c r="F46" s="687">
        <v>139201.30656</v>
      </c>
      <c r="G46" s="749">
        <v>1305322.6689600013</v>
      </c>
      <c r="H46" s="196"/>
    </row>
    <row r="47" spans="1:8" ht="9.75" customHeight="1">
      <c r="A47" s="743"/>
      <c r="B47" s="686" t="s">
        <v>322</v>
      </c>
      <c r="C47" s="687"/>
      <c r="D47" s="687">
        <v>0</v>
      </c>
      <c r="E47" s="687"/>
      <c r="F47" s="687">
        <v>0</v>
      </c>
      <c r="G47" s="749">
        <v>226.88173499999999</v>
      </c>
      <c r="H47" s="196"/>
    </row>
    <row r="48" spans="1:8" ht="9.75" customHeight="1">
      <c r="A48" s="745" t="s">
        <v>323</v>
      </c>
      <c r="B48" s="561"/>
      <c r="C48" s="562">
        <v>566857.64856</v>
      </c>
      <c r="D48" s="562">
        <v>0</v>
      </c>
      <c r="E48" s="562"/>
      <c r="F48" s="562">
        <v>566857.64856</v>
      </c>
      <c r="G48" s="750">
        <v>5375461.9450950054</v>
      </c>
      <c r="H48" s="196"/>
    </row>
    <row r="49" spans="1:8" ht="9.75" customHeight="1">
      <c r="A49" s="743" t="s">
        <v>248</v>
      </c>
      <c r="B49" s="686" t="s">
        <v>324</v>
      </c>
      <c r="C49" s="687">
        <v>45734.407619999998</v>
      </c>
      <c r="D49" s="687"/>
      <c r="E49" s="687"/>
      <c r="F49" s="687">
        <v>45734.407619999998</v>
      </c>
      <c r="G49" s="749">
        <v>1668302.83238</v>
      </c>
      <c r="H49" s="196"/>
    </row>
    <row r="50" spans="1:8" ht="9.75" customHeight="1">
      <c r="A50" s="743"/>
      <c r="B50" s="686" t="s">
        <v>325</v>
      </c>
      <c r="C50" s="687">
        <v>4258.8331525000003</v>
      </c>
      <c r="D50" s="687"/>
      <c r="E50" s="687"/>
      <c r="F50" s="687">
        <v>4258.8331525000003</v>
      </c>
      <c r="G50" s="749">
        <v>36149.014502499995</v>
      </c>
      <c r="H50" s="196"/>
    </row>
    <row r="51" spans="1:8" ht="9.75" customHeight="1">
      <c r="A51" s="745" t="s">
        <v>326</v>
      </c>
      <c r="B51" s="561"/>
      <c r="C51" s="562">
        <v>49993.240772500001</v>
      </c>
      <c r="D51" s="562"/>
      <c r="E51" s="562"/>
      <c r="F51" s="562">
        <v>49993.240772500001</v>
      </c>
      <c r="G51" s="750">
        <v>1704451.8468825</v>
      </c>
      <c r="H51" s="196"/>
    </row>
    <row r="52" spans="1:8" ht="9.75" customHeight="1">
      <c r="A52" s="743" t="s">
        <v>249</v>
      </c>
      <c r="B52" s="686" t="s">
        <v>327</v>
      </c>
      <c r="C52" s="687">
        <v>36474.5207725</v>
      </c>
      <c r="D52" s="687"/>
      <c r="E52" s="687"/>
      <c r="F52" s="687">
        <v>36474.5207725</v>
      </c>
      <c r="G52" s="749">
        <v>299396.32028000004</v>
      </c>
      <c r="H52" s="196"/>
    </row>
    <row r="53" spans="1:8" ht="9.75" customHeight="1">
      <c r="A53" s="745" t="s">
        <v>328</v>
      </c>
      <c r="B53" s="561"/>
      <c r="C53" s="562">
        <v>36474.5207725</v>
      </c>
      <c r="D53" s="562"/>
      <c r="E53" s="562"/>
      <c r="F53" s="562">
        <v>36474.5207725</v>
      </c>
      <c r="G53" s="750">
        <v>299396.32028000004</v>
      </c>
      <c r="H53" s="111"/>
    </row>
    <row r="54" spans="1:8" ht="24.75" customHeight="1">
      <c r="A54" s="747" t="s">
        <v>735</v>
      </c>
      <c r="B54" s="686" t="s">
        <v>66</v>
      </c>
      <c r="C54" s="687"/>
      <c r="D54" s="687"/>
      <c r="E54" s="687">
        <v>1961.8716850000001</v>
      </c>
      <c r="F54" s="687">
        <v>1961.8716850000001</v>
      </c>
      <c r="G54" s="749">
        <v>37409.526204999995</v>
      </c>
      <c r="H54" s="111"/>
    </row>
    <row r="55" spans="1:8" ht="9.75" customHeight="1">
      <c r="A55" s="743"/>
      <c r="B55" s="686" t="s">
        <v>65</v>
      </c>
      <c r="C55" s="687"/>
      <c r="D55" s="687"/>
      <c r="E55" s="687">
        <v>1986.5140200000001</v>
      </c>
      <c r="F55" s="687">
        <v>1986.5140200000001</v>
      </c>
      <c r="G55" s="749">
        <v>39383.753692499995</v>
      </c>
      <c r="H55" s="111"/>
    </row>
    <row r="56" spans="1:8" s="826" customFormat="1" ht="9.75" customHeight="1">
      <c r="A56" s="743"/>
      <c r="B56" s="686" t="s">
        <v>61</v>
      </c>
      <c r="C56" s="687"/>
      <c r="D56" s="687"/>
      <c r="E56" s="687">
        <v>2100.2859349999999</v>
      </c>
      <c r="F56" s="687">
        <v>2100.2859349999999</v>
      </c>
      <c r="G56" s="749">
        <v>67823.293340000047</v>
      </c>
      <c r="H56" s="111"/>
    </row>
    <row r="57" spans="1:8" s="826" customFormat="1" ht="9.75" customHeight="1">
      <c r="A57" s="743"/>
      <c r="B57" s="686" t="s">
        <v>58</v>
      </c>
      <c r="C57" s="687"/>
      <c r="D57" s="687"/>
      <c r="E57" s="687">
        <v>3141.3970749999999</v>
      </c>
      <c r="F57" s="687">
        <v>3141.3970749999999</v>
      </c>
      <c r="G57" s="749">
        <v>83606.488375000001</v>
      </c>
      <c r="H57" s="111"/>
    </row>
    <row r="58" spans="1:8" s="826" customFormat="1" ht="9.75" customHeight="1">
      <c r="A58" s="743"/>
      <c r="B58" s="686" t="s">
        <v>69</v>
      </c>
      <c r="C58" s="687"/>
      <c r="D58" s="687"/>
      <c r="E58" s="687">
        <v>1041.3036575000001</v>
      </c>
      <c r="F58" s="687">
        <v>1041.3036575000001</v>
      </c>
      <c r="G58" s="749">
        <v>24307.196189999991</v>
      </c>
      <c r="H58" s="111"/>
    </row>
    <row r="59" spans="1:8" s="826" customFormat="1" ht="9.75" customHeight="1">
      <c r="A59" s="743"/>
      <c r="B59" s="686" t="s">
        <v>68</v>
      </c>
      <c r="C59" s="687"/>
      <c r="D59" s="687"/>
      <c r="E59" s="687">
        <v>1262.328775</v>
      </c>
      <c r="F59" s="687">
        <v>1262.328775</v>
      </c>
      <c r="G59" s="749">
        <v>26556.225587499997</v>
      </c>
      <c r="H59" s="111"/>
    </row>
    <row r="60" spans="1:8" ht="21" customHeight="1">
      <c r="A60" s="849" t="s">
        <v>721</v>
      </c>
      <c r="B60" s="561"/>
      <c r="C60" s="562"/>
      <c r="D60" s="562"/>
      <c r="E60" s="562">
        <v>11493.701147500002</v>
      </c>
      <c r="F60" s="562">
        <v>11493.701147500002</v>
      </c>
      <c r="G60" s="562">
        <v>279086.48339000007</v>
      </c>
      <c r="H60" s="111"/>
    </row>
    <row r="61" spans="1:8" ht="9.75" customHeight="1">
      <c r="A61" s="743" t="s">
        <v>89</v>
      </c>
      <c r="B61" s="686" t="s">
        <v>729</v>
      </c>
      <c r="C61" s="687">
        <v>48547.864692500007</v>
      </c>
      <c r="D61" s="687"/>
      <c r="E61" s="687"/>
      <c r="F61" s="687">
        <v>48547.864692500007</v>
      </c>
      <c r="G61" s="749">
        <v>340304.72034250002</v>
      </c>
      <c r="H61" s="111"/>
    </row>
    <row r="62" spans="1:8" ht="9.75" customHeight="1">
      <c r="A62" s="743"/>
      <c r="B62" s="686" t="s">
        <v>329</v>
      </c>
      <c r="C62" s="687">
        <v>18653.4617225</v>
      </c>
      <c r="D62" s="687"/>
      <c r="E62" s="687"/>
      <c r="F62" s="687">
        <v>18653.4617225</v>
      </c>
      <c r="G62" s="749">
        <v>167405.59725499997</v>
      </c>
      <c r="H62" s="197"/>
    </row>
    <row r="63" spans="1:8" ht="9.75" customHeight="1">
      <c r="A63" s="743"/>
      <c r="B63" s="686" t="s">
        <v>330</v>
      </c>
      <c r="C63" s="687">
        <v>82329.1079875</v>
      </c>
      <c r="D63" s="687"/>
      <c r="E63" s="687"/>
      <c r="F63" s="687">
        <v>82329.1079875</v>
      </c>
      <c r="G63" s="749">
        <v>920429.04414750007</v>
      </c>
      <c r="H63" s="197"/>
    </row>
    <row r="64" spans="1:8" ht="9.75" customHeight="1">
      <c r="A64" s="743"/>
      <c r="B64" s="686" t="s">
        <v>331</v>
      </c>
      <c r="C64" s="687">
        <v>58147.511757500004</v>
      </c>
      <c r="D64" s="687"/>
      <c r="E64" s="687"/>
      <c r="F64" s="687">
        <v>58147.511757500004</v>
      </c>
      <c r="G64" s="749">
        <v>673718.86533000018</v>
      </c>
      <c r="H64" s="197"/>
    </row>
    <row r="65" spans="1:8" ht="9.75" customHeight="1">
      <c r="A65" s="743"/>
      <c r="B65" s="686" t="s">
        <v>332</v>
      </c>
      <c r="C65" s="687">
        <v>45956.012609999998</v>
      </c>
      <c r="D65" s="687"/>
      <c r="E65" s="687"/>
      <c r="F65" s="687">
        <v>45956.012609999998</v>
      </c>
      <c r="G65" s="749">
        <v>401421.28384249995</v>
      </c>
      <c r="H65" s="197"/>
    </row>
    <row r="66" spans="1:8" ht="9.75" customHeight="1">
      <c r="A66" s="743"/>
      <c r="B66" s="686" t="s">
        <v>333</v>
      </c>
      <c r="C66" s="687"/>
      <c r="D66" s="687">
        <v>528.38344000000006</v>
      </c>
      <c r="E66" s="687"/>
      <c r="F66" s="687">
        <v>528.38344000000006</v>
      </c>
      <c r="G66" s="749">
        <v>51344.799370000001</v>
      </c>
      <c r="H66" s="197"/>
    </row>
    <row r="67" spans="1:8" ht="9.75" customHeight="1">
      <c r="A67" s="743"/>
      <c r="B67" s="686" t="s">
        <v>334</v>
      </c>
      <c r="C67" s="687"/>
      <c r="D67" s="687">
        <v>17605.968260000001</v>
      </c>
      <c r="E67" s="687"/>
      <c r="F67" s="687">
        <v>17605.968260000001</v>
      </c>
      <c r="G67" s="749">
        <v>257471.52480750001</v>
      </c>
      <c r="H67" s="197"/>
    </row>
    <row r="68" spans="1:8" ht="9.75" customHeight="1">
      <c r="A68" s="743"/>
      <c r="B68" s="686" t="s">
        <v>335</v>
      </c>
      <c r="C68" s="687"/>
      <c r="D68" s="687">
        <v>302655.178785</v>
      </c>
      <c r="E68" s="687"/>
      <c r="F68" s="687">
        <v>302655.178785</v>
      </c>
      <c r="G68" s="749">
        <v>2255210.2710250006</v>
      </c>
    </row>
    <row r="69" spans="1:8" ht="9.75" customHeight="1">
      <c r="A69" s="743"/>
      <c r="B69" s="686" t="s">
        <v>486</v>
      </c>
      <c r="C69" s="687"/>
      <c r="D69" s="687"/>
      <c r="E69" s="687">
        <v>418.06065749999999</v>
      </c>
      <c r="F69" s="687">
        <v>418.06065749999999</v>
      </c>
      <c r="G69" s="749">
        <v>3092.7067574999996</v>
      </c>
    </row>
    <row r="70" spans="1:8" ht="9.75" customHeight="1">
      <c r="A70" s="745" t="s">
        <v>336</v>
      </c>
      <c r="B70" s="561"/>
      <c r="C70" s="562">
        <v>253633.95877</v>
      </c>
      <c r="D70" s="562">
        <v>320789.530485</v>
      </c>
      <c r="E70" s="562">
        <v>418.06065749999999</v>
      </c>
      <c r="F70" s="562">
        <v>574841.54991250008</v>
      </c>
      <c r="G70" s="750">
        <v>5070398.8128775014</v>
      </c>
    </row>
    <row r="71" spans="1:8" ht="9.75" customHeight="1">
      <c r="A71" s="743" t="s">
        <v>97</v>
      </c>
      <c r="B71" s="686" t="s">
        <v>337</v>
      </c>
      <c r="C71" s="687"/>
      <c r="D71" s="687">
        <v>1070.3258450000001</v>
      </c>
      <c r="E71" s="687"/>
      <c r="F71" s="687">
        <v>1070.3258450000001</v>
      </c>
      <c r="G71" s="749">
        <v>10849.204900000001</v>
      </c>
    </row>
    <row r="72" spans="1:8" ht="9.75" customHeight="1">
      <c r="A72" s="743"/>
      <c r="B72" s="686" t="s">
        <v>338</v>
      </c>
      <c r="C72" s="687"/>
      <c r="D72" s="687">
        <v>62243.394617500002</v>
      </c>
      <c r="E72" s="687"/>
      <c r="F72" s="687">
        <v>62243.394617500002</v>
      </c>
      <c r="G72" s="749">
        <v>299755.61028499994</v>
      </c>
    </row>
    <row r="73" spans="1:8" ht="9.75" customHeight="1">
      <c r="A73" s="743"/>
      <c r="B73" s="686" t="s">
        <v>339</v>
      </c>
      <c r="C73" s="687"/>
      <c r="D73" s="687">
        <v>0</v>
      </c>
      <c r="E73" s="687"/>
      <c r="F73" s="687">
        <v>0</v>
      </c>
      <c r="G73" s="749">
        <v>174976.57628499999</v>
      </c>
    </row>
    <row r="74" spans="1:8" ht="9.75" customHeight="1">
      <c r="A74" s="745" t="s">
        <v>340</v>
      </c>
      <c r="B74" s="561"/>
      <c r="C74" s="562"/>
      <c r="D74" s="562">
        <v>63313.720462500001</v>
      </c>
      <c r="E74" s="562"/>
      <c r="F74" s="562">
        <v>63313.720462500001</v>
      </c>
      <c r="G74" s="750">
        <v>485581.39146999991</v>
      </c>
    </row>
    <row r="75" spans="1:8" ht="9.75" customHeight="1">
      <c r="A75" s="743" t="s">
        <v>99</v>
      </c>
      <c r="B75" s="686" t="s">
        <v>517</v>
      </c>
      <c r="C75" s="687"/>
      <c r="D75" s="687"/>
      <c r="E75" s="687">
        <v>37765.854772499995</v>
      </c>
      <c r="F75" s="687">
        <v>37765.854772499995</v>
      </c>
      <c r="G75" s="749">
        <v>292057.11543999991</v>
      </c>
    </row>
    <row r="76" spans="1:8" ht="9.75" customHeight="1">
      <c r="A76" s="743"/>
      <c r="B76" s="686" t="s">
        <v>516</v>
      </c>
      <c r="C76" s="687"/>
      <c r="D76" s="687"/>
      <c r="E76" s="687">
        <v>53298.124309999999</v>
      </c>
      <c r="F76" s="687">
        <v>53298.124309999999</v>
      </c>
      <c r="G76" s="749">
        <v>431350.67192749988</v>
      </c>
    </row>
    <row r="77" spans="1:8" ht="9.75" customHeight="1">
      <c r="A77" s="745" t="s">
        <v>341</v>
      </c>
      <c r="B77" s="561"/>
      <c r="C77" s="562"/>
      <c r="D77" s="562"/>
      <c r="E77" s="562">
        <v>91063.979082499995</v>
      </c>
      <c r="F77" s="562">
        <v>91063.979082499995</v>
      </c>
      <c r="G77" s="750">
        <v>723407.78736749978</v>
      </c>
    </row>
    <row r="78" spans="1:8" ht="9.75" customHeight="1">
      <c r="A78" s="743" t="s">
        <v>98</v>
      </c>
      <c r="B78" s="686" t="s">
        <v>78</v>
      </c>
      <c r="C78" s="687"/>
      <c r="D78" s="687"/>
      <c r="E78" s="687">
        <v>28167.192072500002</v>
      </c>
      <c r="F78" s="687">
        <v>28167.192072500002</v>
      </c>
      <c r="G78" s="749">
        <v>232304.19831750001</v>
      </c>
    </row>
    <row r="79" spans="1:8" ht="9.75" customHeight="1">
      <c r="A79" s="743"/>
      <c r="B79" s="686" t="s">
        <v>80</v>
      </c>
      <c r="C79" s="687"/>
      <c r="D79" s="687"/>
      <c r="E79" s="687">
        <v>12029.311234999999</v>
      </c>
      <c r="F79" s="687">
        <v>12029.311234999999</v>
      </c>
      <c r="G79" s="749">
        <v>88492.853654999999</v>
      </c>
    </row>
    <row r="80" spans="1:8" ht="9.75" customHeight="1">
      <c r="A80" s="763" t="s">
        <v>342</v>
      </c>
      <c r="B80" s="696"/>
      <c r="C80" s="697"/>
      <c r="D80" s="697"/>
      <c r="E80" s="697">
        <v>40196.503307500003</v>
      </c>
      <c r="F80" s="697">
        <v>40196.503307500003</v>
      </c>
      <c r="G80" s="764">
        <v>320797.05197249999</v>
      </c>
    </row>
    <row r="81" spans="1:7" ht="9.75" customHeight="1">
      <c r="A81" s="353"/>
      <c r="B81" s="353"/>
      <c r="C81" s="463"/>
      <c r="D81" s="463"/>
      <c r="E81" s="463"/>
      <c r="F81" s="353"/>
      <c r="G81" s="353"/>
    </row>
    <row r="82" spans="1:7" ht="9.75" customHeight="1">
      <c r="A82" s="353"/>
      <c r="B82" s="353"/>
      <c r="C82" s="463"/>
      <c r="D82" s="463"/>
      <c r="E82" s="463"/>
      <c r="F82" s="353"/>
      <c r="G82" s="353"/>
    </row>
    <row r="83" spans="1:7" ht="9.75" customHeight="1">
      <c r="A83" s="353"/>
      <c r="B83" s="353"/>
      <c r="C83" s="463"/>
      <c r="D83" s="463"/>
      <c r="E83" s="463"/>
      <c r="F83" s="353"/>
      <c r="G83" s="353"/>
    </row>
    <row r="84" spans="1:7" ht="9.75" customHeight="1">
      <c r="A84" s="353"/>
      <c r="B84" s="353"/>
      <c r="C84" s="463"/>
      <c r="D84" s="463"/>
      <c r="E84" s="463"/>
      <c r="F84" s="353"/>
      <c r="G84" s="353"/>
    </row>
    <row r="85" spans="1:7" ht="9.75" customHeight="1">
      <c r="A85" s="353"/>
      <c r="B85" s="353"/>
      <c r="C85" s="463"/>
      <c r="D85" s="463"/>
      <c r="E85" s="463"/>
      <c r="F85" s="353"/>
      <c r="G85" s="353"/>
    </row>
    <row r="86" spans="1:7" ht="9.75" customHeight="1">
      <c r="A86" s="353"/>
      <c r="B86" s="353"/>
      <c r="C86" s="463"/>
      <c r="D86" s="463"/>
      <c r="E86" s="463"/>
      <c r="F86" s="353"/>
      <c r="G86" s="353"/>
    </row>
    <row r="87" spans="1:7" ht="9.75" customHeight="1">
      <c r="A87" s="353"/>
      <c r="B87" s="353"/>
      <c r="C87" s="463"/>
      <c r="D87" s="463"/>
      <c r="E87" s="463"/>
      <c r="F87" s="353"/>
      <c r="G87" s="353"/>
    </row>
    <row r="88" spans="1:7" ht="9.75" customHeight="1">
      <c r="A88" s="353"/>
      <c r="B88" s="353"/>
      <c r="C88" s="463"/>
      <c r="D88" s="463"/>
      <c r="E88" s="463"/>
      <c r="F88" s="353"/>
      <c r="G88" s="353"/>
    </row>
    <row r="89" spans="1:7" ht="9.75" customHeight="1">
      <c r="A89" s="353"/>
      <c r="B89" s="353"/>
      <c r="C89" s="463"/>
      <c r="D89" s="463"/>
      <c r="E89" s="463"/>
      <c r="F89" s="353"/>
      <c r="G89" s="353"/>
    </row>
    <row r="90" spans="1:7" ht="9.75" customHeight="1">
      <c r="A90" s="353"/>
      <c r="B90" s="353"/>
      <c r="C90" s="463"/>
      <c r="D90" s="463"/>
      <c r="E90" s="463"/>
      <c r="F90" s="353"/>
      <c r="G90" s="353"/>
    </row>
    <row r="91" spans="1:7" ht="9.75" customHeight="1">
      <c r="A91" s="353"/>
      <c r="B91" s="353"/>
      <c r="C91" s="463"/>
      <c r="D91" s="463"/>
      <c r="E91" s="463"/>
      <c r="F91" s="353"/>
      <c r="G91" s="353"/>
    </row>
    <row r="92" spans="1:7" ht="9.75" customHeight="1">
      <c r="A92" s="353"/>
      <c r="B92" s="353"/>
      <c r="C92" s="463"/>
      <c r="D92" s="463"/>
      <c r="E92" s="463"/>
      <c r="F92" s="353"/>
      <c r="G92" s="353"/>
    </row>
    <row r="93" spans="1:7" ht="9.75" customHeight="1">
      <c r="A93" s="353"/>
      <c r="B93" s="353"/>
      <c r="C93" s="463"/>
      <c r="D93" s="463"/>
      <c r="E93" s="463"/>
      <c r="F93" s="353"/>
      <c r="G93" s="353"/>
    </row>
    <row r="94" spans="1:7" ht="9.75" customHeight="1">
      <c r="A94" s="353"/>
      <c r="B94" s="353"/>
      <c r="C94" s="463"/>
      <c r="D94" s="463"/>
      <c r="E94" s="463"/>
      <c r="F94" s="353"/>
      <c r="G94" s="353"/>
    </row>
    <row r="95" spans="1:7" ht="9.75" customHeight="1">
      <c r="A95" s="353"/>
      <c r="B95" s="353"/>
      <c r="C95" s="463"/>
      <c r="D95" s="463"/>
      <c r="E95" s="463"/>
      <c r="F95" s="353"/>
      <c r="G95" s="353"/>
    </row>
    <row r="96" spans="1:7" ht="9.75" customHeight="1">
      <c r="A96" s="353"/>
      <c r="B96" s="353"/>
      <c r="C96" s="463"/>
      <c r="D96" s="463"/>
      <c r="E96" s="463"/>
      <c r="F96" s="353"/>
      <c r="G96" s="353"/>
    </row>
    <row r="97" spans="1:7" ht="9.75" customHeight="1">
      <c r="A97" s="353"/>
      <c r="B97" s="353"/>
      <c r="C97" s="463"/>
      <c r="D97" s="463"/>
      <c r="E97" s="463"/>
      <c r="F97" s="353"/>
      <c r="G97" s="353"/>
    </row>
    <row r="98" spans="1:7" ht="9.75" customHeight="1">
      <c r="A98" s="353"/>
      <c r="B98" s="353"/>
      <c r="C98" s="463"/>
      <c r="D98" s="463"/>
      <c r="E98" s="463"/>
      <c r="F98" s="353"/>
      <c r="G98" s="353"/>
    </row>
    <row r="99" spans="1:7" ht="9.75" customHeight="1">
      <c r="A99" s="353"/>
      <c r="B99" s="353"/>
      <c r="C99" s="463"/>
      <c r="D99" s="463"/>
      <c r="E99" s="463"/>
      <c r="F99" s="353"/>
      <c r="G99" s="353"/>
    </row>
    <row r="100" spans="1:7" ht="9.75" customHeight="1">
      <c r="A100" s="353"/>
      <c r="B100" s="353"/>
      <c r="C100" s="463"/>
      <c r="D100" s="463"/>
      <c r="E100" s="463"/>
      <c r="F100" s="353"/>
      <c r="G100" s="353"/>
    </row>
    <row r="101" spans="1:7" ht="9.75" customHeight="1">
      <c r="A101" s="353"/>
      <c r="B101" s="353"/>
      <c r="C101" s="463"/>
      <c r="D101" s="463"/>
      <c r="E101" s="463"/>
      <c r="F101" s="353"/>
      <c r="G101" s="353"/>
    </row>
    <row r="102" spans="1:7" ht="9.75" customHeight="1">
      <c r="A102" s="353"/>
      <c r="B102" s="353"/>
      <c r="C102" s="463"/>
      <c r="D102" s="463"/>
      <c r="E102" s="463"/>
      <c r="F102" s="353"/>
      <c r="G102" s="353"/>
    </row>
    <row r="103" spans="1:7" ht="9.75" customHeight="1">
      <c r="A103" s="353"/>
      <c r="B103" s="353"/>
      <c r="C103" s="463"/>
      <c r="D103" s="463"/>
      <c r="E103" s="463"/>
      <c r="F103" s="353"/>
      <c r="G103" s="353"/>
    </row>
    <row r="104" spans="1:7" ht="9.75" customHeight="1">
      <c r="A104" s="353"/>
      <c r="B104" s="353"/>
      <c r="C104" s="463"/>
      <c r="D104" s="463"/>
      <c r="E104" s="463"/>
      <c r="F104" s="353"/>
      <c r="G104" s="353"/>
    </row>
    <row r="105" spans="1:7" ht="9.75" customHeight="1">
      <c r="A105" s="353"/>
      <c r="B105" s="353"/>
      <c r="C105" s="463"/>
      <c r="D105" s="463"/>
      <c r="E105" s="463"/>
      <c r="F105" s="353"/>
      <c r="G105" s="353"/>
    </row>
    <row r="106" spans="1:7" ht="9.75" customHeight="1">
      <c r="A106" s="353"/>
      <c r="B106" s="353"/>
      <c r="C106" s="463"/>
      <c r="D106" s="463"/>
      <c r="E106" s="463"/>
      <c r="F106" s="353"/>
      <c r="G106" s="353"/>
    </row>
    <row r="107" spans="1:7" ht="9.75" customHeight="1">
      <c r="A107" s="353"/>
      <c r="B107" s="353"/>
      <c r="C107" s="463"/>
      <c r="D107" s="463"/>
      <c r="E107" s="463"/>
      <c r="F107" s="353"/>
      <c r="G107" s="353"/>
    </row>
    <row r="108" spans="1:7" ht="9.75" customHeight="1">
      <c r="A108" s="353"/>
      <c r="B108" s="353"/>
      <c r="C108" s="463"/>
      <c r="D108" s="463"/>
      <c r="E108" s="463"/>
      <c r="F108" s="353"/>
      <c r="G108" s="353"/>
    </row>
    <row r="109" spans="1:7" ht="9.75" customHeight="1">
      <c r="A109" s="353"/>
      <c r="B109" s="353"/>
      <c r="C109" s="463"/>
      <c r="D109" s="463"/>
      <c r="E109" s="463"/>
      <c r="F109" s="353"/>
      <c r="G109" s="353"/>
    </row>
    <row r="110" spans="1:7" ht="9.75" customHeight="1">
      <c r="A110" s="353"/>
      <c r="B110" s="353"/>
      <c r="C110" s="463"/>
      <c r="D110" s="463"/>
      <c r="E110" s="463"/>
      <c r="F110" s="353"/>
      <c r="G110" s="353"/>
    </row>
    <row r="111" spans="1:7" ht="9.75" customHeight="1">
      <c r="A111" s="353"/>
      <c r="B111" s="353"/>
      <c r="C111" s="463"/>
      <c r="D111" s="463"/>
      <c r="E111" s="463"/>
      <c r="F111" s="353"/>
      <c r="G111" s="353"/>
    </row>
    <row r="112" spans="1:7" ht="9.75" customHeight="1">
      <c r="A112" s="353"/>
      <c r="B112" s="353"/>
      <c r="C112" s="463"/>
      <c r="D112" s="463"/>
      <c r="E112" s="463"/>
      <c r="F112" s="353"/>
      <c r="G112" s="353"/>
    </row>
    <row r="113" spans="1:7" ht="9.75" customHeight="1">
      <c r="A113" s="353"/>
      <c r="B113" s="353"/>
      <c r="C113" s="463"/>
      <c r="D113" s="463"/>
      <c r="E113" s="463"/>
      <c r="F113" s="353"/>
      <c r="G113" s="353"/>
    </row>
    <row r="114" spans="1:7" ht="9.75" customHeight="1">
      <c r="A114" s="353"/>
      <c r="B114" s="353"/>
      <c r="C114" s="463"/>
      <c r="D114" s="463"/>
      <c r="E114" s="463"/>
      <c r="F114" s="353"/>
      <c r="G114" s="353"/>
    </row>
    <row r="115" spans="1:7" ht="9.75" customHeight="1">
      <c r="A115" s="353"/>
      <c r="B115" s="353"/>
      <c r="C115" s="463"/>
      <c r="D115" s="463"/>
      <c r="E115" s="463"/>
      <c r="F115" s="353"/>
      <c r="G115" s="353"/>
    </row>
    <row r="116" spans="1:7" ht="9.75" customHeight="1">
      <c r="A116" s="353"/>
      <c r="B116" s="353"/>
      <c r="C116" s="463"/>
      <c r="D116" s="463"/>
      <c r="E116" s="463"/>
      <c r="F116" s="353"/>
      <c r="G116" s="353"/>
    </row>
    <row r="117" spans="1:7" ht="9.75" customHeight="1">
      <c r="A117" s="353"/>
      <c r="B117" s="353"/>
      <c r="C117" s="463"/>
      <c r="D117" s="463"/>
      <c r="E117" s="463"/>
      <c r="F117" s="353"/>
      <c r="G117" s="353"/>
    </row>
    <row r="118" spans="1:7" ht="9.75" customHeight="1">
      <c r="A118" s="353"/>
      <c r="B118" s="353"/>
      <c r="C118" s="463"/>
      <c r="D118" s="463"/>
      <c r="E118" s="463"/>
      <c r="F118" s="353"/>
      <c r="G118" s="353"/>
    </row>
    <row r="119" spans="1:7" ht="9.75" customHeight="1">
      <c r="A119" s="353"/>
      <c r="B119" s="353"/>
      <c r="C119" s="463"/>
      <c r="D119" s="463"/>
      <c r="E119" s="463"/>
      <c r="F119" s="353"/>
      <c r="G119" s="353"/>
    </row>
    <row r="120" spans="1:7" ht="9.75" customHeight="1">
      <c r="A120" s="353"/>
      <c r="B120" s="353"/>
      <c r="C120" s="463"/>
      <c r="D120" s="463"/>
      <c r="E120" s="463"/>
      <c r="F120" s="353"/>
      <c r="G120" s="353"/>
    </row>
    <row r="121" spans="1:7" ht="9.75" customHeight="1">
      <c r="A121" s="353"/>
      <c r="B121" s="353"/>
      <c r="C121" s="463"/>
      <c r="D121" s="463"/>
      <c r="E121" s="463"/>
      <c r="F121" s="353"/>
      <c r="G121" s="353"/>
    </row>
    <row r="122" spans="1:7" ht="9.75" customHeight="1">
      <c r="A122" s="353"/>
      <c r="B122" s="353"/>
      <c r="C122" s="463"/>
      <c r="D122" s="463"/>
      <c r="E122" s="463"/>
      <c r="F122" s="353"/>
      <c r="G122" s="353"/>
    </row>
    <row r="123" spans="1:7" ht="9.75" customHeight="1">
      <c r="A123" s="353"/>
      <c r="B123" s="353"/>
      <c r="C123" s="463"/>
      <c r="D123" s="463"/>
      <c r="E123" s="463"/>
      <c r="F123" s="353"/>
      <c r="G123" s="353"/>
    </row>
    <row r="124" spans="1:7" ht="9.75" customHeight="1">
      <c r="A124" s="353"/>
      <c r="B124" s="353"/>
      <c r="C124" s="463"/>
      <c r="D124" s="463"/>
      <c r="E124" s="463"/>
      <c r="F124" s="353"/>
      <c r="G124" s="353"/>
    </row>
    <row r="125" spans="1:7" ht="9.75" customHeight="1">
      <c r="A125" s="353"/>
      <c r="B125" s="353"/>
      <c r="C125" s="463"/>
      <c r="D125" s="463"/>
      <c r="E125" s="463"/>
      <c r="F125" s="353"/>
      <c r="G125" s="353"/>
    </row>
    <row r="126" spans="1:7" ht="9.75" customHeight="1">
      <c r="A126" s="353"/>
      <c r="B126" s="353"/>
      <c r="C126" s="463"/>
      <c r="D126" s="463"/>
      <c r="E126" s="463"/>
      <c r="F126" s="353"/>
      <c r="G126" s="353"/>
    </row>
    <row r="127" spans="1:7" ht="9.75" customHeight="1">
      <c r="A127" s="353"/>
      <c r="B127" s="353"/>
      <c r="C127" s="463"/>
      <c r="D127" s="463"/>
      <c r="E127" s="463"/>
      <c r="F127" s="353"/>
      <c r="G127" s="353"/>
    </row>
    <row r="128" spans="1:7" ht="9.75" customHeight="1">
      <c r="A128" s="353"/>
      <c r="B128" s="353"/>
      <c r="C128" s="463"/>
      <c r="D128" s="463"/>
      <c r="E128" s="463"/>
      <c r="F128" s="353"/>
      <c r="G128" s="353"/>
    </row>
    <row r="129" spans="1:7" ht="9.75" customHeight="1">
      <c r="A129" s="353"/>
      <c r="B129" s="353"/>
      <c r="C129" s="463"/>
      <c r="D129" s="463"/>
      <c r="E129" s="463"/>
      <c r="F129" s="353"/>
      <c r="G129" s="353"/>
    </row>
    <row r="130" spans="1:7" ht="9.75" customHeight="1">
      <c r="A130" s="353"/>
      <c r="B130" s="353"/>
      <c r="C130" s="463"/>
      <c r="D130" s="463"/>
      <c r="E130" s="463"/>
      <c r="F130" s="353"/>
      <c r="G130" s="353"/>
    </row>
    <row r="131" spans="1:7" ht="9.75" customHeight="1">
      <c r="A131" s="353"/>
      <c r="B131" s="353"/>
      <c r="C131" s="463"/>
      <c r="D131" s="463"/>
      <c r="E131" s="463"/>
      <c r="F131" s="353"/>
      <c r="G131" s="353"/>
    </row>
    <row r="132" spans="1:7" ht="9.75" customHeight="1">
      <c r="A132" s="353"/>
      <c r="B132" s="353"/>
      <c r="C132" s="463"/>
      <c r="D132" s="463"/>
      <c r="E132" s="463"/>
      <c r="F132" s="353"/>
      <c r="G132" s="353"/>
    </row>
    <row r="133" spans="1:7" ht="9.75" customHeight="1">
      <c r="A133" s="353"/>
      <c r="B133" s="353"/>
      <c r="C133" s="463"/>
      <c r="D133" s="463"/>
      <c r="E133" s="463"/>
      <c r="F133" s="353"/>
      <c r="G133" s="353"/>
    </row>
    <row r="134" spans="1:7" ht="9.75" customHeight="1">
      <c r="A134" s="353"/>
      <c r="B134" s="353"/>
      <c r="C134" s="463"/>
      <c r="D134" s="463"/>
      <c r="E134" s="463"/>
      <c r="F134" s="353"/>
      <c r="G134" s="353"/>
    </row>
    <row r="135" spans="1:7" ht="9.75" customHeight="1">
      <c r="A135" s="353"/>
      <c r="B135" s="353"/>
      <c r="C135" s="463"/>
      <c r="D135" s="463"/>
      <c r="E135" s="463"/>
      <c r="F135" s="353"/>
      <c r="G135" s="353"/>
    </row>
    <row r="136" spans="1:7" ht="9.75" customHeight="1">
      <c r="A136" s="353"/>
      <c r="B136" s="353"/>
      <c r="C136" s="463"/>
      <c r="D136" s="463"/>
      <c r="E136" s="463"/>
      <c r="F136" s="353"/>
      <c r="G136" s="353"/>
    </row>
    <row r="137" spans="1:7" ht="9.75" customHeight="1">
      <c r="A137" s="353"/>
      <c r="B137" s="353"/>
      <c r="C137" s="463"/>
      <c r="D137" s="463"/>
      <c r="E137" s="463"/>
      <c r="F137" s="353"/>
      <c r="G137" s="353"/>
    </row>
    <row r="138" spans="1:7" ht="9.75" customHeight="1">
      <c r="A138" s="353"/>
      <c r="B138" s="353"/>
      <c r="C138" s="463"/>
      <c r="D138" s="463"/>
      <c r="E138" s="463"/>
      <c r="F138" s="353"/>
      <c r="G138" s="353"/>
    </row>
    <row r="139" spans="1:7" ht="9.75" customHeight="1">
      <c r="A139" s="353"/>
      <c r="B139" s="353"/>
      <c r="C139" s="463"/>
      <c r="D139" s="463"/>
      <c r="E139" s="463"/>
      <c r="F139" s="353"/>
      <c r="G139" s="353"/>
    </row>
    <row r="140" spans="1:7" ht="9.75" customHeight="1">
      <c r="A140" s="353"/>
      <c r="B140" s="353"/>
      <c r="C140" s="463"/>
      <c r="D140" s="463"/>
      <c r="E140" s="463"/>
      <c r="F140" s="353"/>
      <c r="G140" s="353"/>
    </row>
    <row r="141" spans="1:7" ht="9.75" customHeight="1">
      <c r="A141" s="353"/>
      <c r="B141" s="353"/>
      <c r="C141" s="463"/>
      <c r="D141" s="463"/>
      <c r="E141" s="463"/>
      <c r="F141" s="353"/>
      <c r="G141" s="353"/>
    </row>
    <row r="142" spans="1:7" ht="9.75" customHeight="1">
      <c r="A142" s="353"/>
      <c r="B142" s="353"/>
      <c r="C142" s="463"/>
      <c r="D142" s="463"/>
      <c r="E142" s="463"/>
      <c r="F142" s="353"/>
      <c r="G142" s="353"/>
    </row>
    <row r="143" spans="1:7" ht="9.75" customHeight="1">
      <c r="A143" s="353"/>
      <c r="B143" s="353"/>
      <c r="C143" s="463"/>
      <c r="D143" s="463"/>
      <c r="E143" s="463"/>
      <c r="F143" s="353"/>
      <c r="G143" s="353"/>
    </row>
    <row r="144" spans="1:7" ht="9.75" customHeight="1">
      <c r="A144" s="353"/>
      <c r="B144" s="353"/>
      <c r="C144" s="463"/>
      <c r="D144" s="463"/>
      <c r="E144" s="463"/>
      <c r="F144" s="353"/>
      <c r="G144" s="353"/>
    </row>
    <row r="145" spans="1:7" ht="9.75" customHeight="1">
      <c r="A145" s="353"/>
      <c r="B145" s="353"/>
      <c r="C145" s="463"/>
      <c r="D145" s="463"/>
      <c r="E145" s="463"/>
      <c r="F145" s="353"/>
      <c r="G145" s="353"/>
    </row>
    <row r="146" spans="1:7" ht="9.75" customHeight="1">
      <c r="A146" s="353"/>
      <c r="B146" s="353"/>
      <c r="C146" s="463"/>
      <c r="D146" s="463"/>
      <c r="E146" s="463"/>
      <c r="F146" s="353"/>
      <c r="G146" s="353"/>
    </row>
    <row r="147" spans="1:7" ht="9.75" customHeight="1">
      <c r="A147" s="353"/>
      <c r="B147" s="353"/>
      <c r="C147" s="463"/>
      <c r="D147" s="463"/>
      <c r="E147" s="463"/>
      <c r="F147" s="353"/>
      <c r="G147" s="353"/>
    </row>
    <row r="148" spans="1:7" ht="9.75" customHeight="1">
      <c r="A148" s="353"/>
      <c r="B148" s="353"/>
      <c r="C148" s="463"/>
      <c r="D148" s="463"/>
      <c r="E148" s="463"/>
      <c r="F148" s="353"/>
      <c r="G148" s="353"/>
    </row>
    <row r="149" spans="1:7" ht="9.75" customHeight="1">
      <c r="A149" s="353"/>
      <c r="B149" s="353"/>
      <c r="C149" s="463"/>
      <c r="D149" s="463"/>
      <c r="E149" s="463"/>
      <c r="F149" s="353"/>
      <c r="G149" s="353"/>
    </row>
    <row r="150" spans="1:7" ht="9.75" customHeight="1">
      <c r="A150" s="353"/>
      <c r="B150" s="353"/>
      <c r="C150" s="463"/>
      <c r="D150" s="463"/>
      <c r="E150" s="463"/>
      <c r="F150" s="353"/>
      <c r="G150" s="353"/>
    </row>
    <row r="151" spans="1:7" ht="9.75" customHeight="1">
      <c r="A151" s="353"/>
      <c r="B151" s="353"/>
      <c r="C151" s="463"/>
      <c r="D151" s="463"/>
      <c r="E151" s="463"/>
      <c r="F151" s="353"/>
      <c r="G151" s="353"/>
    </row>
    <row r="152" spans="1:7" ht="9.75" customHeight="1">
      <c r="A152" s="353"/>
      <c r="B152" s="353"/>
      <c r="C152" s="463"/>
      <c r="D152" s="463"/>
      <c r="E152" s="463"/>
      <c r="F152" s="353"/>
      <c r="G152" s="353"/>
    </row>
    <row r="153" spans="1:7" ht="9.75" customHeight="1">
      <c r="A153" s="353"/>
      <c r="B153" s="353"/>
      <c r="C153" s="463"/>
      <c r="D153" s="463"/>
      <c r="E153" s="463"/>
      <c r="F153" s="353"/>
      <c r="G153" s="353"/>
    </row>
    <row r="154" spans="1:7" ht="9.75" customHeight="1">
      <c r="A154" s="353"/>
      <c r="B154" s="353"/>
      <c r="C154" s="463"/>
      <c r="D154" s="463"/>
      <c r="E154" s="463"/>
      <c r="F154" s="353"/>
      <c r="G154" s="353"/>
    </row>
    <row r="155" spans="1:7" ht="9.75" customHeight="1">
      <c r="A155" s="353"/>
      <c r="B155" s="353"/>
      <c r="C155" s="463"/>
      <c r="D155" s="463"/>
      <c r="E155" s="463"/>
      <c r="F155" s="353"/>
      <c r="G155" s="353"/>
    </row>
    <row r="156" spans="1:7" ht="9.75" customHeight="1">
      <c r="A156" s="353"/>
      <c r="B156" s="353"/>
      <c r="C156" s="463"/>
      <c r="D156" s="463"/>
      <c r="E156" s="463"/>
      <c r="F156" s="353"/>
      <c r="G156" s="353"/>
    </row>
    <row r="157" spans="1:7" ht="9.75" customHeight="1">
      <c r="A157" s="353"/>
      <c r="B157" s="353"/>
      <c r="C157" s="463"/>
      <c r="D157" s="463"/>
      <c r="E157" s="463"/>
      <c r="F157" s="353"/>
      <c r="G157" s="353"/>
    </row>
    <row r="158" spans="1:7" ht="9.75" customHeight="1">
      <c r="A158" s="353"/>
      <c r="B158" s="353"/>
      <c r="C158" s="463"/>
      <c r="D158" s="463"/>
      <c r="E158" s="463"/>
      <c r="F158" s="353"/>
      <c r="G158" s="353"/>
    </row>
    <row r="159" spans="1:7" ht="9.75" customHeight="1">
      <c r="A159" s="353"/>
      <c r="B159" s="353"/>
      <c r="C159" s="463"/>
      <c r="D159" s="463"/>
      <c r="E159" s="463"/>
      <c r="F159" s="353"/>
      <c r="G159" s="353"/>
    </row>
    <row r="160" spans="1:7" ht="9.75" customHeight="1">
      <c r="A160" s="353"/>
      <c r="B160" s="353"/>
      <c r="C160" s="463"/>
      <c r="D160" s="463"/>
      <c r="E160" s="463"/>
      <c r="F160" s="353"/>
      <c r="G160" s="353"/>
    </row>
    <row r="161" spans="1:7" ht="9.75" customHeight="1">
      <c r="A161" s="353"/>
      <c r="B161" s="353"/>
      <c r="C161" s="463"/>
      <c r="D161" s="463"/>
      <c r="E161" s="463"/>
      <c r="F161" s="353"/>
      <c r="G161" s="353"/>
    </row>
    <row r="162" spans="1:7" ht="9.75" customHeight="1">
      <c r="A162" s="353"/>
      <c r="B162" s="353"/>
      <c r="C162" s="463"/>
      <c r="D162" s="463"/>
      <c r="E162" s="463"/>
      <c r="F162" s="353"/>
      <c r="G162" s="353"/>
    </row>
    <row r="163" spans="1:7" ht="9.75" customHeight="1">
      <c r="A163" s="353"/>
      <c r="B163" s="353"/>
      <c r="C163" s="463"/>
      <c r="D163" s="463"/>
      <c r="E163" s="463"/>
      <c r="F163" s="353"/>
      <c r="G163" s="353"/>
    </row>
    <row r="164" spans="1:7" ht="9.75" customHeight="1">
      <c r="A164" s="353"/>
      <c r="B164" s="353"/>
      <c r="C164" s="463"/>
      <c r="D164" s="463"/>
      <c r="E164" s="463"/>
      <c r="F164" s="353"/>
      <c r="G164" s="353"/>
    </row>
    <row r="165" spans="1:7" ht="9.75" customHeight="1">
      <c r="A165" s="353"/>
      <c r="B165" s="353"/>
      <c r="C165" s="463"/>
      <c r="D165" s="463"/>
      <c r="E165" s="463"/>
      <c r="F165" s="353"/>
      <c r="G165" s="353"/>
    </row>
    <row r="166" spans="1:7" ht="9.75" customHeight="1">
      <c r="A166" s="353"/>
      <c r="B166" s="353"/>
      <c r="C166" s="463"/>
      <c r="D166" s="463"/>
      <c r="E166" s="463"/>
      <c r="F166" s="353"/>
      <c r="G166" s="353"/>
    </row>
    <row r="167" spans="1:7" ht="9.75" customHeight="1">
      <c r="A167" s="353"/>
      <c r="B167" s="353"/>
      <c r="C167" s="463"/>
      <c r="D167" s="463"/>
      <c r="E167" s="463"/>
      <c r="F167" s="353"/>
      <c r="G167" s="353"/>
    </row>
    <row r="168" spans="1:7" ht="9.75" customHeight="1">
      <c r="A168" s="353"/>
      <c r="B168" s="353"/>
      <c r="C168" s="463"/>
      <c r="D168" s="463"/>
      <c r="E168" s="463"/>
      <c r="F168" s="353"/>
      <c r="G168" s="353"/>
    </row>
    <row r="169" spans="1:7" ht="9.75" customHeight="1">
      <c r="A169" s="353"/>
      <c r="B169" s="353"/>
      <c r="C169" s="463"/>
      <c r="D169" s="463"/>
      <c r="E169" s="463"/>
      <c r="F169" s="353"/>
      <c r="G169" s="353"/>
    </row>
    <row r="170" spans="1:7" ht="9.75" customHeight="1">
      <c r="A170" s="353"/>
      <c r="B170" s="353"/>
      <c r="C170" s="353"/>
      <c r="D170" s="353"/>
      <c r="E170" s="353"/>
      <c r="F170" s="353"/>
      <c r="G170" s="353"/>
    </row>
    <row r="171" spans="1:7" ht="9.75" customHeight="1">
      <c r="A171" s="353"/>
      <c r="B171" s="353"/>
      <c r="C171" s="353"/>
      <c r="D171" s="353"/>
      <c r="E171" s="353"/>
      <c r="F171" s="353"/>
      <c r="G171" s="353"/>
    </row>
    <row r="172" spans="1:7" ht="9.75" customHeight="1">
      <c r="A172" s="353"/>
      <c r="B172" s="353"/>
      <c r="C172" s="353"/>
      <c r="D172" s="353"/>
      <c r="E172" s="353"/>
      <c r="F172" s="353"/>
      <c r="G172" s="353"/>
    </row>
    <row r="173" spans="1:7" ht="9.75" customHeight="1">
      <c r="A173" s="353"/>
      <c r="B173" s="353"/>
      <c r="C173" s="353"/>
      <c r="D173" s="353"/>
      <c r="E173" s="353"/>
      <c r="F173" s="353"/>
      <c r="G173" s="353"/>
    </row>
    <row r="174" spans="1:7" ht="9.75" customHeight="1">
      <c r="A174" s="353"/>
      <c r="B174" s="353"/>
      <c r="C174" s="353"/>
      <c r="D174" s="353"/>
      <c r="E174" s="353"/>
      <c r="F174" s="353"/>
      <c r="G174" s="353"/>
    </row>
    <row r="175" spans="1:7" ht="9.75" customHeight="1">
      <c r="A175" s="353"/>
      <c r="B175" s="353"/>
      <c r="C175" s="353"/>
      <c r="D175" s="353"/>
      <c r="E175" s="353"/>
      <c r="F175" s="353"/>
      <c r="G175" s="353"/>
    </row>
    <row r="176" spans="1:7" ht="9.75" customHeight="1">
      <c r="A176" s="353"/>
      <c r="B176" s="353"/>
      <c r="C176" s="353"/>
      <c r="D176" s="353"/>
      <c r="E176" s="353"/>
      <c r="F176" s="353"/>
      <c r="G176" s="353"/>
    </row>
    <row r="177" spans="1:7" ht="9.75" customHeight="1">
      <c r="A177" s="353"/>
      <c r="B177" s="353"/>
      <c r="C177" s="353"/>
      <c r="D177" s="353"/>
      <c r="E177" s="353"/>
      <c r="F177" s="353"/>
      <c r="G177" s="353"/>
    </row>
    <row r="178" spans="1:7" ht="9.75" customHeight="1">
      <c r="A178" s="353"/>
      <c r="B178" s="353"/>
      <c r="C178" s="353"/>
      <c r="D178" s="353"/>
      <c r="E178" s="353"/>
      <c r="F178" s="353"/>
      <c r="G178" s="353"/>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91" orientation="portrait" r:id="rId1"/>
  <headerFooter>
    <oddHeader>&amp;R&amp;7Informe de la Operación Mensual-Setiembre 2019
INFSGI-MES-09-2019
11/10/2019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107"/>
  <sheetViews>
    <sheetView showGridLines="0" view="pageBreakPreview" zoomScale="120" zoomScaleNormal="100" zoomScaleSheetLayoutView="120" zoomScalePageLayoutView="130" workbookViewId="0">
      <selection activeCell="G86" sqref="G86"/>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68" t="s">
        <v>261</v>
      </c>
      <c r="B1" s="971" t="s">
        <v>55</v>
      </c>
      <c r="C1" s="974" t="str">
        <f>+'18. ANEXOI-1'!C2:F2</f>
        <v>ENERGÍA PRODUCIDA SETIEMBRE 2019</v>
      </c>
      <c r="D1" s="974"/>
      <c r="E1" s="974"/>
      <c r="F1" s="974"/>
      <c r="G1" s="693" t="s">
        <v>287</v>
      </c>
      <c r="H1" s="203"/>
    </row>
    <row r="2" spans="1:8" ht="11.25" customHeight="1">
      <c r="A2" s="969"/>
      <c r="B2" s="972"/>
      <c r="C2" s="975" t="s">
        <v>288</v>
      </c>
      <c r="D2" s="975"/>
      <c r="E2" s="975"/>
      <c r="F2" s="976" t="str">
        <f>"TOTAL 
"&amp;UPPER('1. Resumen'!Q4)</f>
        <v>TOTAL 
SETIEMBRE</v>
      </c>
      <c r="G2" s="694" t="s">
        <v>289</v>
      </c>
      <c r="H2" s="194"/>
    </row>
    <row r="3" spans="1:8" ht="11.25" customHeight="1">
      <c r="A3" s="969"/>
      <c r="B3" s="972"/>
      <c r="C3" s="683" t="s">
        <v>222</v>
      </c>
      <c r="D3" s="683" t="s">
        <v>223</v>
      </c>
      <c r="E3" s="683" t="s">
        <v>290</v>
      </c>
      <c r="F3" s="977"/>
      <c r="G3" s="694">
        <v>2019</v>
      </c>
      <c r="H3" s="196"/>
    </row>
    <row r="4" spans="1:8" ht="11.25" customHeight="1">
      <c r="A4" s="978"/>
      <c r="B4" s="979"/>
      <c r="C4" s="684" t="s">
        <v>291</v>
      </c>
      <c r="D4" s="684" t="s">
        <v>291</v>
      </c>
      <c r="E4" s="684" t="s">
        <v>291</v>
      </c>
      <c r="F4" s="684" t="s">
        <v>291</v>
      </c>
      <c r="G4" s="695" t="s">
        <v>210</v>
      </c>
      <c r="H4" s="196"/>
    </row>
    <row r="5" spans="1:8" ht="10.5" customHeight="1">
      <c r="A5" s="743" t="s">
        <v>88</v>
      </c>
      <c r="B5" s="686" t="s">
        <v>343</v>
      </c>
      <c r="C5" s="687">
        <v>20678.0484</v>
      </c>
      <c r="D5" s="687"/>
      <c r="E5" s="687"/>
      <c r="F5" s="687">
        <v>20678.0484</v>
      </c>
      <c r="G5" s="749">
        <v>415219.29260249995</v>
      </c>
    </row>
    <row r="6" spans="1:8" ht="10.5" customHeight="1">
      <c r="A6" s="743"/>
      <c r="B6" s="686" t="s">
        <v>344</v>
      </c>
      <c r="C6" s="687">
        <v>44408.525792500004</v>
      </c>
      <c r="D6" s="687"/>
      <c r="E6" s="687"/>
      <c r="F6" s="687">
        <v>44408.525792500004</v>
      </c>
      <c r="G6" s="749">
        <v>658235.31022499991</v>
      </c>
    </row>
    <row r="7" spans="1:8" ht="10.5" customHeight="1">
      <c r="A7" s="743"/>
      <c r="B7" s="686" t="s">
        <v>345</v>
      </c>
      <c r="C7" s="687"/>
      <c r="D7" s="687">
        <v>507502.08043000003</v>
      </c>
      <c r="E7" s="687"/>
      <c r="F7" s="687">
        <v>507502.08043000003</v>
      </c>
      <c r="G7" s="749">
        <v>3192204.7186000003</v>
      </c>
    </row>
    <row r="8" spans="1:8" ht="10.5" customHeight="1">
      <c r="A8" s="743"/>
      <c r="B8" s="686" t="s">
        <v>346</v>
      </c>
      <c r="C8" s="687"/>
      <c r="D8" s="687">
        <v>68850.207192500005</v>
      </c>
      <c r="E8" s="687"/>
      <c r="F8" s="687">
        <v>68850.207192500005</v>
      </c>
      <c r="G8" s="749">
        <v>318343.42588749994</v>
      </c>
    </row>
    <row r="9" spans="1:8" ht="10.5" customHeight="1">
      <c r="A9" s="743"/>
      <c r="B9" s="686" t="s">
        <v>347</v>
      </c>
      <c r="C9" s="687"/>
      <c r="D9" s="687">
        <v>5160.7714649999998</v>
      </c>
      <c r="E9" s="687"/>
      <c r="F9" s="687">
        <v>5160.7714649999998</v>
      </c>
      <c r="G9" s="749">
        <v>27548.306129999997</v>
      </c>
    </row>
    <row r="10" spans="1:8" ht="10.5" customHeight="1">
      <c r="A10" s="743"/>
      <c r="B10" s="686" t="s">
        <v>348</v>
      </c>
      <c r="C10" s="687"/>
      <c r="D10" s="687">
        <v>453.46934750000003</v>
      </c>
      <c r="E10" s="687"/>
      <c r="F10" s="687">
        <v>453.46934750000003</v>
      </c>
      <c r="G10" s="749">
        <v>2720.3683350000001</v>
      </c>
    </row>
    <row r="11" spans="1:8" ht="10.5" customHeight="1">
      <c r="A11" s="743"/>
      <c r="B11" s="686" t="s">
        <v>349</v>
      </c>
      <c r="C11" s="687"/>
      <c r="D11" s="687">
        <v>0</v>
      </c>
      <c r="E11" s="687"/>
      <c r="F11" s="687">
        <v>0</v>
      </c>
      <c r="G11" s="749">
        <v>5370.8585675000004</v>
      </c>
    </row>
    <row r="12" spans="1:8" ht="10.5" customHeight="1">
      <c r="A12" s="743"/>
      <c r="B12" s="686" t="s">
        <v>518</v>
      </c>
      <c r="C12" s="687"/>
      <c r="D12" s="687"/>
      <c r="E12" s="687">
        <v>9361.5342400000009</v>
      </c>
      <c r="F12" s="687">
        <v>9361.5342400000009</v>
      </c>
      <c r="G12" s="749">
        <v>72709.230379999994</v>
      </c>
    </row>
    <row r="13" spans="1:8" ht="10.5" customHeight="1">
      <c r="A13" s="745" t="s">
        <v>350</v>
      </c>
      <c r="B13" s="561"/>
      <c r="C13" s="562">
        <v>65086.574192500004</v>
      </c>
      <c r="D13" s="562">
        <v>581966.52843499999</v>
      </c>
      <c r="E13" s="562">
        <v>9361.5342400000009</v>
      </c>
      <c r="F13" s="562">
        <v>656414.63686750003</v>
      </c>
      <c r="G13" s="750">
        <v>4692351.5107274996</v>
      </c>
    </row>
    <row r="14" spans="1:8" ht="10.5" customHeight="1">
      <c r="A14" s="743" t="s">
        <v>250</v>
      </c>
      <c r="B14" s="686" t="s">
        <v>351</v>
      </c>
      <c r="C14" s="687"/>
      <c r="D14" s="687">
        <v>378109.1874925</v>
      </c>
      <c r="E14" s="687"/>
      <c r="F14" s="687">
        <v>378109.1874925</v>
      </c>
      <c r="G14" s="749">
        <v>3054281.0894874996</v>
      </c>
    </row>
    <row r="15" spans="1:8" ht="10.5" customHeight="1">
      <c r="A15" s="745" t="s">
        <v>352</v>
      </c>
      <c r="B15" s="561"/>
      <c r="C15" s="562"/>
      <c r="D15" s="562">
        <v>378109.1874925</v>
      </c>
      <c r="E15" s="562"/>
      <c r="F15" s="562">
        <v>378109.1874925</v>
      </c>
      <c r="G15" s="750">
        <v>3054281.0894874996</v>
      </c>
    </row>
    <row r="16" spans="1:8" ht="10.5" customHeight="1">
      <c r="A16" s="743" t="s">
        <v>109</v>
      </c>
      <c r="B16" s="686" t="s">
        <v>67</v>
      </c>
      <c r="C16" s="687"/>
      <c r="D16" s="687"/>
      <c r="E16" s="687">
        <v>4909.0553774999998</v>
      </c>
      <c r="F16" s="687">
        <v>4909.0553774999998</v>
      </c>
      <c r="G16" s="749">
        <v>42412.379489999999</v>
      </c>
    </row>
    <row r="17" spans="1:7" ht="10.5" customHeight="1">
      <c r="A17" s="743"/>
      <c r="B17" s="686" t="s">
        <v>485</v>
      </c>
      <c r="C17" s="687"/>
      <c r="D17" s="687"/>
      <c r="E17" s="687">
        <v>2771.4883625000002</v>
      </c>
      <c r="F17" s="687">
        <v>2771.4883625000002</v>
      </c>
      <c r="G17" s="749">
        <v>49155.381545000011</v>
      </c>
    </row>
    <row r="18" spans="1:7" ht="10.5" customHeight="1">
      <c r="A18" s="743"/>
      <c r="B18" s="686" t="s">
        <v>483</v>
      </c>
      <c r="C18" s="687"/>
      <c r="D18" s="687"/>
      <c r="E18" s="687">
        <v>3679.0411575000003</v>
      </c>
      <c r="F18" s="687">
        <v>3679.0411575000003</v>
      </c>
      <c r="G18" s="749">
        <v>56194.377682500002</v>
      </c>
    </row>
    <row r="19" spans="1:7" ht="10.5" customHeight="1">
      <c r="A19" s="743"/>
      <c r="B19" s="686" t="s">
        <v>484</v>
      </c>
      <c r="C19" s="687"/>
      <c r="D19" s="687"/>
      <c r="E19" s="687">
        <v>3716.9529700000003</v>
      </c>
      <c r="F19" s="687">
        <v>3716.9529700000003</v>
      </c>
      <c r="G19" s="749">
        <v>55659.778577500008</v>
      </c>
    </row>
    <row r="20" spans="1:7" ht="10.5" customHeight="1">
      <c r="A20" s="745" t="s">
        <v>353</v>
      </c>
      <c r="B20" s="561"/>
      <c r="C20" s="562"/>
      <c r="D20" s="562"/>
      <c r="E20" s="562">
        <v>15076.537867500001</v>
      </c>
      <c r="F20" s="562">
        <v>15076.537867500001</v>
      </c>
      <c r="G20" s="750">
        <v>203421.91729499999</v>
      </c>
    </row>
    <row r="21" spans="1:7" ht="10.5" customHeight="1">
      <c r="A21" s="743" t="s">
        <v>112</v>
      </c>
      <c r="B21" s="686" t="s">
        <v>244</v>
      </c>
      <c r="C21" s="687"/>
      <c r="D21" s="687"/>
      <c r="E21" s="687">
        <v>3852.2925</v>
      </c>
      <c r="F21" s="687">
        <v>3852.2925</v>
      </c>
      <c r="G21" s="749">
        <v>32308.646064999997</v>
      </c>
    </row>
    <row r="22" spans="1:7" ht="10.5" customHeight="1">
      <c r="A22" s="745" t="s">
        <v>354</v>
      </c>
      <c r="B22" s="561"/>
      <c r="C22" s="562"/>
      <c r="D22" s="562"/>
      <c r="E22" s="562">
        <v>3852.2925</v>
      </c>
      <c r="F22" s="562">
        <v>3852.2925</v>
      </c>
      <c r="G22" s="750">
        <v>32308.646064999997</v>
      </c>
    </row>
    <row r="23" spans="1:7" ht="10.5" customHeight="1">
      <c r="A23" s="743" t="s">
        <v>113</v>
      </c>
      <c r="B23" s="686" t="s">
        <v>83</v>
      </c>
      <c r="C23" s="687"/>
      <c r="D23" s="687"/>
      <c r="E23" s="687">
        <v>3821.0052099999998</v>
      </c>
      <c r="F23" s="687">
        <v>3821.0052099999998</v>
      </c>
      <c r="G23" s="749">
        <v>31653.123729999996</v>
      </c>
    </row>
    <row r="24" spans="1:7" ht="10.5" customHeight="1">
      <c r="A24" s="745" t="s">
        <v>355</v>
      </c>
      <c r="B24" s="561"/>
      <c r="C24" s="562"/>
      <c r="D24" s="562"/>
      <c r="E24" s="562">
        <v>3821.0052099999998</v>
      </c>
      <c r="F24" s="562">
        <v>3821.0052099999998</v>
      </c>
      <c r="G24" s="750">
        <v>31653.123729999996</v>
      </c>
    </row>
    <row r="25" spans="1:7" ht="10.5" customHeight="1">
      <c r="A25" s="743" t="s">
        <v>117</v>
      </c>
      <c r="B25" s="686" t="s">
        <v>75</v>
      </c>
      <c r="C25" s="687"/>
      <c r="D25" s="687"/>
      <c r="E25" s="687">
        <v>2485.1999999999998</v>
      </c>
      <c r="F25" s="687">
        <v>2485.1999999999998</v>
      </c>
      <c r="G25" s="749">
        <v>21061.600000000111</v>
      </c>
    </row>
    <row r="26" spans="1:7" ht="10.5" customHeight="1">
      <c r="A26" s="745" t="s">
        <v>356</v>
      </c>
      <c r="B26" s="561"/>
      <c r="C26" s="562"/>
      <c r="D26" s="562"/>
      <c r="E26" s="562">
        <v>2485.1999999999998</v>
      </c>
      <c r="F26" s="562">
        <v>2485.1999999999998</v>
      </c>
      <c r="G26" s="750">
        <v>21061.600000000111</v>
      </c>
    </row>
    <row r="27" spans="1:7" ht="10.5" customHeight="1">
      <c r="A27" s="743" t="s">
        <v>104</v>
      </c>
      <c r="B27" s="686" t="s">
        <v>357</v>
      </c>
      <c r="C27" s="687">
        <v>11708.15804</v>
      </c>
      <c r="D27" s="687"/>
      <c r="E27" s="687"/>
      <c r="F27" s="687">
        <v>11708.15804</v>
      </c>
      <c r="G27" s="749">
        <v>118404.62503999997</v>
      </c>
    </row>
    <row r="28" spans="1:7" ht="10.5" customHeight="1">
      <c r="A28" s="745" t="s">
        <v>358</v>
      </c>
      <c r="B28" s="561"/>
      <c r="C28" s="562">
        <v>11708.15804</v>
      </c>
      <c r="D28" s="562"/>
      <c r="E28" s="562"/>
      <c r="F28" s="562">
        <v>11708.15804</v>
      </c>
      <c r="G28" s="750">
        <v>118404.62503999997</v>
      </c>
    </row>
    <row r="29" spans="1:7" ht="20.25" customHeight="1">
      <c r="A29" s="758" t="s">
        <v>502</v>
      </c>
      <c r="B29" s="698" t="s">
        <v>359</v>
      </c>
      <c r="C29" s="699">
        <v>7816.3281674999998</v>
      </c>
      <c r="D29" s="699"/>
      <c r="E29" s="699"/>
      <c r="F29" s="699">
        <v>7816.3281674999998</v>
      </c>
      <c r="G29" s="759">
        <v>104421.73075500001</v>
      </c>
    </row>
    <row r="30" spans="1:7" ht="10.5" customHeight="1">
      <c r="A30" s="745" t="s">
        <v>497</v>
      </c>
      <c r="B30" s="561"/>
      <c r="C30" s="562">
        <v>7816.3281674999998</v>
      </c>
      <c r="D30" s="562"/>
      <c r="E30" s="562"/>
      <c r="F30" s="562">
        <v>7816.3281674999998</v>
      </c>
      <c r="G30" s="750">
        <v>104421.73075500001</v>
      </c>
    </row>
    <row r="31" spans="1:7" ht="10.5" customHeight="1">
      <c r="A31" s="743" t="s">
        <v>251</v>
      </c>
      <c r="B31" s="686" t="s">
        <v>60</v>
      </c>
      <c r="C31" s="687"/>
      <c r="D31" s="687"/>
      <c r="E31" s="687">
        <v>10729.280215000001</v>
      </c>
      <c r="F31" s="687">
        <v>10729.280215000001</v>
      </c>
      <c r="G31" s="749">
        <v>100671.0208225</v>
      </c>
    </row>
    <row r="32" spans="1:7" ht="10.5" customHeight="1">
      <c r="A32" s="745" t="s">
        <v>360</v>
      </c>
      <c r="B32" s="561"/>
      <c r="C32" s="562"/>
      <c r="D32" s="562"/>
      <c r="E32" s="562">
        <v>10729.280215000001</v>
      </c>
      <c r="F32" s="562">
        <v>10729.280215000001</v>
      </c>
      <c r="G32" s="750">
        <v>100671.0208225</v>
      </c>
    </row>
    <row r="33" spans="1:8" ht="10.5" customHeight="1">
      <c r="A33" s="743" t="s">
        <v>482</v>
      </c>
      <c r="B33" s="686" t="s">
        <v>731</v>
      </c>
      <c r="C33" s="687">
        <v>0</v>
      </c>
      <c r="D33" s="687"/>
      <c r="E33" s="687"/>
      <c r="F33" s="687">
        <v>0</v>
      </c>
      <c r="G33" s="749">
        <v>3534.2567500000005</v>
      </c>
    </row>
    <row r="34" spans="1:8" ht="10.5" customHeight="1">
      <c r="A34" s="745" t="s">
        <v>487</v>
      </c>
      <c r="B34" s="561"/>
      <c r="C34" s="562">
        <v>0</v>
      </c>
      <c r="D34" s="562"/>
      <c r="E34" s="562"/>
      <c r="F34" s="562">
        <v>0</v>
      </c>
      <c r="G34" s="750">
        <v>3534.2567500000005</v>
      </c>
    </row>
    <row r="35" spans="1:8" ht="10.5" customHeight="1">
      <c r="A35" s="743" t="s">
        <v>520</v>
      </c>
      <c r="B35" s="686" t="s">
        <v>527</v>
      </c>
      <c r="C35" s="687">
        <v>37214.572662500002</v>
      </c>
      <c r="D35" s="687"/>
      <c r="E35" s="687"/>
      <c r="F35" s="687">
        <v>37214.572662500002</v>
      </c>
      <c r="G35" s="749">
        <v>496981.45954250009</v>
      </c>
    </row>
    <row r="36" spans="1:8" ht="10.5" customHeight="1">
      <c r="A36" s="745" t="s">
        <v>528</v>
      </c>
      <c r="B36" s="561"/>
      <c r="C36" s="562">
        <v>37214.572662500002</v>
      </c>
      <c r="D36" s="562"/>
      <c r="E36" s="562"/>
      <c r="F36" s="562">
        <v>37214.572662500002</v>
      </c>
      <c r="G36" s="750">
        <v>496981.45954250009</v>
      </c>
    </row>
    <row r="37" spans="1:8" ht="10.5" customHeight="1">
      <c r="A37" s="760" t="s">
        <v>119</v>
      </c>
      <c r="B37" s="461" t="s">
        <v>361</v>
      </c>
      <c r="C37" s="462"/>
      <c r="D37" s="462">
        <v>50.015459999999997</v>
      </c>
      <c r="E37" s="462"/>
      <c r="F37" s="462">
        <v>50.015459999999997</v>
      </c>
      <c r="G37" s="761">
        <v>322.04004750000001</v>
      </c>
    </row>
    <row r="38" spans="1:8" ht="10.5" customHeight="1">
      <c r="A38" s="762"/>
      <c r="B38" s="686" t="s">
        <v>362</v>
      </c>
      <c r="C38" s="687"/>
      <c r="D38" s="687">
        <v>1.5787125</v>
      </c>
      <c r="E38" s="687"/>
      <c r="F38" s="687">
        <v>1.5787125</v>
      </c>
      <c r="G38" s="749">
        <v>1446.503575</v>
      </c>
    </row>
    <row r="39" spans="1:8" ht="10.5" customHeight="1">
      <c r="A39" s="745" t="s">
        <v>363</v>
      </c>
      <c r="B39" s="561"/>
      <c r="C39" s="562"/>
      <c r="D39" s="562">
        <v>51.594172499999999</v>
      </c>
      <c r="E39" s="562"/>
      <c r="F39" s="562">
        <v>51.594172499999999</v>
      </c>
      <c r="G39" s="750">
        <v>1768.5436224999999</v>
      </c>
    </row>
    <row r="40" spans="1:8" ht="10.5" customHeight="1">
      <c r="A40" s="743" t="s">
        <v>479</v>
      </c>
      <c r="B40" s="686" t="s">
        <v>364</v>
      </c>
      <c r="C40" s="687"/>
      <c r="D40" s="687">
        <v>556156.92220500007</v>
      </c>
      <c r="E40" s="687"/>
      <c r="F40" s="687">
        <v>556156.92220500007</v>
      </c>
      <c r="G40" s="749">
        <v>3059877.1376</v>
      </c>
    </row>
    <row r="41" spans="1:8" ht="10.5" customHeight="1">
      <c r="A41" s="743"/>
      <c r="B41" s="686" t="s">
        <v>365</v>
      </c>
      <c r="C41" s="687"/>
      <c r="D41" s="687">
        <v>81436.206647500003</v>
      </c>
      <c r="E41" s="687"/>
      <c r="F41" s="687">
        <v>81436.206647500003</v>
      </c>
      <c r="G41" s="749">
        <v>416368.40695500007</v>
      </c>
    </row>
    <row r="42" spans="1:8" ht="10.5" customHeight="1">
      <c r="A42" s="762"/>
      <c r="B42" s="686" t="s">
        <v>525</v>
      </c>
      <c r="C42" s="687">
        <v>182291.29054000002</v>
      </c>
      <c r="D42" s="687"/>
      <c r="E42" s="687"/>
      <c r="F42" s="687">
        <v>182291.29054000002</v>
      </c>
      <c r="G42" s="749">
        <v>2271534.9441124997</v>
      </c>
    </row>
    <row r="43" spans="1:8" ht="10.5" customHeight="1">
      <c r="A43" s="762"/>
      <c r="B43" s="686" t="s">
        <v>366</v>
      </c>
      <c r="C43" s="687">
        <v>1717.4360650000001</v>
      </c>
      <c r="D43" s="687"/>
      <c r="E43" s="687"/>
      <c r="F43" s="687">
        <v>1717.4360650000001</v>
      </c>
      <c r="G43" s="749">
        <v>40687.733990000001</v>
      </c>
    </row>
    <row r="44" spans="1:8" ht="10.5" customHeight="1">
      <c r="A44" s="745" t="s">
        <v>367</v>
      </c>
      <c r="B44" s="561"/>
      <c r="C44" s="562">
        <v>184008.726605</v>
      </c>
      <c r="D44" s="562">
        <v>637593.12885250011</v>
      </c>
      <c r="E44" s="562"/>
      <c r="F44" s="562">
        <v>821601.85545750009</v>
      </c>
      <c r="G44" s="750">
        <v>5788468.2226574989</v>
      </c>
    </row>
    <row r="45" spans="1:8" ht="10.5" customHeight="1">
      <c r="A45" s="743" t="s">
        <v>118</v>
      </c>
      <c r="B45" s="686" t="s">
        <v>73</v>
      </c>
      <c r="C45" s="687"/>
      <c r="D45" s="687"/>
      <c r="E45" s="687">
        <v>662.55984250000006</v>
      </c>
      <c r="F45" s="687">
        <v>662.55984250000006</v>
      </c>
      <c r="G45" s="749">
        <v>11286.075542500002</v>
      </c>
    </row>
    <row r="46" spans="1:8" ht="10.5" customHeight="1">
      <c r="A46" s="745" t="s">
        <v>368</v>
      </c>
      <c r="B46" s="561"/>
      <c r="C46" s="562"/>
      <c r="D46" s="562"/>
      <c r="E46" s="562">
        <v>662.55984250000006</v>
      </c>
      <c r="F46" s="562">
        <v>662.55984250000006</v>
      </c>
      <c r="G46" s="750">
        <v>11286.075542500002</v>
      </c>
    </row>
    <row r="47" spans="1:8" ht="10.5" customHeight="1">
      <c r="A47" s="743" t="s">
        <v>111</v>
      </c>
      <c r="B47" s="686" t="s">
        <v>82</v>
      </c>
      <c r="C47" s="687"/>
      <c r="D47" s="687"/>
      <c r="E47" s="687">
        <v>4124.1915774999998</v>
      </c>
      <c r="F47" s="687">
        <v>4124.1915774999998</v>
      </c>
      <c r="G47" s="749">
        <v>33436.4719425</v>
      </c>
    </row>
    <row r="48" spans="1:8" ht="10.5" customHeight="1">
      <c r="A48" s="745" t="s">
        <v>369</v>
      </c>
      <c r="B48" s="561"/>
      <c r="C48" s="562"/>
      <c r="D48" s="562"/>
      <c r="E48" s="562">
        <v>4124.1915774999998</v>
      </c>
      <c r="F48" s="562">
        <v>4124.1915774999998</v>
      </c>
      <c r="G48" s="750">
        <v>33436.4719425</v>
      </c>
      <c r="H48" s="383"/>
    </row>
    <row r="49" spans="1:7" ht="10.5" customHeight="1">
      <c r="A49" s="743" t="s">
        <v>252</v>
      </c>
      <c r="B49" s="686" t="s">
        <v>72</v>
      </c>
      <c r="C49" s="687"/>
      <c r="D49" s="687"/>
      <c r="E49" s="687">
        <v>618.86973999999998</v>
      </c>
      <c r="F49" s="687">
        <v>618.86973999999998</v>
      </c>
      <c r="G49" s="749">
        <v>25213.3100925</v>
      </c>
    </row>
    <row r="50" spans="1:7" ht="10.5" customHeight="1">
      <c r="A50" s="743"/>
      <c r="B50" s="686" t="s">
        <v>370</v>
      </c>
      <c r="C50" s="687">
        <v>67611.168785000002</v>
      </c>
      <c r="D50" s="687"/>
      <c r="E50" s="687"/>
      <c r="F50" s="687">
        <v>67611.168785000002</v>
      </c>
      <c r="G50" s="749">
        <v>1057848.7103774999</v>
      </c>
    </row>
    <row r="51" spans="1:7" ht="10.5" customHeight="1">
      <c r="A51" s="743"/>
      <c r="B51" s="686" t="s">
        <v>371</v>
      </c>
      <c r="C51" s="687">
        <v>10111.0631675</v>
      </c>
      <c r="D51" s="687"/>
      <c r="E51" s="687"/>
      <c r="F51" s="687">
        <v>10111.0631675</v>
      </c>
      <c r="G51" s="749">
        <v>397858.91849499993</v>
      </c>
    </row>
    <row r="52" spans="1:7" ht="10.5" customHeight="1">
      <c r="A52" s="743"/>
      <c r="B52" s="686" t="s">
        <v>63</v>
      </c>
      <c r="C52" s="687"/>
      <c r="D52" s="687"/>
      <c r="E52" s="687">
        <v>3515.5450049999999</v>
      </c>
      <c r="F52" s="687">
        <v>3515.5450049999999</v>
      </c>
      <c r="G52" s="749">
        <v>52631.187959999967</v>
      </c>
    </row>
    <row r="53" spans="1:7" ht="10.5" customHeight="1">
      <c r="A53" s="745" t="s">
        <v>372</v>
      </c>
      <c r="B53" s="561"/>
      <c r="C53" s="562">
        <v>77722.231952500006</v>
      </c>
      <c r="D53" s="562"/>
      <c r="E53" s="562">
        <v>4134.414745</v>
      </c>
      <c r="F53" s="562">
        <v>81856.646697499993</v>
      </c>
      <c r="G53" s="750">
        <v>1533552.1269249998</v>
      </c>
    </row>
    <row r="54" spans="1:7" ht="10.5" customHeight="1">
      <c r="A54" s="743" t="s">
        <v>253</v>
      </c>
      <c r="B54" s="686" t="s">
        <v>79</v>
      </c>
      <c r="C54" s="687"/>
      <c r="D54" s="687"/>
      <c r="E54" s="687">
        <v>13998.350742500001</v>
      </c>
      <c r="F54" s="687">
        <v>13998.350742500001</v>
      </c>
      <c r="G54" s="749">
        <v>120262.87412000002</v>
      </c>
    </row>
    <row r="55" spans="1:7" ht="10.5" customHeight="1">
      <c r="A55" s="745" t="s">
        <v>373</v>
      </c>
      <c r="B55" s="561"/>
      <c r="C55" s="562"/>
      <c r="D55" s="562"/>
      <c r="E55" s="562">
        <v>13998.350742500001</v>
      </c>
      <c r="F55" s="562">
        <v>13998.350742500001</v>
      </c>
      <c r="G55" s="750">
        <v>120262.87412000002</v>
      </c>
    </row>
    <row r="56" spans="1:7" ht="10.5" customHeight="1">
      <c r="A56" s="743" t="s">
        <v>100</v>
      </c>
      <c r="B56" s="686" t="s">
        <v>77</v>
      </c>
      <c r="C56" s="687"/>
      <c r="D56" s="687"/>
      <c r="E56" s="687">
        <v>40208.552394999999</v>
      </c>
      <c r="F56" s="687">
        <v>40208.552394999999</v>
      </c>
      <c r="G56" s="749">
        <v>352197.57294500002</v>
      </c>
    </row>
    <row r="57" spans="1:7" ht="10.5" customHeight="1">
      <c r="A57" s="745" t="s">
        <v>374</v>
      </c>
      <c r="B57" s="561"/>
      <c r="C57" s="562"/>
      <c r="D57" s="562"/>
      <c r="E57" s="562">
        <v>40208.552394999999</v>
      </c>
      <c r="F57" s="562">
        <v>40208.552394999999</v>
      </c>
      <c r="G57" s="750">
        <v>352197.57294500002</v>
      </c>
    </row>
    <row r="58" spans="1:7" ht="10.5" customHeight="1">
      <c r="A58" s="743" t="s">
        <v>108</v>
      </c>
      <c r="B58" s="686" t="s">
        <v>243</v>
      </c>
      <c r="C58" s="687"/>
      <c r="D58" s="687"/>
      <c r="E58" s="687">
        <v>4472.1122500000001</v>
      </c>
      <c r="F58" s="687">
        <v>4472.1122500000001</v>
      </c>
      <c r="G58" s="749">
        <v>36216.332337500004</v>
      </c>
    </row>
    <row r="59" spans="1:7" ht="10.5" customHeight="1">
      <c r="A59" s="745" t="s">
        <v>375</v>
      </c>
      <c r="B59" s="561"/>
      <c r="C59" s="562"/>
      <c r="D59" s="562"/>
      <c r="E59" s="562">
        <v>4472.1122500000001</v>
      </c>
      <c r="F59" s="562">
        <v>4472.1122500000001</v>
      </c>
      <c r="G59" s="750">
        <v>36216.332337500004</v>
      </c>
    </row>
    <row r="60" spans="1:7" ht="10.5" customHeight="1">
      <c r="A60" s="743" t="s">
        <v>480</v>
      </c>
      <c r="B60" s="686" t="s">
        <v>86</v>
      </c>
      <c r="C60" s="687"/>
      <c r="D60" s="687"/>
      <c r="E60" s="687">
        <v>1903.643605</v>
      </c>
      <c r="F60" s="687">
        <v>1903.643605</v>
      </c>
      <c r="G60" s="749">
        <v>12991.902399999995</v>
      </c>
    </row>
    <row r="61" spans="1:7" ht="10.5" customHeight="1">
      <c r="A61" s="743"/>
      <c r="B61" s="686" t="s">
        <v>85</v>
      </c>
      <c r="C61" s="687"/>
      <c r="D61" s="687"/>
      <c r="E61" s="687">
        <v>2826.5891849999998</v>
      </c>
      <c r="F61" s="687">
        <v>2826.5891849999998</v>
      </c>
      <c r="G61" s="749">
        <v>25255.824274999999</v>
      </c>
    </row>
    <row r="62" spans="1:7" ht="10.5" customHeight="1">
      <c r="A62" s="743"/>
      <c r="B62" s="686" t="s">
        <v>519</v>
      </c>
      <c r="C62" s="687"/>
      <c r="D62" s="687"/>
      <c r="E62" s="687">
        <v>835.86089250000009</v>
      </c>
      <c r="F62" s="687">
        <v>835.86089250000009</v>
      </c>
      <c r="G62" s="749">
        <v>10982.478980000005</v>
      </c>
    </row>
    <row r="63" spans="1:7" ht="10.5" customHeight="1">
      <c r="A63" s="745" t="s">
        <v>376</v>
      </c>
      <c r="B63" s="561"/>
      <c r="C63" s="562"/>
      <c r="D63" s="562"/>
      <c r="E63" s="562">
        <v>5566.0936824999999</v>
      </c>
      <c r="F63" s="562">
        <v>5566.0936824999999</v>
      </c>
      <c r="G63" s="750">
        <v>49230.205655000005</v>
      </c>
    </row>
    <row r="64" spans="1:7" ht="10.5" customHeight="1">
      <c r="A64" s="743" t="s">
        <v>254</v>
      </c>
      <c r="B64" s="686" t="s">
        <v>377</v>
      </c>
      <c r="C64" s="687"/>
      <c r="D64" s="687">
        <v>28.826350000000001</v>
      </c>
      <c r="E64" s="687"/>
      <c r="F64" s="687">
        <v>28.826350000000001</v>
      </c>
      <c r="G64" s="749">
        <v>690.4553924999999</v>
      </c>
    </row>
    <row r="65" spans="1:7" ht="10.5" customHeight="1">
      <c r="A65" s="745" t="s">
        <v>378</v>
      </c>
      <c r="B65" s="561"/>
      <c r="C65" s="562"/>
      <c r="D65" s="562">
        <v>28.826350000000001</v>
      </c>
      <c r="E65" s="562"/>
      <c r="F65" s="562">
        <v>28.826350000000001</v>
      </c>
      <c r="G65" s="750">
        <v>690.4553924999999</v>
      </c>
    </row>
    <row r="66" spans="1:7" ht="10.5" customHeight="1">
      <c r="A66" s="743" t="s">
        <v>562</v>
      </c>
      <c r="B66" s="686" t="s">
        <v>734</v>
      </c>
      <c r="C66" s="687"/>
      <c r="D66" s="687"/>
      <c r="E66" s="687">
        <v>9547.1700024999991</v>
      </c>
      <c r="F66" s="687">
        <v>9547.1700024999991</v>
      </c>
      <c r="G66" s="749">
        <v>36337.419594999999</v>
      </c>
    </row>
    <row r="67" spans="1:7" ht="10.5" customHeight="1">
      <c r="A67" s="745" t="s">
        <v>563</v>
      </c>
      <c r="B67" s="561"/>
      <c r="C67" s="562"/>
      <c r="D67" s="562"/>
      <c r="E67" s="562">
        <v>9547.1700024999991</v>
      </c>
      <c r="F67" s="562">
        <v>9547.1700024999991</v>
      </c>
      <c r="G67" s="750">
        <v>36337.419594999999</v>
      </c>
    </row>
    <row r="68" spans="1:7" ht="10.5" customHeight="1">
      <c r="A68" s="743" t="s">
        <v>105</v>
      </c>
      <c r="B68" s="686" t="s">
        <v>62</v>
      </c>
      <c r="C68" s="687"/>
      <c r="D68" s="687"/>
      <c r="E68" s="687">
        <v>993.66155749999996</v>
      </c>
      <c r="F68" s="687">
        <v>993.66155749999996</v>
      </c>
      <c r="G68" s="749">
        <v>76189.999747499998</v>
      </c>
    </row>
    <row r="69" spans="1:7" ht="10.5" customHeight="1">
      <c r="A69" s="763" t="s">
        <v>379</v>
      </c>
      <c r="B69" s="696"/>
      <c r="C69" s="697"/>
      <c r="D69" s="697"/>
      <c r="E69" s="697">
        <v>993.66155749999996</v>
      </c>
      <c r="F69" s="697">
        <v>993.66155749999996</v>
      </c>
      <c r="G69" s="764">
        <v>76189.999747499998</v>
      </c>
    </row>
    <row r="70" spans="1:7" ht="10.5" customHeight="1"/>
    <row r="71" spans="1:7" ht="10.5" customHeight="1"/>
    <row r="72" spans="1:7" ht="10.5" customHeight="1">
      <c r="A72" s="353"/>
      <c r="B72" s="353"/>
      <c r="C72" s="353"/>
      <c r="D72" s="353"/>
      <c r="E72" s="353"/>
      <c r="F72" s="353"/>
      <c r="G72" s="353"/>
    </row>
    <row r="73" spans="1:7" ht="10.5" customHeight="1">
      <c r="A73" s="353"/>
      <c r="B73" s="353"/>
      <c r="C73" s="353"/>
      <c r="D73" s="353"/>
      <c r="E73" s="353"/>
      <c r="F73" s="353"/>
      <c r="G73" s="353"/>
    </row>
    <row r="74" spans="1:7" ht="10.5" customHeight="1">
      <c r="A74" s="353"/>
      <c r="B74" s="353"/>
      <c r="C74" s="353"/>
      <c r="D74" s="353"/>
      <c r="E74" s="353"/>
      <c r="F74" s="353"/>
      <c r="G74" s="353"/>
    </row>
    <row r="75" spans="1:7" ht="10.5" customHeight="1">
      <c r="A75" s="353"/>
      <c r="B75" s="353"/>
      <c r="C75" s="353"/>
      <c r="D75" s="353"/>
      <c r="E75" s="353"/>
      <c r="F75" s="353"/>
      <c r="G75" s="353"/>
    </row>
    <row r="76" spans="1:7" ht="10.5" customHeight="1">
      <c r="A76" s="353"/>
      <c r="B76" s="353"/>
      <c r="C76" s="353"/>
      <c r="D76" s="353"/>
      <c r="E76" s="353"/>
      <c r="F76" s="353"/>
      <c r="G76" s="353"/>
    </row>
    <row r="77" spans="1:7" ht="10.5" customHeight="1">
      <c r="A77" s="353"/>
      <c r="B77" s="353"/>
      <c r="C77" s="353"/>
      <c r="D77" s="353"/>
      <c r="E77" s="353"/>
      <c r="F77" s="353"/>
      <c r="G77" s="353"/>
    </row>
    <row r="78" spans="1:7" ht="10.5" customHeight="1">
      <c r="A78" s="353"/>
      <c r="B78" s="353"/>
      <c r="C78" s="353"/>
      <c r="D78" s="353"/>
      <c r="E78" s="353"/>
      <c r="F78" s="353"/>
      <c r="G78" s="353"/>
    </row>
    <row r="79" spans="1:7" ht="10.5" customHeight="1">
      <c r="A79" s="353"/>
      <c r="B79" s="353"/>
      <c r="C79" s="353"/>
      <c r="D79" s="353"/>
      <c r="E79" s="353"/>
      <c r="F79" s="353"/>
      <c r="G79" s="353"/>
    </row>
    <row r="80" spans="1:7" ht="10.5" customHeight="1">
      <c r="A80" s="353"/>
      <c r="B80" s="353"/>
      <c r="C80" s="353"/>
      <c r="D80" s="353"/>
      <c r="E80" s="353"/>
      <c r="F80" s="353"/>
      <c r="G80" s="353"/>
    </row>
    <row r="81" spans="1:7" ht="10.5" customHeight="1">
      <c r="A81" s="353"/>
      <c r="B81" s="353"/>
      <c r="C81" s="353"/>
      <c r="D81" s="353"/>
      <c r="E81" s="353"/>
      <c r="F81" s="353"/>
      <c r="G81" s="353"/>
    </row>
    <row r="82" spans="1:7" ht="10.5" customHeight="1">
      <c r="A82" s="353"/>
      <c r="B82" s="353"/>
      <c r="C82" s="353"/>
      <c r="D82" s="353"/>
      <c r="E82" s="353"/>
      <c r="F82" s="353"/>
      <c r="G82" s="353"/>
    </row>
    <row r="83" spans="1:7" ht="10.5" customHeight="1">
      <c r="A83" s="353"/>
      <c r="B83" s="353"/>
      <c r="C83" s="353"/>
      <c r="D83" s="353"/>
      <c r="E83" s="353"/>
      <c r="F83" s="353"/>
      <c r="G83" s="353"/>
    </row>
    <row r="84" spans="1:7" ht="10.5" customHeight="1">
      <c r="A84" s="353"/>
      <c r="B84" s="353"/>
      <c r="C84" s="353"/>
      <c r="D84" s="353"/>
      <c r="E84" s="353"/>
      <c r="F84" s="353"/>
      <c r="G84" s="353"/>
    </row>
    <row r="85" spans="1:7" ht="10.5" customHeight="1">
      <c r="A85" s="353"/>
      <c r="B85" s="353"/>
      <c r="C85" s="353"/>
      <c r="D85" s="353"/>
      <c r="E85" s="353"/>
      <c r="F85" s="353"/>
      <c r="G85" s="353"/>
    </row>
    <row r="86" spans="1:7" ht="10.5" customHeight="1">
      <c r="A86" s="353"/>
      <c r="B86" s="353"/>
      <c r="C86" s="353"/>
      <c r="D86" s="353"/>
      <c r="E86" s="353"/>
      <c r="F86" s="353"/>
      <c r="G86" s="353"/>
    </row>
    <row r="87" spans="1:7" ht="10.5" customHeight="1">
      <c r="A87" s="353"/>
      <c r="B87" s="353"/>
      <c r="C87" s="353"/>
      <c r="D87" s="353"/>
      <c r="E87" s="353"/>
      <c r="F87" s="353"/>
      <c r="G87" s="353"/>
    </row>
    <row r="88" spans="1:7" ht="10.5" customHeight="1">
      <c r="A88" s="353"/>
      <c r="B88" s="353"/>
      <c r="C88" s="353"/>
      <c r="D88" s="353"/>
      <c r="E88" s="353"/>
      <c r="F88" s="353"/>
      <c r="G88" s="353"/>
    </row>
    <row r="89" spans="1:7" ht="10.5" customHeight="1">
      <c r="A89" s="353"/>
      <c r="B89" s="353"/>
      <c r="C89" s="353"/>
      <c r="D89" s="353"/>
      <c r="E89" s="353"/>
      <c r="F89" s="353"/>
      <c r="G89" s="353"/>
    </row>
    <row r="90" spans="1:7" ht="10.5" customHeight="1">
      <c r="A90" s="353"/>
      <c r="B90" s="353"/>
      <c r="C90" s="353"/>
      <c r="D90" s="353"/>
      <c r="E90" s="353"/>
      <c r="F90" s="353"/>
      <c r="G90" s="353"/>
    </row>
    <row r="91" spans="1:7" ht="10.5" customHeight="1">
      <c r="A91" s="353"/>
      <c r="B91" s="353"/>
      <c r="C91" s="353"/>
      <c r="D91" s="353"/>
      <c r="E91" s="353"/>
      <c r="F91" s="353"/>
      <c r="G91" s="353"/>
    </row>
    <row r="92" spans="1:7" ht="10.5" customHeight="1">
      <c r="A92" s="353"/>
      <c r="B92" s="353"/>
      <c r="C92" s="353"/>
      <c r="D92" s="353"/>
      <c r="E92" s="353"/>
      <c r="F92" s="353"/>
      <c r="G92" s="353"/>
    </row>
    <row r="93" spans="1:7" ht="10.5" customHeight="1">
      <c r="A93" s="353"/>
      <c r="B93" s="353"/>
      <c r="C93" s="353"/>
      <c r="D93" s="353"/>
      <c r="E93" s="353"/>
      <c r="F93" s="353"/>
      <c r="G93" s="353"/>
    </row>
    <row r="94" spans="1:7" ht="10.5" customHeight="1">
      <c r="A94" s="353"/>
      <c r="B94" s="353"/>
      <c r="C94" s="353"/>
      <c r="D94" s="353"/>
      <c r="E94" s="353"/>
      <c r="F94" s="353"/>
      <c r="G94" s="353"/>
    </row>
    <row r="95" spans="1:7" ht="10.5" customHeight="1">
      <c r="A95" s="353"/>
      <c r="B95" s="353"/>
      <c r="C95" s="353"/>
      <c r="D95" s="353"/>
      <c r="E95" s="353"/>
      <c r="F95" s="353"/>
      <c r="G95" s="353"/>
    </row>
    <row r="96" spans="1:7" ht="10.5" customHeight="1">
      <c r="A96" s="353"/>
      <c r="B96" s="353"/>
      <c r="C96" s="353"/>
      <c r="D96" s="353"/>
      <c r="E96" s="353"/>
      <c r="F96" s="353"/>
      <c r="G96" s="353"/>
    </row>
    <row r="97" spans="1:7" ht="10.5" customHeight="1">
      <c r="A97" s="353"/>
      <c r="B97" s="353"/>
      <c r="C97" s="353"/>
      <c r="D97" s="353"/>
      <c r="E97" s="353"/>
      <c r="F97" s="353"/>
      <c r="G97" s="353"/>
    </row>
    <row r="98" spans="1:7" ht="10.5" customHeight="1">
      <c r="A98" s="353"/>
      <c r="B98" s="353"/>
      <c r="C98" s="353"/>
      <c r="D98" s="353"/>
      <c r="E98" s="353"/>
      <c r="F98" s="353"/>
      <c r="G98" s="353"/>
    </row>
    <row r="99" spans="1:7" ht="10.5" customHeight="1">
      <c r="A99" s="353"/>
      <c r="B99" s="353"/>
      <c r="C99" s="353"/>
      <c r="D99" s="353"/>
      <c r="E99" s="353"/>
      <c r="F99" s="353"/>
      <c r="G99" s="353"/>
    </row>
    <row r="100" spans="1:7" ht="10.5" customHeight="1">
      <c r="A100" s="353"/>
      <c r="B100" s="353"/>
      <c r="C100" s="353"/>
      <c r="D100" s="353"/>
      <c r="E100" s="353"/>
      <c r="F100" s="353"/>
      <c r="G100" s="353"/>
    </row>
    <row r="101" spans="1:7" ht="10.5" customHeight="1">
      <c r="A101" s="353"/>
      <c r="B101" s="353"/>
      <c r="C101" s="353"/>
      <c r="D101" s="353"/>
      <c r="E101" s="353"/>
      <c r="F101" s="353"/>
      <c r="G101" s="353"/>
    </row>
    <row r="102" spans="1:7" ht="10.5" customHeight="1">
      <c r="A102" s="353"/>
      <c r="B102" s="353"/>
      <c r="C102" s="353"/>
      <c r="D102" s="353"/>
      <c r="E102" s="353"/>
      <c r="F102" s="353"/>
      <c r="G102" s="353"/>
    </row>
    <row r="103" spans="1:7" ht="10.5" customHeight="1">
      <c r="A103" s="353"/>
      <c r="B103" s="353"/>
      <c r="C103" s="353"/>
      <c r="D103" s="353"/>
      <c r="E103" s="353"/>
      <c r="F103" s="353"/>
      <c r="G103" s="353"/>
    </row>
    <row r="104" spans="1:7" ht="10.5" customHeight="1">
      <c r="A104" s="353"/>
      <c r="B104" s="353"/>
      <c r="C104" s="353"/>
      <c r="D104" s="353"/>
      <c r="E104" s="353"/>
      <c r="F104" s="353"/>
      <c r="G104" s="353"/>
    </row>
    <row r="105" spans="1:7" ht="10.5" customHeight="1">
      <c r="A105" s="353"/>
      <c r="B105" s="353"/>
      <c r="C105" s="353"/>
      <c r="D105" s="353"/>
      <c r="E105" s="353"/>
      <c r="F105" s="353"/>
      <c r="G105" s="353"/>
    </row>
    <row r="106" spans="1:7" ht="10.5" customHeight="1">
      <c r="A106" s="353"/>
      <c r="B106" s="353"/>
      <c r="C106" s="353"/>
      <c r="D106" s="353"/>
      <c r="E106" s="353"/>
      <c r="F106" s="353"/>
      <c r="G106" s="353"/>
    </row>
    <row r="107" spans="1:7" ht="10.5" customHeight="1">
      <c r="A107" s="353"/>
      <c r="B107" s="353"/>
      <c r="C107" s="353"/>
      <c r="D107" s="353"/>
      <c r="E107" s="353"/>
      <c r="F107" s="353"/>
      <c r="G107" s="353"/>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2019&amp;C19&amp;R&amp;7Dirección Ejecutiva
Sub Dirección de Gestión de Información</oddFooter>
  </headerFooter>
  <rowBreaks count="1" manualBreakCount="1">
    <brk id="69"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9"/>
  <sheetViews>
    <sheetView showGridLines="0" view="pageBreakPreview" topLeftCell="A25" zoomScale="145" zoomScaleNormal="100" zoomScaleSheetLayoutView="145" zoomScalePageLayoutView="160" workbookViewId="0">
      <selection activeCell="C22" sqref="C22"/>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68" t="s">
        <v>261</v>
      </c>
      <c r="B1" s="971" t="s">
        <v>55</v>
      </c>
      <c r="C1" s="974" t="str">
        <f>+'19. ANEXOI-2'!C1:F1</f>
        <v>ENERGÍA PRODUCIDA SETIEMBRE 2019</v>
      </c>
      <c r="D1" s="974"/>
      <c r="E1" s="974"/>
      <c r="F1" s="974"/>
      <c r="G1" s="693" t="s">
        <v>287</v>
      </c>
      <c r="H1" s="203"/>
    </row>
    <row r="2" spans="1:8" ht="11.25" customHeight="1">
      <c r="A2" s="969"/>
      <c r="B2" s="972"/>
      <c r="C2" s="975" t="s">
        <v>288</v>
      </c>
      <c r="D2" s="975"/>
      <c r="E2" s="975"/>
      <c r="F2" s="976" t="str">
        <f>"TOTAL 
"&amp;UPPER('1. Resumen'!Q4)</f>
        <v>TOTAL 
SETIEMBRE</v>
      </c>
      <c r="G2" s="694" t="s">
        <v>289</v>
      </c>
      <c r="H2" s="194"/>
    </row>
    <row r="3" spans="1:8" ht="11.25" customHeight="1">
      <c r="A3" s="969"/>
      <c r="B3" s="972"/>
      <c r="C3" s="683" t="s">
        <v>222</v>
      </c>
      <c r="D3" s="683" t="s">
        <v>223</v>
      </c>
      <c r="E3" s="683" t="s">
        <v>290</v>
      </c>
      <c r="F3" s="977"/>
      <c r="G3" s="694">
        <v>2019</v>
      </c>
      <c r="H3" s="196"/>
    </row>
    <row r="4" spans="1:8" ht="11.25" customHeight="1">
      <c r="A4" s="978"/>
      <c r="B4" s="979"/>
      <c r="C4" s="684" t="s">
        <v>291</v>
      </c>
      <c r="D4" s="684" t="s">
        <v>291</v>
      </c>
      <c r="E4" s="684" t="s">
        <v>291</v>
      </c>
      <c r="F4" s="684" t="s">
        <v>291</v>
      </c>
      <c r="G4" s="695" t="s">
        <v>210</v>
      </c>
      <c r="H4" s="196"/>
    </row>
    <row r="5" spans="1:8" s="353" customFormat="1" ht="9" customHeight="1">
      <c r="A5" s="743" t="s">
        <v>255</v>
      </c>
      <c r="B5" s="686" t="s">
        <v>380</v>
      </c>
      <c r="C5" s="687"/>
      <c r="D5" s="687">
        <v>397.60923750000001</v>
      </c>
      <c r="E5" s="687"/>
      <c r="F5" s="687">
        <v>397.60923750000001</v>
      </c>
      <c r="G5" s="749">
        <v>1974.4437750000002</v>
      </c>
    </row>
    <row r="6" spans="1:8" s="353" customFormat="1" ht="9" customHeight="1">
      <c r="A6" s="745" t="s">
        <v>381</v>
      </c>
      <c r="B6" s="561"/>
      <c r="C6" s="562"/>
      <c r="D6" s="562">
        <v>397.60923750000001</v>
      </c>
      <c r="E6" s="562"/>
      <c r="F6" s="562">
        <v>397.60923750000001</v>
      </c>
      <c r="G6" s="750">
        <v>1974.4437750000002</v>
      </c>
    </row>
    <row r="7" spans="1:8" s="353" customFormat="1" ht="9" customHeight="1">
      <c r="A7" s="743" t="s">
        <v>96</v>
      </c>
      <c r="B7" s="686" t="s">
        <v>382</v>
      </c>
      <c r="C7" s="687">
        <v>48571.564442499999</v>
      </c>
      <c r="D7" s="687"/>
      <c r="E7" s="687"/>
      <c r="F7" s="687">
        <v>48571.564442499999</v>
      </c>
      <c r="G7" s="749">
        <v>521802.86611249996</v>
      </c>
    </row>
    <row r="8" spans="1:8" s="353" customFormat="1" ht="9" customHeight="1">
      <c r="A8" s="745" t="s">
        <v>383</v>
      </c>
      <c r="B8" s="561"/>
      <c r="C8" s="562">
        <v>48571.564442499999</v>
      </c>
      <c r="D8" s="562"/>
      <c r="E8" s="562"/>
      <c r="F8" s="562">
        <v>48571.564442499999</v>
      </c>
      <c r="G8" s="750">
        <v>521802.86611249996</v>
      </c>
    </row>
    <row r="9" spans="1:8" s="353" customFormat="1" ht="9" customHeight="1">
      <c r="A9" s="743" t="s">
        <v>521</v>
      </c>
      <c r="B9" s="686" t="s">
        <v>732</v>
      </c>
      <c r="C9" s="687"/>
      <c r="D9" s="687"/>
      <c r="E9" s="687">
        <v>4659.0728675</v>
      </c>
      <c r="F9" s="687">
        <v>4659.0728675</v>
      </c>
      <c r="G9" s="749">
        <v>27273.640229999997</v>
      </c>
    </row>
    <row r="10" spans="1:8" s="353" customFormat="1" ht="9" customHeight="1">
      <c r="A10" s="745" t="s">
        <v>529</v>
      </c>
      <c r="B10" s="561"/>
      <c r="C10" s="562"/>
      <c r="D10" s="562"/>
      <c r="E10" s="562">
        <v>4659.0728675</v>
      </c>
      <c r="F10" s="562">
        <v>4659.0728675</v>
      </c>
      <c r="G10" s="750">
        <v>27273.640229999997</v>
      </c>
    </row>
    <row r="11" spans="1:8" s="353" customFormat="1" ht="9" customHeight="1">
      <c r="A11" s="743" t="s">
        <v>463</v>
      </c>
      <c r="B11" s="686" t="s">
        <v>470</v>
      </c>
      <c r="C11" s="687"/>
      <c r="D11" s="687"/>
      <c r="E11" s="687">
        <v>12529.277952500001</v>
      </c>
      <c r="F11" s="687">
        <v>12529.277952500001</v>
      </c>
      <c r="G11" s="749">
        <v>118136.38998499999</v>
      </c>
    </row>
    <row r="12" spans="1:8" s="353" customFormat="1" ht="9" customHeight="1">
      <c r="A12" s="745" t="s">
        <v>465</v>
      </c>
      <c r="B12" s="561"/>
      <c r="C12" s="562"/>
      <c r="D12" s="562"/>
      <c r="E12" s="562">
        <v>12529.277952500001</v>
      </c>
      <c r="F12" s="562">
        <v>12529.277952500001</v>
      </c>
      <c r="G12" s="750">
        <v>118136.38998499999</v>
      </c>
    </row>
    <row r="13" spans="1:8" s="353" customFormat="1" ht="9" customHeight="1">
      <c r="A13" s="743" t="s">
        <v>103</v>
      </c>
      <c r="B13" s="686" t="s">
        <v>384</v>
      </c>
      <c r="C13" s="687"/>
      <c r="D13" s="687">
        <v>20653.188452499999</v>
      </c>
      <c r="E13" s="687"/>
      <c r="F13" s="687">
        <v>20653.188452499999</v>
      </c>
      <c r="G13" s="749">
        <v>181506.84866750002</v>
      </c>
    </row>
    <row r="14" spans="1:8" s="353" customFormat="1" ht="9" customHeight="1">
      <c r="A14" s="745" t="s">
        <v>385</v>
      </c>
      <c r="B14" s="561"/>
      <c r="C14" s="562"/>
      <c r="D14" s="562">
        <v>20653.188452499999</v>
      </c>
      <c r="E14" s="562"/>
      <c r="F14" s="562">
        <v>20653.188452499999</v>
      </c>
      <c r="G14" s="750">
        <v>181506.84866750002</v>
      </c>
    </row>
    <row r="15" spans="1:8" s="353" customFormat="1" ht="9" customHeight="1">
      <c r="A15" s="743" t="s">
        <v>120</v>
      </c>
      <c r="B15" s="686" t="s">
        <v>386</v>
      </c>
      <c r="C15" s="687"/>
      <c r="D15" s="687">
        <v>0</v>
      </c>
      <c r="E15" s="687"/>
      <c r="F15" s="687">
        <v>0</v>
      </c>
      <c r="G15" s="749">
        <v>42707.284784999989</v>
      </c>
    </row>
    <row r="16" spans="1:8" s="353" customFormat="1" ht="9" customHeight="1">
      <c r="A16" s="745" t="s">
        <v>387</v>
      </c>
      <c r="B16" s="561"/>
      <c r="C16" s="562"/>
      <c r="D16" s="562">
        <v>0</v>
      </c>
      <c r="E16" s="562"/>
      <c r="F16" s="562">
        <v>0</v>
      </c>
      <c r="G16" s="750">
        <v>42707.284784999989</v>
      </c>
    </row>
    <row r="17" spans="1:7" s="353" customFormat="1" ht="9" customHeight="1">
      <c r="A17" s="743" t="s">
        <v>114</v>
      </c>
      <c r="B17" s="686" t="s">
        <v>733</v>
      </c>
      <c r="C17" s="687"/>
      <c r="D17" s="687"/>
      <c r="E17" s="687">
        <v>12827.032370000001</v>
      </c>
      <c r="F17" s="687">
        <v>12827.032370000001</v>
      </c>
      <c r="G17" s="749">
        <v>53074.7645175</v>
      </c>
    </row>
    <row r="18" spans="1:7" s="353" customFormat="1" ht="9" customHeight="1">
      <c r="A18" s="743"/>
      <c r="B18" s="686" t="s">
        <v>70</v>
      </c>
      <c r="C18" s="687"/>
      <c r="D18" s="687"/>
      <c r="E18" s="687">
        <v>4562.9435199999998</v>
      </c>
      <c r="F18" s="687">
        <v>4562.9435199999998</v>
      </c>
      <c r="G18" s="749">
        <v>40990.029669999996</v>
      </c>
    </row>
    <row r="19" spans="1:7" s="353" customFormat="1" ht="9" customHeight="1">
      <c r="A19" s="745" t="s">
        <v>388</v>
      </c>
      <c r="B19" s="561"/>
      <c r="C19" s="562"/>
      <c r="D19" s="562"/>
      <c r="E19" s="562">
        <v>17389.975890000002</v>
      </c>
      <c r="F19" s="562">
        <v>17389.975890000002</v>
      </c>
      <c r="G19" s="750">
        <v>94064.794187499996</v>
      </c>
    </row>
    <row r="20" spans="1:7" s="353" customFormat="1" ht="9" customHeight="1">
      <c r="A20" s="743" t="s">
        <v>91</v>
      </c>
      <c r="B20" s="686" t="s">
        <v>389</v>
      </c>
      <c r="C20" s="687">
        <v>17097.103322499999</v>
      </c>
      <c r="D20" s="687"/>
      <c r="E20" s="687"/>
      <c r="F20" s="687">
        <v>17097.103322499999</v>
      </c>
      <c r="G20" s="749">
        <v>201004.94039999999</v>
      </c>
    </row>
    <row r="21" spans="1:7" s="353" customFormat="1" ht="9" customHeight="1">
      <c r="A21" s="743"/>
      <c r="B21" s="686" t="s">
        <v>390</v>
      </c>
      <c r="C21" s="687">
        <v>33245.212512500002</v>
      </c>
      <c r="D21" s="687"/>
      <c r="E21" s="687"/>
      <c r="F21" s="687">
        <v>33245.212512500002</v>
      </c>
      <c r="G21" s="749">
        <v>584561.91075500008</v>
      </c>
    </row>
    <row r="22" spans="1:7" s="353" customFormat="1" ht="9" customHeight="1">
      <c r="A22" s="743"/>
      <c r="B22" s="686" t="s">
        <v>391</v>
      </c>
      <c r="C22" s="687">
        <v>5681.1833375000006</v>
      </c>
      <c r="D22" s="687"/>
      <c r="E22" s="687"/>
      <c r="F22" s="687">
        <v>5681.1833375000006</v>
      </c>
      <c r="G22" s="749">
        <v>100690.44032499997</v>
      </c>
    </row>
    <row r="23" spans="1:7" s="353" customFormat="1" ht="9" customHeight="1">
      <c r="A23" s="743"/>
      <c r="B23" s="686" t="s">
        <v>392</v>
      </c>
      <c r="C23" s="687">
        <v>76.156450000000007</v>
      </c>
      <c r="D23" s="687"/>
      <c r="E23" s="687"/>
      <c r="F23" s="687">
        <v>76.156450000000007</v>
      </c>
      <c r="G23" s="749">
        <v>560.50287500000002</v>
      </c>
    </row>
    <row r="24" spans="1:7" s="353" customFormat="1" ht="9" customHeight="1">
      <c r="A24" s="743"/>
      <c r="B24" s="686" t="s">
        <v>393</v>
      </c>
      <c r="C24" s="687">
        <v>14891.953182500001</v>
      </c>
      <c r="D24" s="687"/>
      <c r="E24" s="687"/>
      <c r="F24" s="687">
        <v>14891.953182500001</v>
      </c>
      <c r="G24" s="749">
        <v>178872.82820749999</v>
      </c>
    </row>
    <row r="25" spans="1:7" s="353" customFormat="1" ht="9" customHeight="1">
      <c r="A25" s="743"/>
      <c r="B25" s="686" t="s">
        <v>394</v>
      </c>
      <c r="C25" s="687">
        <v>1564.1060399999999</v>
      </c>
      <c r="D25" s="687"/>
      <c r="E25" s="687"/>
      <c r="F25" s="687">
        <v>1564.1060399999999</v>
      </c>
      <c r="G25" s="749">
        <v>17557.795182500005</v>
      </c>
    </row>
    <row r="26" spans="1:7" s="353" customFormat="1" ht="9" customHeight="1">
      <c r="A26" s="743"/>
      <c r="B26" s="686" t="s">
        <v>395</v>
      </c>
      <c r="C26" s="687">
        <v>5040.0741600000001</v>
      </c>
      <c r="D26" s="687"/>
      <c r="E26" s="687"/>
      <c r="F26" s="687">
        <v>5040.0741600000001</v>
      </c>
      <c r="G26" s="749">
        <v>34775.639550000007</v>
      </c>
    </row>
    <row r="27" spans="1:7" s="353" customFormat="1" ht="8.25" customHeight="1">
      <c r="A27" s="743"/>
      <c r="B27" s="686" t="s">
        <v>396</v>
      </c>
      <c r="C27" s="687">
        <v>3653.5517</v>
      </c>
      <c r="D27" s="687"/>
      <c r="E27" s="687"/>
      <c r="F27" s="687">
        <v>3653.5517</v>
      </c>
      <c r="G27" s="749">
        <v>22051.91228249999</v>
      </c>
    </row>
    <row r="28" spans="1:7" s="353" customFormat="1" ht="9" customHeight="1">
      <c r="A28" s="743"/>
      <c r="B28" s="686" t="s">
        <v>397</v>
      </c>
      <c r="C28" s="687">
        <v>1153.66086</v>
      </c>
      <c r="D28" s="687"/>
      <c r="E28" s="687"/>
      <c r="F28" s="687">
        <v>1153.66086</v>
      </c>
      <c r="G28" s="749">
        <v>11768.519305</v>
      </c>
    </row>
    <row r="29" spans="1:7" s="353" customFormat="1" ht="9" customHeight="1">
      <c r="A29" s="743"/>
      <c r="B29" s="686" t="s">
        <v>398</v>
      </c>
      <c r="C29" s="687">
        <v>226.0584475</v>
      </c>
      <c r="D29" s="687"/>
      <c r="E29" s="687"/>
      <c r="F29" s="687">
        <v>226.0584475</v>
      </c>
      <c r="G29" s="749">
        <v>2606.8291299999996</v>
      </c>
    </row>
    <row r="30" spans="1:7" s="353" customFormat="1" ht="9" customHeight="1">
      <c r="A30" s="743"/>
      <c r="B30" s="686" t="s">
        <v>399</v>
      </c>
      <c r="C30" s="687">
        <v>181.04027500000001</v>
      </c>
      <c r="D30" s="687"/>
      <c r="E30" s="687"/>
      <c r="F30" s="687">
        <v>181.04027500000001</v>
      </c>
      <c r="G30" s="749">
        <v>1958.0048450000004</v>
      </c>
    </row>
    <row r="31" spans="1:7" s="353" customFormat="1" ht="9" customHeight="1">
      <c r="A31" s="743"/>
      <c r="B31" s="686" t="s">
        <v>400</v>
      </c>
      <c r="C31" s="687">
        <v>50795.20147</v>
      </c>
      <c r="D31" s="687"/>
      <c r="E31" s="687"/>
      <c r="F31" s="687">
        <v>50795.20147</v>
      </c>
      <c r="G31" s="749">
        <v>585470.93680999998</v>
      </c>
    </row>
    <row r="32" spans="1:7" s="353" customFormat="1" ht="9" customHeight="1">
      <c r="A32" s="745" t="s">
        <v>401</v>
      </c>
      <c r="B32" s="561"/>
      <c r="C32" s="562">
        <v>133605.30175750001</v>
      </c>
      <c r="D32" s="562"/>
      <c r="E32" s="562"/>
      <c r="F32" s="562">
        <v>133605.30175750001</v>
      </c>
      <c r="G32" s="750">
        <v>1741880.2596674999</v>
      </c>
    </row>
    <row r="33" spans="1:8" s="353" customFormat="1" ht="9" customHeight="1">
      <c r="A33" s="743" t="s">
        <v>110</v>
      </c>
      <c r="B33" s="686" t="s">
        <v>242</v>
      </c>
      <c r="C33" s="687"/>
      <c r="D33" s="687"/>
      <c r="E33" s="687">
        <v>3837.5719075000002</v>
      </c>
      <c r="F33" s="687">
        <v>3837.5719075000002</v>
      </c>
      <c r="G33" s="749">
        <v>33618.883665000008</v>
      </c>
    </row>
    <row r="34" spans="1:8" s="353" customFormat="1" ht="9" customHeight="1">
      <c r="A34" s="745" t="s">
        <v>402</v>
      </c>
      <c r="B34" s="561"/>
      <c r="C34" s="562"/>
      <c r="D34" s="562"/>
      <c r="E34" s="562">
        <v>3837.5719075000002</v>
      </c>
      <c r="F34" s="562">
        <v>3837.5719075000002</v>
      </c>
      <c r="G34" s="750">
        <v>33618.883665000008</v>
      </c>
    </row>
    <row r="35" spans="1:8">
      <c r="A35" s="743" t="s">
        <v>101</v>
      </c>
      <c r="B35" s="686" t="s">
        <v>526</v>
      </c>
      <c r="C35" s="686"/>
      <c r="D35" s="686">
        <v>163469.45026499999</v>
      </c>
      <c r="E35" s="686"/>
      <c r="F35" s="686">
        <v>163469.45026499999</v>
      </c>
      <c r="G35" s="751">
        <v>1407503.7064224996</v>
      </c>
    </row>
    <row r="36" spans="1:8">
      <c r="A36" s="745" t="s">
        <v>403</v>
      </c>
      <c r="B36" s="561"/>
      <c r="C36" s="562"/>
      <c r="D36" s="562">
        <v>163469.45026499999</v>
      </c>
      <c r="E36" s="562"/>
      <c r="F36" s="562">
        <v>163469.45026499999</v>
      </c>
      <c r="G36" s="750">
        <v>1407503.7064224996</v>
      </c>
    </row>
    <row r="37" spans="1:8">
      <c r="A37" s="752" t="s">
        <v>106</v>
      </c>
      <c r="B37" s="700" t="s">
        <v>404</v>
      </c>
      <c r="C37" s="701"/>
      <c r="D37" s="701">
        <v>50505.097482500001</v>
      </c>
      <c r="E37" s="701"/>
      <c r="F37" s="701">
        <v>50505.097482500001</v>
      </c>
      <c r="G37" s="753">
        <v>257291.33479999998</v>
      </c>
    </row>
    <row r="38" spans="1:8">
      <c r="A38" s="754" t="s">
        <v>405</v>
      </c>
      <c r="B38" s="755"/>
      <c r="C38" s="756"/>
      <c r="D38" s="756">
        <v>50505.097482500001</v>
      </c>
      <c r="E38" s="756"/>
      <c r="F38" s="756">
        <v>50505.097482500001</v>
      </c>
      <c r="G38" s="757">
        <v>257291.33479999998</v>
      </c>
    </row>
    <row r="39" spans="1:8">
      <c r="A39" s="541" t="s">
        <v>499</v>
      </c>
      <c r="B39" s="541"/>
      <c r="C39" s="540">
        <v>1713183.4150549998</v>
      </c>
      <c r="D39" s="540">
        <v>2217276.9325799998</v>
      </c>
      <c r="E39" s="540">
        <v>339480.23459750001</v>
      </c>
      <c r="F39" s="540">
        <v>4269940.5822325004</v>
      </c>
      <c r="G39" s="702">
        <v>39417622.751155004</v>
      </c>
    </row>
    <row r="40" spans="1:8">
      <c r="A40" s="541" t="s">
        <v>406</v>
      </c>
      <c r="B40" s="541"/>
      <c r="C40" s="542"/>
      <c r="D40" s="542"/>
      <c r="E40" s="586"/>
      <c r="F40" s="543">
        <f>+'3. Tipo Generación'!D14*1000</f>
        <v>0</v>
      </c>
      <c r="G40" s="703">
        <f>+'4. Tipo Recurso'!$G$21*1000</f>
        <v>57917.815239999996</v>
      </c>
    </row>
    <row r="41" spans="1:8">
      <c r="A41" s="704" t="s">
        <v>407</v>
      </c>
      <c r="B41" s="541"/>
      <c r="C41" s="542"/>
      <c r="D41" s="542"/>
      <c r="E41" s="586"/>
      <c r="F41" s="543"/>
      <c r="G41" s="703"/>
    </row>
    <row r="42" spans="1:8" ht="6.75" customHeight="1">
      <c r="A42" s="705"/>
      <c r="B42" s="705"/>
      <c r="C42" s="705"/>
      <c r="D42" s="705"/>
      <c r="E42" s="705"/>
      <c r="F42" s="705"/>
      <c r="G42" s="705"/>
    </row>
    <row r="43" spans="1:8" ht="23.25" customHeight="1">
      <c r="A43" s="981" t="s">
        <v>538</v>
      </c>
      <c r="B43" s="981"/>
      <c r="C43" s="981"/>
      <c r="D43" s="981"/>
      <c r="E43" s="981"/>
      <c r="F43" s="981"/>
      <c r="G43" s="981"/>
    </row>
    <row r="44" spans="1:8" ht="17.25" customHeight="1">
      <c r="A44" s="787" t="s">
        <v>566</v>
      </c>
      <c r="B44" s="787"/>
      <c r="C44" s="787"/>
      <c r="D44" s="787"/>
      <c r="E44" s="787"/>
      <c r="F44" s="787"/>
      <c r="G44" s="787"/>
      <c r="H44" s="46"/>
    </row>
    <row r="45" spans="1:8" ht="17.25" customHeight="1">
      <c r="A45" s="787" t="s">
        <v>567</v>
      </c>
      <c r="B45" s="787"/>
      <c r="C45" s="787"/>
      <c r="D45" s="787"/>
      <c r="E45" s="787"/>
      <c r="F45" s="787"/>
      <c r="G45" s="787"/>
      <c r="H45" s="46"/>
    </row>
    <row r="46" spans="1:8" s="437" customFormat="1" ht="17.25" customHeight="1">
      <c r="A46" s="787" t="s">
        <v>568</v>
      </c>
      <c r="B46" s="787"/>
      <c r="C46" s="787"/>
      <c r="D46" s="787"/>
      <c r="E46" s="787"/>
      <c r="F46" s="787"/>
      <c r="G46" s="787"/>
      <c r="H46" s="46"/>
    </row>
    <row r="47" spans="1:8" ht="17.25" customHeight="1">
      <c r="A47" s="787" t="s">
        <v>569</v>
      </c>
      <c r="B47" s="787"/>
      <c r="C47" s="787"/>
      <c r="D47" s="787"/>
      <c r="E47" s="787"/>
      <c r="F47" s="787"/>
      <c r="G47" s="787"/>
      <c r="H47" s="46"/>
    </row>
    <row r="48" spans="1:8" ht="17.25" customHeight="1">
      <c r="A48" s="787" t="s">
        <v>586</v>
      </c>
      <c r="B48" s="289"/>
      <c r="C48" s="289"/>
      <c r="D48" s="289"/>
      <c r="E48" s="289"/>
      <c r="F48" s="289"/>
      <c r="G48" s="46"/>
      <c r="H48" s="46"/>
    </row>
    <row r="49" spans="1:8" ht="17.25" customHeight="1">
      <c r="A49" s="787" t="s">
        <v>585</v>
      </c>
      <c r="B49" s="289"/>
      <c r="C49" s="289"/>
      <c r="D49" s="289"/>
      <c r="E49" s="289"/>
      <c r="F49" s="289"/>
      <c r="G49" s="46"/>
      <c r="H49" s="46"/>
    </row>
    <row r="50" spans="1:8" ht="22.5" customHeight="1">
      <c r="A50" s="980" t="s">
        <v>599</v>
      </c>
      <c r="B50" s="980"/>
      <c r="C50" s="980"/>
      <c r="D50" s="980"/>
      <c r="E50" s="980"/>
      <c r="F50" s="980"/>
      <c r="G50" s="980"/>
    </row>
    <row r="51" spans="1:8" ht="16.5" customHeight="1">
      <c r="A51" s="787" t="s">
        <v>596</v>
      </c>
      <c r="B51" s="280"/>
      <c r="C51" s="280"/>
      <c r="D51" s="280"/>
      <c r="E51" s="280"/>
      <c r="F51" s="280"/>
    </row>
    <row r="52" spans="1:8">
      <c r="A52" s="353"/>
      <c r="B52" s="280"/>
      <c r="C52" s="280"/>
      <c r="D52" s="280"/>
      <c r="E52" s="280"/>
      <c r="F52" s="280"/>
    </row>
    <row r="53" spans="1:8">
      <c r="A53" s="353"/>
      <c r="B53" s="280"/>
      <c r="C53" s="280"/>
      <c r="D53" s="280"/>
      <c r="E53" s="280"/>
      <c r="F53" s="280"/>
    </row>
    <row r="54" spans="1:8">
      <c r="A54" s="353"/>
      <c r="B54" s="280"/>
      <c r="C54" s="280"/>
      <c r="D54" s="280"/>
      <c r="E54" s="280"/>
      <c r="F54" s="280"/>
    </row>
    <row r="55" spans="1:8">
      <c r="A55" s="353"/>
      <c r="B55" s="280"/>
      <c r="C55" s="280"/>
      <c r="D55" s="280"/>
      <c r="E55" s="280"/>
      <c r="F55" s="280"/>
    </row>
    <row r="56" spans="1:8">
      <c r="A56" s="353"/>
      <c r="B56" s="280"/>
      <c r="C56" s="280"/>
      <c r="D56" s="280"/>
      <c r="E56" s="280"/>
      <c r="F56" s="280"/>
    </row>
    <row r="57" spans="1:8">
      <c r="A57" s="353"/>
    </row>
    <row r="58" spans="1:8">
      <c r="A58" s="353"/>
    </row>
    <row r="59" spans="1:8">
      <c r="A59" s="353"/>
    </row>
  </sheetData>
  <mergeCells count="7">
    <mergeCell ref="A50:G50"/>
    <mergeCell ref="A43:G43"/>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2"/>
  <sheetViews>
    <sheetView showGridLines="0" view="pageBreakPreview" zoomScale="130" zoomScaleNormal="100" zoomScaleSheetLayoutView="130" zoomScalePageLayoutView="160" workbookViewId="0"/>
  </sheetViews>
  <sheetFormatPr defaultColWidth="9.33203125" defaultRowHeight="9"/>
  <cols>
    <col min="1" max="1" width="24" style="280" customWidth="1"/>
    <col min="2" max="2" width="22.1640625" style="280" customWidth="1"/>
    <col min="3" max="4" width="17.6640625" style="280" customWidth="1"/>
    <col min="5" max="5" width="15.1640625" style="280" customWidth="1"/>
    <col min="6" max="6" width="12.1640625" style="280" customWidth="1"/>
    <col min="7" max="7" width="9.33203125" style="280"/>
    <col min="8" max="8" width="15.6640625" style="280" customWidth="1"/>
    <col min="9" max="9" width="9.33203125" style="280"/>
    <col min="10" max="11" width="9.33203125" style="280" customWidth="1"/>
    <col min="12" max="16384" width="9.33203125" style="280"/>
  </cols>
  <sheetData>
    <row r="1" spans="1:12" ht="11.25" customHeight="1">
      <c r="A1" s="718" t="s">
        <v>410</v>
      </c>
      <c r="B1" s="719"/>
      <c r="C1" s="719"/>
      <c r="D1" s="719"/>
      <c r="E1" s="719"/>
      <c r="F1" s="719"/>
    </row>
    <row r="2" spans="1:12" s="353" customFormat="1" ht="11.25" customHeight="1">
      <c r="A2" s="982" t="s">
        <v>261</v>
      </c>
      <c r="B2" s="985" t="s">
        <v>55</v>
      </c>
      <c r="C2" s="985" t="s">
        <v>411</v>
      </c>
      <c r="D2" s="985"/>
      <c r="E2" s="985"/>
      <c r="F2" s="988"/>
      <c r="G2" s="464"/>
      <c r="H2" s="464"/>
      <c r="I2" s="464"/>
      <c r="J2" s="464"/>
      <c r="K2" s="464"/>
    </row>
    <row r="3" spans="1:12" s="353" customFormat="1" ht="11.25" customHeight="1">
      <c r="A3" s="983"/>
      <c r="B3" s="986"/>
      <c r="C3" s="544" t="str">
        <f>UPPER('1. Resumen'!Q4)&amp;" "&amp;'1. Resumen'!Q5</f>
        <v>SETIEMBRE 2019</v>
      </c>
      <c r="D3" s="545" t="str">
        <f>UPPER('1. Resumen'!Q4)&amp;" "&amp;'1. Resumen'!Q5-1</f>
        <v>SETIEMBRE 2018</v>
      </c>
      <c r="E3" s="805" t="s">
        <v>607</v>
      </c>
      <c r="F3" s="706" t="s">
        <v>531</v>
      </c>
      <c r="G3" s="465"/>
      <c r="H3" s="465"/>
      <c r="I3" s="465"/>
      <c r="J3" s="465"/>
      <c r="K3" s="465"/>
      <c r="L3" s="464"/>
    </row>
    <row r="4" spans="1:12" s="353" customFormat="1" ht="11.25" customHeight="1">
      <c r="A4" s="983"/>
      <c r="B4" s="986"/>
      <c r="C4" s="547">
        <f>+'8. Max Potencia'!D8</f>
        <v>43718.78125</v>
      </c>
      <c r="D4" s="547">
        <f>+'8. Max Potencia'!E8</f>
        <v>43369.875</v>
      </c>
      <c r="E4" s="547">
        <v>42954.8125</v>
      </c>
      <c r="F4" s="707" t="s">
        <v>408</v>
      </c>
      <c r="G4" s="466"/>
      <c r="H4" s="466"/>
      <c r="I4" s="467"/>
      <c r="J4" s="467"/>
      <c r="K4" s="467"/>
      <c r="L4" s="464"/>
    </row>
    <row r="5" spans="1:12" s="353" customFormat="1" ht="11.25" customHeight="1">
      <c r="A5" s="984"/>
      <c r="B5" s="987"/>
      <c r="C5" s="710">
        <f>+'8. Max Potencia'!D9</f>
        <v>43718.78125</v>
      </c>
      <c r="D5" s="710">
        <f>+'8. Max Potencia'!E9</f>
        <v>43369.875</v>
      </c>
      <c r="E5" s="710">
        <v>42954.8125</v>
      </c>
      <c r="F5" s="711" t="s">
        <v>409</v>
      </c>
      <c r="G5" s="466"/>
      <c r="H5" s="466"/>
      <c r="I5" s="466"/>
      <c r="J5" s="466"/>
      <c r="K5" s="466"/>
      <c r="L5" s="468"/>
    </row>
    <row r="6" spans="1:12" s="353" customFormat="1" ht="10.5" customHeight="1">
      <c r="A6" s="765" t="s">
        <v>122</v>
      </c>
      <c r="B6" s="461" t="s">
        <v>87</v>
      </c>
      <c r="C6" s="469">
        <v>0</v>
      </c>
      <c r="D6" s="469">
        <v>0</v>
      </c>
      <c r="E6" s="469">
        <v>0</v>
      </c>
      <c r="F6" s="770" t="str">
        <f>+IF(D6=0,"",C6/D6-1)</f>
        <v/>
      </c>
      <c r="G6" s="466"/>
      <c r="H6" s="863"/>
      <c r="I6" s="863"/>
      <c r="J6" s="466"/>
      <c r="K6" s="466"/>
      <c r="L6" s="470"/>
    </row>
    <row r="7" spans="1:12" s="353" customFormat="1" ht="10.5" customHeight="1">
      <c r="A7" s="745" t="s">
        <v>292</v>
      </c>
      <c r="B7" s="561"/>
      <c r="C7" s="563">
        <v>0</v>
      </c>
      <c r="D7" s="563">
        <v>0</v>
      </c>
      <c r="E7" s="563">
        <v>0</v>
      </c>
      <c r="F7" s="746" t="str">
        <f t="shared" ref="F7:F79" si="0">+IF(D7=0,"",C7/D7-1)</f>
        <v/>
      </c>
      <c r="G7" s="466"/>
      <c r="H7" s="863"/>
      <c r="I7" s="863"/>
      <c r="J7" s="466"/>
      <c r="K7" s="466"/>
      <c r="L7" s="471"/>
    </row>
    <row r="8" spans="1:12" s="353" customFormat="1" ht="10.5" customHeight="1">
      <c r="A8" s="765" t="s">
        <v>121</v>
      </c>
      <c r="B8" s="461" t="s">
        <v>64</v>
      </c>
      <c r="C8" s="469">
        <v>3.09171</v>
      </c>
      <c r="D8" s="469">
        <v>0</v>
      </c>
      <c r="E8" s="469">
        <v>0</v>
      </c>
      <c r="F8" s="771" t="str">
        <f t="shared" si="0"/>
        <v/>
      </c>
      <c r="G8" s="466"/>
      <c r="H8" s="863"/>
      <c r="I8" s="863"/>
      <c r="J8" s="466"/>
      <c r="K8" s="466"/>
      <c r="L8" s="472"/>
    </row>
    <row r="9" spans="1:12" s="353" customFormat="1" ht="10.5" customHeight="1">
      <c r="A9" s="745" t="s">
        <v>293</v>
      </c>
      <c r="B9" s="561"/>
      <c r="C9" s="563">
        <v>3.09171</v>
      </c>
      <c r="D9" s="563">
        <v>0</v>
      </c>
      <c r="E9" s="563">
        <v>0</v>
      </c>
      <c r="F9" s="746" t="str">
        <f t="shared" si="0"/>
        <v/>
      </c>
      <c r="G9" s="466"/>
      <c r="H9" s="863"/>
      <c r="I9" s="863"/>
      <c r="J9" s="466"/>
      <c r="K9" s="466"/>
      <c r="L9" s="471"/>
    </row>
    <row r="10" spans="1:12" s="353" customFormat="1" ht="10.5" customHeight="1">
      <c r="A10" s="743" t="s">
        <v>107</v>
      </c>
      <c r="B10" s="686" t="s">
        <v>84</v>
      </c>
      <c r="C10" s="689">
        <v>18.3766</v>
      </c>
      <c r="D10" s="689">
        <v>13.7403</v>
      </c>
      <c r="E10" s="689">
        <v>0</v>
      </c>
      <c r="F10" s="744">
        <f t="shared" si="0"/>
        <v>0.33742349148126327</v>
      </c>
      <c r="G10" s="466"/>
      <c r="H10" s="863"/>
      <c r="I10" s="863"/>
      <c r="J10" s="466"/>
      <c r="K10" s="466"/>
      <c r="L10" s="471"/>
    </row>
    <row r="11" spans="1:12" s="353" customFormat="1" ht="10.5" customHeight="1">
      <c r="A11" s="745" t="s">
        <v>294</v>
      </c>
      <c r="B11" s="561"/>
      <c r="C11" s="563">
        <v>18.3766</v>
      </c>
      <c r="D11" s="563">
        <v>13.7403</v>
      </c>
      <c r="E11" s="563">
        <v>0</v>
      </c>
      <c r="F11" s="746">
        <f t="shared" si="0"/>
        <v>0.33742349148126327</v>
      </c>
      <c r="G11" s="466"/>
      <c r="H11" s="863"/>
      <c r="I11" s="863"/>
      <c r="J11" s="466"/>
      <c r="K11" s="466"/>
      <c r="L11" s="471"/>
    </row>
    <row r="12" spans="1:12" s="353" customFormat="1" ht="10.5" customHeight="1">
      <c r="A12" s="743" t="s">
        <v>490</v>
      </c>
      <c r="B12" s="686" t="s">
        <v>494</v>
      </c>
      <c r="C12" s="689">
        <v>20.067729999999997</v>
      </c>
      <c r="D12" s="689"/>
      <c r="E12" s="689"/>
      <c r="F12" s="744" t="str">
        <f t="shared" si="0"/>
        <v/>
      </c>
      <c r="G12" s="466"/>
      <c r="H12" s="863"/>
      <c r="I12" s="863"/>
      <c r="J12" s="466"/>
      <c r="K12" s="466"/>
      <c r="L12" s="471"/>
    </row>
    <row r="13" spans="1:12" s="353" customFormat="1" ht="10.5" customHeight="1">
      <c r="A13" s="745" t="s">
        <v>491</v>
      </c>
      <c r="B13" s="561"/>
      <c r="C13" s="563">
        <v>20.067729999999997</v>
      </c>
      <c r="D13" s="563"/>
      <c r="E13" s="563"/>
      <c r="F13" s="746" t="str">
        <f t="shared" si="0"/>
        <v/>
      </c>
      <c r="G13" s="466"/>
      <c r="H13" s="863"/>
      <c r="I13" s="863"/>
      <c r="J13" s="466"/>
      <c r="K13" s="466"/>
      <c r="L13" s="471"/>
    </row>
    <row r="14" spans="1:12" s="353" customFormat="1" ht="10.5" customHeight="1">
      <c r="A14" s="743" t="s">
        <v>95</v>
      </c>
      <c r="B14" s="686" t="s">
        <v>295</v>
      </c>
      <c r="C14" s="689">
        <v>63.062710000000003</v>
      </c>
      <c r="D14" s="689">
        <v>206.23223999999999</v>
      </c>
      <c r="E14" s="689">
        <v>204.74214999999998</v>
      </c>
      <c r="F14" s="744">
        <f t="shared" si="0"/>
        <v>-0.69421507519871772</v>
      </c>
      <c r="G14" s="466"/>
      <c r="H14" s="863"/>
      <c r="I14" s="863"/>
      <c r="J14" s="466"/>
      <c r="K14" s="466"/>
      <c r="L14" s="471"/>
    </row>
    <row r="15" spans="1:12" s="353" customFormat="1" ht="10.5" customHeight="1">
      <c r="A15" s="745" t="s">
        <v>296</v>
      </c>
      <c r="B15" s="561"/>
      <c r="C15" s="563">
        <v>63.062710000000003</v>
      </c>
      <c r="D15" s="563">
        <v>206.23223999999999</v>
      </c>
      <c r="E15" s="563">
        <v>204.74214999999998</v>
      </c>
      <c r="F15" s="746">
        <f t="shared" si="0"/>
        <v>-0.69421507519871772</v>
      </c>
      <c r="G15" s="466"/>
      <c r="H15" s="863"/>
      <c r="I15" s="863"/>
      <c r="J15" s="466"/>
      <c r="K15" s="466"/>
      <c r="L15" s="472"/>
    </row>
    <row r="16" spans="1:12" s="353" customFormat="1" ht="10.5" customHeight="1">
      <c r="A16" s="743" t="s">
        <v>591</v>
      </c>
      <c r="B16" s="686" t="s">
        <v>525</v>
      </c>
      <c r="C16" s="689"/>
      <c r="D16" s="689"/>
      <c r="E16" s="689">
        <v>478.39208000000008</v>
      </c>
      <c r="F16" s="744" t="str">
        <f t="shared" ref="F16:F17" si="1">+IF(D16=0,"",C16/D16-1)</f>
        <v/>
      </c>
      <c r="G16" s="466"/>
      <c r="H16" s="863"/>
      <c r="I16" s="863"/>
      <c r="J16" s="466"/>
      <c r="K16" s="466"/>
      <c r="L16" s="472"/>
    </row>
    <row r="17" spans="1:16" s="353" customFormat="1" ht="10.5" customHeight="1">
      <c r="A17" s="745" t="s">
        <v>592</v>
      </c>
      <c r="B17" s="561"/>
      <c r="C17" s="563"/>
      <c r="D17" s="563"/>
      <c r="E17" s="563">
        <v>478.39208000000008</v>
      </c>
      <c r="F17" s="746" t="str">
        <f t="shared" si="1"/>
        <v/>
      </c>
      <c r="G17" s="466"/>
      <c r="H17" s="863"/>
      <c r="I17" s="863"/>
      <c r="J17" s="466"/>
      <c r="K17" s="466"/>
      <c r="L17" s="472"/>
    </row>
    <row r="18" spans="1:16" s="353" customFormat="1" ht="10.5" customHeight="1">
      <c r="A18" s="743" t="s">
        <v>247</v>
      </c>
      <c r="B18" s="686" t="s">
        <v>297</v>
      </c>
      <c r="C18" s="689">
        <v>0</v>
      </c>
      <c r="D18" s="689">
        <v>0</v>
      </c>
      <c r="E18" s="689">
        <v>0</v>
      </c>
      <c r="F18" s="744" t="str">
        <f t="shared" si="0"/>
        <v/>
      </c>
      <c r="G18" s="466"/>
      <c r="H18" s="863"/>
      <c r="I18" s="863"/>
      <c r="J18" s="466"/>
      <c r="K18" s="466"/>
      <c r="L18" s="472"/>
    </row>
    <row r="19" spans="1:16" s="353" customFormat="1" ht="10.5" customHeight="1">
      <c r="A19" s="745" t="s">
        <v>298</v>
      </c>
      <c r="B19" s="561"/>
      <c r="C19" s="563">
        <v>0</v>
      </c>
      <c r="D19" s="563">
        <v>0</v>
      </c>
      <c r="E19" s="563">
        <v>0</v>
      </c>
      <c r="F19" s="746" t="str">
        <f t="shared" si="0"/>
        <v/>
      </c>
      <c r="G19" s="466"/>
      <c r="H19" s="863"/>
      <c r="I19" s="863"/>
      <c r="J19" s="466"/>
      <c r="K19" s="466"/>
      <c r="L19" s="472"/>
    </row>
    <row r="20" spans="1:16" s="353" customFormat="1" ht="10.5" customHeight="1">
      <c r="A20" s="743" t="s">
        <v>94</v>
      </c>
      <c r="B20" s="686" t="s">
        <v>299</v>
      </c>
      <c r="C20" s="689">
        <v>74.651979999999995</v>
      </c>
      <c r="D20" s="689">
        <v>154.24083000000002</v>
      </c>
      <c r="E20" s="689">
        <v>97.906769999999995</v>
      </c>
      <c r="F20" s="744">
        <f t="shared" si="0"/>
        <v>-0.51600377150460108</v>
      </c>
      <c r="G20" s="466"/>
      <c r="H20" s="863"/>
      <c r="I20" s="863"/>
      <c r="J20" s="466"/>
      <c r="K20" s="466"/>
      <c r="L20" s="466"/>
      <c r="M20" s="466"/>
      <c r="N20" s="466"/>
      <c r="O20" s="466"/>
      <c r="P20" s="466"/>
    </row>
    <row r="21" spans="1:16" s="353" customFormat="1" ht="10.5" customHeight="1">
      <c r="A21" s="743"/>
      <c r="B21" s="686" t="s">
        <v>300</v>
      </c>
      <c r="C21" s="689">
        <v>9.6725999999999992</v>
      </c>
      <c r="D21" s="689">
        <v>12.60375</v>
      </c>
      <c r="E21" s="689">
        <v>14.709390000000001</v>
      </c>
      <c r="F21" s="744">
        <f t="shared" si="0"/>
        <v>-0.23256173757810183</v>
      </c>
      <c r="G21" s="466"/>
      <c r="H21" s="863"/>
      <c r="I21" s="863"/>
      <c r="J21" s="466"/>
      <c r="K21" s="466"/>
      <c r="L21" s="466"/>
      <c r="M21" s="466"/>
      <c r="N21" s="466"/>
      <c r="O21" s="466"/>
      <c r="P21" s="466"/>
    </row>
    <row r="22" spans="1:16" s="353" customFormat="1" ht="10.5" customHeight="1">
      <c r="A22" s="745" t="s">
        <v>301</v>
      </c>
      <c r="B22" s="561"/>
      <c r="C22" s="563">
        <v>84.324579999999997</v>
      </c>
      <c r="D22" s="563">
        <v>166.84458000000001</v>
      </c>
      <c r="E22" s="563">
        <v>112.61615999999999</v>
      </c>
      <c r="F22" s="746">
        <f t="shared" si="0"/>
        <v>-0.49459203289672349</v>
      </c>
      <c r="G22" s="466"/>
      <c r="H22" s="863"/>
      <c r="I22" s="863"/>
      <c r="J22" s="466"/>
      <c r="K22" s="466"/>
      <c r="L22" s="471"/>
    </row>
    <row r="23" spans="1:16" s="353" customFormat="1" ht="10.5" customHeight="1">
      <c r="A23" s="743" t="s">
        <v>593</v>
      </c>
      <c r="B23" s="686" t="s">
        <v>86</v>
      </c>
      <c r="C23" s="689"/>
      <c r="D23" s="689"/>
      <c r="E23" s="689">
        <v>1.4001999999999999</v>
      </c>
      <c r="F23" s="744" t="str">
        <f t="shared" ref="F23:F24" si="2">+IF(D23=0,"",C23/D23-1)</f>
        <v/>
      </c>
      <c r="G23" s="466"/>
      <c r="H23" s="863"/>
      <c r="I23" s="863"/>
      <c r="J23" s="466"/>
      <c r="K23" s="466"/>
      <c r="L23" s="471"/>
    </row>
    <row r="24" spans="1:16" s="353" customFormat="1" ht="10.5" customHeight="1">
      <c r="A24" s="745" t="s">
        <v>594</v>
      </c>
      <c r="B24" s="561"/>
      <c r="C24" s="563"/>
      <c r="D24" s="563"/>
      <c r="E24" s="563">
        <v>1.4001999999999999</v>
      </c>
      <c r="F24" s="746" t="str">
        <f t="shared" si="2"/>
        <v/>
      </c>
      <c r="G24" s="466"/>
      <c r="H24" s="863"/>
      <c r="I24" s="863"/>
      <c r="J24" s="466"/>
      <c r="K24" s="466"/>
      <c r="L24" s="471"/>
    </row>
    <row r="25" spans="1:16" s="353" customFormat="1" ht="10.5" customHeight="1">
      <c r="A25" s="743" t="s">
        <v>92</v>
      </c>
      <c r="B25" s="686" t="s">
        <v>302</v>
      </c>
      <c r="C25" s="689">
        <v>1.65926</v>
      </c>
      <c r="D25" s="689">
        <v>1.6322299999999998</v>
      </c>
      <c r="E25" s="689">
        <v>1.6512100000000001</v>
      </c>
      <c r="F25" s="744"/>
      <c r="G25" s="466"/>
      <c r="H25" s="863"/>
      <c r="I25" s="863"/>
      <c r="J25" s="466"/>
      <c r="K25" s="466"/>
      <c r="L25" s="471"/>
    </row>
    <row r="26" spans="1:16" s="353" customFormat="1" ht="10.5" customHeight="1">
      <c r="A26" s="743"/>
      <c r="B26" s="686" t="s">
        <v>303</v>
      </c>
      <c r="C26" s="689">
        <v>0.57752999999999999</v>
      </c>
      <c r="D26" s="689">
        <v>0.56389</v>
      </c>
      <c r="E26" s="689">
        <v>0.57431999999999994</v>
      </c>
      <c r="F26" s="744"/>
      <c r="G26" s="466"/>
      <c r="H26" s="863"/>
      <c r="I26" s="863"/>
      <c r="J26" s="466"/>
      <c r="K26" s="466"/>
      <c r="L26" s="471"/>
    </row>
    <row r="27" spans="1:16" s="353" customFormat="1" ht="10.5" customHeight="1">
      <c r="A27" s="743"/>
      <c r="B27" s="686" t="s">
        <v>304</v>
      </c>
      <c r="C27" s="689">
        <v>4.5846999999999998</v>
      </c>
      <c r="D27" s="689">
        <v>4.5535499999999995</v>
      </c>
      <c r="E27" s="689">
        <v>4.5530600000000003</v>
      </c>
      <c r="F27" s="744">
        <f t="shared" si="0"/>
        <v>6.8408165058031489E-3</v>
      </c>
      <c r="G27" s="466"/>
      <c r="H27" s="863"/>
      <c r="I27" s="863"/>
      <c r="J27" s="466"/>
      <c r="K27" s="466"/>
      <c r="L27" s="471"/>
    </row>
    <row r="28" spans="1:16" s="353" customFormat="1" ht="10.5" customHeight="1">
      <c r="A28" s="743"/>
      <c r="B28" s="686" t="s">
        <v>305</v>
      </c>
      <c r="C28" s="689">
        <v>10.143879999999999</v>
      </c>
      <c r="D28" s="689">
        <v>13.932849999999998</v>
      </c>
      <c r="E28" s="689">
        <v>14.543559999999999</v>
      </c>
      <c r="F28" s="744">
        <f t="shared" si="0"/>
        <v>-0.27194507943457369</v>
      </c>
      <c r="G28" s="466"/>
      <c r="H28" s="863"/>
      <c r="I28" s="863"/>
      <c r="J28" s="466"/>
      <c r="K28" s="466"/>
      <c r="L28" s="471"/>
    </row>
    <row r="29" spans="1:16" s="353" customFormat="1" ht="10.5" customHeight="1">
      <c r="A29" s="743"/>
      <c r="B29" s="686" t="s">
        <v>306</v>
      </c>
      <c r="C29" s="689">
        <v>142.01166000000001</v>
      </c>
      <c r="D29" s="689">
        <v>120.87297000000001</v>
      </c>
      <c r="E29" s="689">
        <v>113.52867999999999</v>
      </c>
      <c r="F29" s="744">
        <f t="shared" si="0"/>
        <v>0.17488351614095365</v>
      </c>
      <c r="G29" s="466"/>
      <c r="H29" s="863"/>
      <c r="I29" s="863"/>
      <c r="J29" s="466"/>
      <c r="K29" s="466"/>
      <c r="L29" s="473"/>
    </row>
    <row r="30" spans="1:16" s="353" customFormat="1" ht="10.5" customHeight="1">
      <c r="A30" s="743"/>
      <c r="B30" s="686" t="s">
        <v>307</v>
      </c>
      <c r="C30" s="689">
        <v>7.4267500000000002</v>
      </c>
      <c r="D30" s="689">
        <v>8.6549700000000005</v>
      </c>
      <c r="E30" s="689">
        <v>0</v>
      </c>
      <c r="F30" s="744">
        <f t="shared" si="0"/>
        <v>-0.14190921516770139</v>
      </c>
      <c r="G30" s="466"/>
      <c r="H30" s="863"/>
      <c r="I30" s="863"/>
      <c r="J30" s="466"/>
      <c r="K30" s="466"/>
      <c r="L30" s="471"/>
    </row>
    <row r="31" spans="1:16" s="353" customFormat="1" ht="10.5" customHeight="1">
      <c r="A31" s="743"/>
      <c r="B31" s="686" t="s">
        <v>308</v>
      </c>
      <c r="C31" s="689">
        <v>0</v>
      </c>
      <c r="D31" s="689">
        <v>0</v>
      </c>
      <c r="E31" s="689">
        <v>4.8430099999999996</v>
      </c>
      <c r="F31" s="744" t="str">
        <f t="shared" si="0"/>
        <v/>
      </c>
      <c r="G31" s="466"/>
      <c r="H31" s="863"/>
      <c r="I31" s="863"/>
      <c r="J31" s="466"/>
      <c r="K31" s="466"/>
      <c r="L31" s="471"/>
    </row>
    <row r="32" spans="1:16" s="353" customFormat="1" ht="10.5" customHeight="1">
      <c r="A32" s="743"/>
      <c r="B32" s="686" t="s">
        <v>309</v>
      </c>
      <c r="C32" s="689">
        <v>0</v>
      </c>
      <c r="D32" s="689">
        <v>0</v>
      </c>
      <c r="E32" s="689">
        <v>16.019690000000001</v>
      </c>
      <c r="F32" s="744" t="str">
        <f t="shared" si="0"/>
        <v/>
      </c>
      <c r="G32" s="466"/>
      <c r="H32" s="863"/>
      <c r="I32" s="863"/>
      <c r="J32" s="466"/>
      <c r="K32" s="466"/>
      <c r="L32" s="471"/>
    </row>
    <row r="33" spans="1:12" s="353" customFormat="1" ht="10.5" customHeight="1">
      <c r="A33" s="743"/>
      <c r="B33" s="686" t="s">
        <v>310</v>
      </c>
      <c r="C33" s="689">
        <v>0</v>
      </c>
      <c r="D33" s="689">
        <v>0</v>
      </c>
      <c r="E33" s="689">
        <v>0</v>
      </c>
      <c r="F33" s="744" t="str">
        <f t="shared" si="0"/>
        <v/>
      </c>
      <c r="G33" s="466"/>
      <c r="H33" s="863"/>
      <c r="I33" s="863"/>
      <c r="J33" s="466"/>
      <c r="K33" s="466"/>
      <c r="L33" s="473"/>
    </row>
    <row r="34" spans="1:12" s="353" customFormat="1" ht="10.5" customHeight="1">
      <c r="A34" s="745" t="s">
        <v>311</v>
      </c>
      <c r="B34" s="561"/>
      <c r="C34" s="563">
        <v>166.40378000000001</v>
      </c>
      <c r="D34" s="563">
        <v>150.21046000000001</v>
      </c>
      <c r="E34" s="563">
        <v>155.71352999999999</v>
      </c>
      <c r="F34" s="746">
        <f t="shared" si="0"/>
        <v>0.10780421017284691</v>
      </c>
      <c r="G34" s="466"/>
      <c r="H34" s="863"/>
      <c r="I34" s="863"/>
      <c r="J34" s="466"/>
      <c r="K34" s="466"/>
      <c r="L34" s="471"/>
    </row>
    <row r="35" spans="1:12" s="353" customFormat="1" ht="10.5" customHeight="1">
      <c r="A35" s="743" t="s">
        <v>115</v>
      </c>
      <c r="B35" s="686" t="s">
        <v>71</v>
      </c>
      <c r="C35" s="689">
        <v>4.79976</v>
      </c>
      <c r="D35" s="689">
        <v>1.70146</v>
      </c>
      <c r="E35" s="689">
        <v>2.52</v>
      </c>
      <c r="F35" s="744">
        <f t="shared" si="0"/>
        <v>1.8209655237266817</v>
      </c>
      <c r="G35" s="466"/>
      <c r="H35" s="863"/>
      <c r="I35" s="863"/>
      <c r="J35" s="466"/>
      <c r="K35" s="466"/>
      <c r="L35" s="471"/>
    </row>
    <row r="36" spans="1:12" s="353" customFormat="1" ht="10.5" customHeight="1">
      <c r="A36" s="745" t="s">
        <v>312</v>
      </c>
      <c r="B36" s="561"/>
      <c r="C36" s="563">
        <v>4.79976</v>
      </c>
      <c r="D36" s="563">
        <v>1.70146</v>
      </c>
      <c r="E36" s="563">
        <v>2.52</v>
      </c>
      <c r="F36" s="746">
        <f t="shared" si="0"/>
        <v>1.8209655237266817</v>
      </c>
      <c r="G36" s="466"/>
      <c r="H36" s="863"/>
      <c r="I36" s="863"/>
      <c r="J36" s="466"/>
      <c r="K36" s="466"/>
      <c r="L36" s="471"/>
    </row>
    <row r="37" spans="1:12" s="353" customFormat="1" ht="10.5" customHeight="1">
      <c r="A37" s="743" t="s">
        <v>93</v>
      </c>
      <c r="B37" s="686" t="s">
        <v>313</v>
      </c>
      <c r="C37" s="689">
        <v>95.751440000000002</v>
      </c>
      <c r="D37" s="689">
        <v>112.90755</v>
      </c>
      <c r="E37" s="689">
        <v>119.14735999999999</v>
      </c>
      <c r="F37" s="744">
        <f t="shared" si="0"/>
        <v>-0.15194829752306205</v>
      </c>
      <c r="G37" s="466"/>
      <c r="H37" s="863"/>
      <c r="I37" s="863"/>
      <c r="J37" s="466"/>
      <c r="K37" s="466"/>
      <c r="L37" s="471"/>
    </row>
    <row r="38" spans="1:12" s="353" customFormat="1" ht="10.5" customHeight="1">
      <c r="A38" s="745" t="s">
        <v>314</v>
      </c>
      <c r="B38" s="561"/>
      <c r="C38" s="563">
        <v>95.751440000000002</v>
      </c>
      <c r="D38" s="563">
        <v>112.90755</v>
      </c>
      <c r="E38" s="563">
        <v>119.14735999999999</v>
      </c>
      <c r="F38" s="746">
        <f t="shared" si="0"/>
        <v>-0.15194829752306205</v>
      </c>
      <c r="G38" s="466"/>
      <c r="H38" s="863"/>
      <c r="I38" s="863"/>
      <c r="J38" s="466"/>
      <c r="K38" s="466"/>
      <c r="L38" s="471"/>
    </row>
    <row r="39" spans="1:12" s="353" customFormat="1" ht="10.5" customHeight="1">
      <c r="A39" s="743" t="s">
        <v>102</v>
      </c>
      <c r="B39" s="686" t="s">
        <v>315</v>
      </c>
      <c r="C39" s="689">
        <v>16.026</v>
      </c>
      <c r="D39" s="689">
        <v>16.065809999999999</v>
      </c>
      <c r="E39" s="689">
        <v>17.760000000000002</v>
      </c>
      <c r="F39" s="744">
        <f t="shared" si="0"/>
        <v>-2.4779329520266957E-3</v>
      </c>
      <c r="G39" s="466"/>
      <c r="H39" s="863"/>
      <c r="I39" s="863"/>
      <c r="J39" s="466"/>
      <c r="K39" s="466"/>
      <c r="L39" s="471"/>
    </row>
    <row r="40" spans="1:12" s="353" customFormat="1" ht="10.5" customHeight="1">
      <c r="A40" s="743"/>
      <c r="B40" s="686" t="s">
        <v>316</v>
      </c>
      <c r="C40" s="689">
        <v>9.1739999999999995</v>
      </c>
      <c r="D40" s="689">
        <v>9.9446700000000003</v>
      </c>
      <c r="E40" s="689">
        <v>10.506</v>
      </c>
      <c r="F40" s="744">
        <f t="shared" si="0"/>
        <v>-7.7495784173833959E-2</v>
      </c>
      <c r="G40" s="466"/>
      <c r="H40" s="863"/>
      <c r="I40" s="863"/>
      <c r="J40" s="466"/>
      <c r="K40" s="466"/>
      <c r="L40" s="471"/>
    </row>
    <row r="41" spans="1:12" s="353" customFormat="1" ht="10.5" customHeight="1">
      <c r="A41" s="743"/>
      <c r="B41" s="686" t="s">
        <v>317</v>
      </c>
      <c r="C41" s="689">
        <v>0</v>
      </c>
      <c r="D41" s="689">
        <v>15.578189999999999</v>
      </c>
      <c r="E41" s="689">
        <v>9.0090000000000003</v>
      </c>
      <c r="F41" s="744">
        <f t="shared" si="0"/>
        <v>-1</v>
      </c>
      <c r="G41" s="466"/>
      <c r="H41" s="863"/>
      <c r="I41" s="863"/>
      <c r="J41" s="466"/>
      <c r="K41" s="466"/>
      <c r="L41" s="471"/>
    </row>
    <row r="42" spans="1:12" s="353" customFormat="1" ht="10.5" customHeight="1">
      <c r="A42" s="745" t="s">
        <v>318</v>
      </c>
      <c r="B42" s="561"/>
      <c r="C42" s="563">
        <v>25.2</v>
      </c>
      <c r="D42" s="563">
        <v>41.58867</v>
      </c>
      <c r="E42" s="563">
        <v>37.275000000000006</v>
      </c>
      <c r="F42" s="746">
        <f t="shared" si="0"/>
        <v>-0.39406573953915813</v>
      </c>
      <c r="G42" s="466"/>
      <c r="H42" s="863"/>
      <c r="I42" s="863"/>
      <c r="J42" s="466"/>
      <c r="K42" s="466"/>
      <c r="L42" s="471"/>
    </row>
    <row r="43" spans="1:12" s="353" customFormat="1" ht="20.25" customHeight="1">
      <c r="A43" s="758" t="s">
        <v>736</v>
      </c>
      <c r="B43" s="686" t="s">
        <v>76</v>
      </c>
      <c r="C43" s="689">
        <v>0.36243999999999998</v>
      </c>
      <c r="D43" s="689">
        <v>0</v>
      </c>
      <c r="E43" s="689">
        <v>0.26573999999999998</v>
      </c>
      <c r="F43" s="744" t="str">
        <f t="shared" si="0"/>
        <v/>
      </c>
      <c r="G43" s="466"/>
      <c r="H43" s="863"/>
      <c r="I43" s="863"/>
      <c r="J43" s="466"/>
      <c r="K43" s="466"/>
      <c r="L43" s="471"/>
    </row>
    <row r="44" spans="1:12" s="353" customFormat="1" ht="20.25" customHeight="1">
      <c r="A44" s="849" t="s">
        <v>600</v>
      </c>
      <c r="B44" s="561"/>
      <c r="C44" s="563">
        <v>0.36243999999999998</v>
      </c>
      <c r="D44" s="563">
        <v>0</v>
      </c>
      <c r="E44" s="563">
        <v>0.26573999999999998</v>
      </c>
      <c r="F44" s="746" t="str">
        <f t="shared" si="0"/>
        <v/>
      </c>
      <c r="G44" s="466"/>
      <c r="H44" s="863"/>
      <c r="I44" s="863"/>
      <c r="J44" s="466"/>
      <c r="K44" s="466"/>
      <c r="L44" s="471"/>
    </row>
    <row r="45" spans="1:12" s="353" customFormat="1" ht="10.5" customHeight="1">
      <c r="A45" s="743" t="s">
        <v>116</v>
      </c>
      <c r="B45" s="686" t="s">
        <v>74</v>
      </c>
      <c r="C45" s="689">
        <v>1.82311</v>
      </c>
      <c r="D45" s="689">
        <v>0</v>
      </c>
      <c r="E45" s="689">
        <v>2.6167400000000001</v>
      </c>
      <c r="F45" s="744" t="str">
        <f t="shared" si="0"/>
        <v/>
      </c>
      <c r="G45" s="466"/>
      <c r="H45" s="863"/>
      <c r="I45" s="863"/>
      <c r="J45" s="466"/>
      <c r="K45" s="466"/>
      <c r="L45" s="471"/>
    </row>
    <row r="46" spans="1:12" s="353" customFormat="1" ht="10.5" customHeight="1">
      <c r="A46" s="745" t="s">
        <v>319</v>
      </c>
      <c r="B46" s="561"/>
      <c r="C46" s="563">
        <v>1.82311</v>
      </c>
      <c r="D46" s="563">
        <v>0</v>
      </c>
      <c r="E46" s="563">
        <v>2.6167400000000001</v>
      </c>
      <c r="F46" s="746" t="str">
        <f t="shared" si="0"/>
        <v/>
      </c>
      <c r="G46" s="466"/>
      <c r="H46" s="863"/>
      <c r="I46" s="863"/>
      <c r="J46" s="466"/>
      <c r="K46" s="466"/>
      <c r="L46" s="474"/>
    </row>
    <row r="47" spans="1:12" s="353" customFormat="1" ht="10.5" customHeight="1">
      <c r="A47" s="743" t="s">
        <v>495</v>
      </c>
      <c r="B47" s="686" t="s">
        <v>730</v>
      </c>
      <c r="C47" s="689">
        <v>3.5722200000000002</v>
      </c>
      <c r="D47" s="689"/>
      <c r="E47" s="689"/>
      <c r="F47" s="744" t="str">
        <f t="shared" si="0"/>
        <v/>
      </c>
      <c r="G47" s="466"/>
      <c r="H47" s="863"/>
      <c r="I47" s="863"/>
      <c r="J47" s="466"/>
      <c r="K47" s="466"/>
      <c r="L47" s="471"/>
    </row>
    <row r="48" spans="1:12" s="353" customFormat="1" ht="10.5" customHeight="1">
      <c r="A48" s="745" t="s">
        <v>496</v>
      </c>
      <c r="B48" s="561"/>
      <c r="C48" s="563">
        <v>3.5722200000000002</v>
      </c>
      <c r="D48" s="563"/>
      <c r="E48" s="563"/>
      <c r="F48" s="746" t="str">
        <f t="shared" si="0"/>
        <v/>
      </c>
      <c r="G48" s="466"/>
      <c r="H48" s="863"/>
      <c r="I48" s="863"/>
      <c r="J48" s="466"/>
      <c r="K48" s="466"/>
      <c r="L48" s="471"/>
    </row>
    <row r="49" spans="1:12" s="353" customFormat="1" ht="10.5" customHeight="1">
      <c r="A49" s="743" t="s">
        <v>90</v>
      </c>
      <c r="B49" s="686" t="s">
        <v>320</v>
      </c>
      <c r="C49" s="689">
        <v>644.90159999999992</v>
      </c>
      <c r="D49" s="689">
        <v>595.88400000000001</v>
      </c>
      <c r="E49" s="689">
        <v>654.17520000000002</v>
      </c>
      <c r="F49" s="744">
        <f t="shared" si="0"/>
        <v>8.226030569708187E-2</v>
      </c>
      <c r="G49" s="466"/>
      <c r="H49" s="863"/>
      <c r="I49" s="863"/>
      <c r="J49" s="466"/>
      <c r="K49" s="466"/>
      <c r="L49" s="471"/>
    </row>
    <row r="50" spans="1:12" s="353" customFormat="1" ht="10.5" customHeight="1">
      <c r="A50" s="743"/>
      <c r="B50" s="686" t="s">
        <v>321</v>
      </c>
      <c r="C50" s="689">
        <v>213.02784</v>
      </c>
      <c r="D50" s="689">
        <v>196.24704</v>
      </c>
      <c r="E50" s="689">
        <v>212.89535999999998</v>
      </c>
      <c r="F50" s="744">
        <f t="shared" si="0"/>
        <v>8.5508550855085463E-2</v>
      </c>
      <c r="G50" s="466"/>
      <c r="H50" s="863"/>
      <c r="I50" s="863"/>
      <c r="J50" s="466"/>
      <c r="K50" s="466"/>
      <c r="L50" s="471"/>
    </row>
    <row r="51" spans="1:12" s="353" customFormat="1" ht="10.5" customHeight="1">
      <c r="A51" s="743"/>
      <c r="B51" s="686" t="s">
        <v>322</v>
      </c>
      <c r="C51" s="689">
        <v>0</v>
      </c>
      <c r="D51" s="689">
        <v>0</v>
      </c>
      <c r="E51" s="689">
        <v>8.5119100000000003</v>
      </c>
      <c r="F51" s="744" t="str">
        <f t="shared" si="0"/>
        <v/>
      </c>
      <c r="G51" s="466"/>
      <c r="H51" s="863"/>
      <c r="I51" s="863"/>
      <c r="J51" s="466"/>
      <c r="K51" s="466"/>
      <c r="L51" s="471"/>
    </row>
    <row r="52" spans="1:12" s="353" customFormat="1" ht="10.5" customHeight="1">
      <c r="A52" s="745" t="s">
        <v>323</v>
      </c>
      <c r="B52" s="561"/>
      <c r="C52" s="563">
        <v>857.92943999999989</v>
      </c>
      <c r="D52" s="563">
        <v>792.13103999999998</v>
      </c>
      <c r="E52" s="563">
        <v>875.58247000000006</v>
      </c>
      <c r="F52" s="746">
        <f t="shared" si="0"/>
        <v>8.3065044389625031E-2</v>
      </c>
      <c r="G52" s="466"/>
      <c r="H52" s="863"/>
      <c r="I52" s="863"/>
      <c r="J52" s="466"/>
      <c r="K52" s="466"/>
      <c r="L52" s="471"/>
    </row>
    <row r="53" spans="1:12" s="353" customFormat="1" ht="10.5" customHeight="1">
      <c r="A53" s="743" t="s">
        <v>248</v>
      </c>
      <c r="B53" s="686" t="s">
        <v>324</v>
      </c>
      <c r="C53" s="689">
        <v>149.67792</v>
      </c>
      <c r="D53" s="689">
        <v>161.04167000000001</v>
      </c>
      <c r="E53" s="689">
        <v>229.38470000000001</v>
      </c>
      <c r="F53" s="744">
        <f t="shared" si="0"/>
        <v>-7.0564034761934624E-2</v>
      </c>
      <c r="G53" s="466"/>
      <c r="H53" s="863"/>
      <c r="I53" s="863"/>
      <c r="J53" s="466"/>
      <c r="K53" s="466"/>
      <c r="L53" s="471"/>
    </row>
    <row r="54" spans="1:12" s="353" customFormat="1" ht="10.5" customHeight="1">
      <c r="A54" s="743"/>
      <c r="B54" s="686" t="s">
        <v>325</v>
      </c>
      <c r="C54" s="689">
        <v>6.4434899999999997</v>
      </c>
      <c r="D54" s="689">
        <v>0</v>
      </c>
      <c r="E54" s="689">
        <v>6.4463100000000004</v>
      </c>
      <c r="F54" s="744" t="str">
        <f t="shared" si="0"/>
        <v/>
      </c>
      <c r="G54" s="466"/>
      <c r="H54" s="863"/>
      <c r="I54" s="863"/>
      <c r="J54" s="466"/>
      <c r="K54" s="466"/>
      <c r="L54" s="471"/>
    </row>
    <row r="55" spans="1:12" s="353" customFormat="1" ht="10.5" customHeight="1">
      <c r="A55" s="745" t="s">
        <v>326</v>
      </c>
      <c r="B55" s="561"/>
      <c r="C55" s="563">
        <v>156.12141</v>
      </c>
      <c r="D55" s="563">
        <v>161.04167000000001</v>
      </c>
      <c r="E55" s="563">
        <v>235.83101000000002</v>
      </c>
      <c r="F55" s="746">
        <f t="shared" si="0"/>
        <v>-3.0552713468507964E-2</v>
      </c>
      <c r="G55" s="466"/>
      <c r="H55" s="863"/>
      <c r="I55" s="863"/>
      <c r="J55" s="466"/>
      <c r="K55" s="466"/>
    </row>
    <row r="56" spans="1:12" s="353" customFormat="1" ht="10.5" customHeight="1">
      <c r="A56" s="743" t="s">
        <v>249</v>
      </c>
      <c r="B56" s="686" t="s">
        <v>327</v>
      </c>
      <c r="C56" s="689">
        <v>80.44398000000001</v>
      </c>
      <c r="D56" s="689">
        <v>94.41113</v>
      </c>
      <c r="E56" s="689">
        <v>88.500439999999998</v>
      </c>
      <c r="F56" s="744">
        <f t="shared" si="0"/>
        <v>-0.14793965499618522</v>
      </c>
      <c r="G56" s="466"/>
      <c r="H56" s="863"/>
      <c r="I56" s="863"/>
      <c r="J56" s="466"/>
      <c r="K56" s="466"/>
    </row>
    <row r="57" spans="1:12" s="353" customFormat="1" ht="10.5" customHeight="1">
      <c r="A57" s="745" t="s">
        <v>328</v>
      </c>
      <c r="B57" s="561"/>
      <c r="C57" s="563">
        <v>80.44398000000001</v>
      </c>
      <c r="D57" s="563">
        <v>94.41113</v>
      </c>
      <c r="E57" s="563">
        <v>88.500439999999998</v>
      </c>
      <c r="F57" s="746">
        <f t="shared" si="0"/>
        <v>-0.14793965499618522</v>
      </c>
      <c r="G57" s="466"/>
      <c r="H57" s="863"/>
      <c r="I57" s="863"/>
      <c r="J57" s="466"/>
      <c r="K57" s="466"/>
    </row>
    <row r="58" spans="1:12" s="353" customFormat="1" ht="10.5" customHeight="1">
      <c r="A58" s="758" t="s">
        <v>735</v>
      </c>
      <c r="B58" s="686" t="s">
        <v>66</v>
      </c>
      <c r="C58" s="689">
        <v>2.1803499999999998</v>
      </c>
      <c r="D58" s="689">
        <v>1.95509</v>
      </c>
      <c r="E58" s="689">
        <v>2.2755700000000001</v>
      </c>
      <c r="F58" s="744">
        <f t="shared" si="0"/>
        <v>0.11521720227713295</v>
      </c>
      <c r="G58" s="466"/>
      <c r="H58" s="863"/>
      <c r="I58" s="863"/>
      <c r="J58" s="466"/>
      <c r="K58" s="466"/>
    </row>
    <row r="59" spans="1:12" s="353" customFormat="1" ht="10.5" customHeight="1">
      <c r="A59" s="743"/>
      <c r="B59" s="686" t="s">
        <v>65</v>
      </c>
      <c r="C59" s="689">
        <v>2.2440099999999998</v>
      </c>
      <c r="D59" s="689">
        <v>2.25922</v>
      </c>
      <c r="E59" s="689">
        <v>2.47567</v>
      </c>
      <c r="F59" s="744">
        <f t="shared" si="0"/>
        <v>-6.7324120714229441E-3</v>
      </c>
      <c r="G59" s="466"/>
      <c r="H59" s="863"/>
      <c r="I59" s="863"/>
      <c r="J59" s="466"/>
      <c r="K59" s="466"/>
    </row>
    <row r="60" spans="1:12" s="353" customFormat="1" ht="10.5" customHeight="1">
      <c r="A60" s="743"/>
      <c r="B60" s="686" t="s">
        <v>61</v>
      </c>
      <c r="C60" s="689">
        <v>2.8688400000000001</v>
      </c>
      <c r="D60" s="689">
        <v>7.4750399999999999</v>
      </c>
      <c r="E60" s="689">
        <v>4.67788</v>
      </c>
      <c r="F60" s="744">
        <f t="shared" si="0"/>
        <v>-0.6162107493739164</v>
      </c>
      <c r="G60" s="466"/>
      <c r="H60" s="863"/>
      <c r="I60" s="863"/>
      <c r="J60" s="466"/>
      <c r="K60" s="466"/>
    </row>
    <row r="61" spans="1:12" s="353" customFormat="1" ht="10.5" customHeight="1">
      <c r="A61" s="743"/>
      <c r="B61" s="686" t="s">
        <v>58</v>
      </c>
      <c r="C61" s="689">
        <v>4.1338400000000002</v>
      </c>
      <c r="D61" s="689">
        <v>10.140029999999999</v>
      </c>
      <c r="E61" s="689">
        <v>6.7198799999999999</v>
      </c>
      <c r="F61" s="744">
        <f t="shared" si="0"/>
        <v>-0.59232467754040163</v>
      </c>
      <c r="G61" s="466"/>
      <c r="H61" s="863"/>
      <c r="I61" s="863"/>
      <c r="J61" s="466"/>
      <c r="K61" s="466"/>
    </row>
    <row r="62" spans="1:12" s="353" customFormat="1" ht="10.5" customHeight="1">
      <c r="A62" s="743"/>
      <c r="B62" s="686" t="s">
        <v>69</v>
      </c>
      <c r="C62" s="689">
        <v>1.2206999999999999</v>
      </c>
      <c r="D62" s="689">
        <v>1.48316</v>
      </c>
      <c r="E62" s="689">
        <v>1.34798</v>
      </c>
      <c r="F62" s="744">
        <f t="shared" si="0"/>
        <v>-0.17696000431511105</v>
      </c>
      <c r="G62" s="466"/>
      <c r="H62" s="863"/>
      <c r="I62" s="863"/>
      <c r="J62" s="466"/>
      <c r="K62" s="466"/>
    </row>
    <row r="63" spans="1:12" s="353" customFormat="1" ht="10.5" customHeight="1">
      <c r="A63" s="743"/>
      <c r="B63" s="686" t="s">
        <v>68</v>
      </c>
      <c r="C63" s="689">
        <v>1.4718</v>
      </c>
      <c r="D63" s="689">
        <v>1.8166500000000001</v>
      </c>
      <c r="E63" s="689">
        <v>1.5761700000000001</v>
      </c>
      <c r="F63" s="744">
        <f t="shared" si="0"/>
        <v>-0.18982742960944599</v>
      </c>
      <c r="G63" s="466"/>
      <c r="H63" s="863"/>
      <c r="I63" s="863"/>
      <c r="J63" s="466"/>
      <c r="K63" s="466"/>
    </row>
    <row r="64" spans="1:12" s="353" customFormat="1" ht="15.75" customHeight="1">
      <c r="A64" s="849" t="s">
        <v>721</v>
      </c>
      <c r="B64" s="561"/>
      <c r="C64" s="563">
        <v>14.119540000000002</v>
      </c>
      <c r="D64" s="563">
        <v>25.129190000000001</v>
      </c>
      <c r="E64" s="563">
        <v>19.073150000000002</v>
      </c>
      <c r="F64" s="746">
        <f t="shared" si="0"/>
        <v>-0.43812196095457112</v>
      </c>
      <c r="G64" s="466"/>
      <c r="H64" s="863"/>
      <c r="I64" s="863"/>
      <c r="J64" s="466"/>
      <c r="K64" s="466"/>
    </row>
    <row r="65" spans="1:11" s="353" customFormat="1" ht="10.5" customHeight="1">
      <c r="A65" s="743" t="s">
        <v>89</v>
      </c>
      <c r="B65" s="686" t="s">
        <v>729</v>
      </c>
      <c r="C65" s="689">
        <v>61.981830000000002</v>
      </c>
      <c r="D65" s="689"/>
      <c r="E65" s="689"/>
      <c r="F65" s="744" t="str">
        <f t="shared" si="0"/>
        <v/>
      </c>
      <c r="G65" s="466"/>
      <c r="H65" s="863"/>
      <c r="I65" s="863"/>
      <c r="J65" s="466"/>
      <c r="K65" s="466"/>
    </row>
    <row r="66" spans="1:11" s="353" customFormat="1" ht="10.5" customHeight="1">
      <c r="A66" s="743"/>
      <c r="B66" s="686" t="s">
        <v>329</v>
      </c>
      <c r="C66" s="689">
        <v>28.298650000000002</v>
      </c>
      <c r="D66" s="689">
        <v>28.81401</v>
      </c>
      <c r="E66" s="689">
        <v>30.487009999999998</v>
      </c>
      <c r="F66" s="744">
        <f t="shared" si="0"/>
        <v>-1.7885743775337026E-2</v>
      </c>
      <c r="G66" s="466"/>
      <c r="H66" s="864"/>
      <c r="I66" s="863"/>
      <c r="J66" s="466"/>
      <c r="K66" s="466"/>
    </row>
    <row r="67" spans="1:11" s="353" customFormat="1" ht="10.5" customHeight="1">
      <c r="A67" s="743"/>
      <c r="B67" s="686" t="s">
        <v>330</v>
      </c>
      <c r="C67" s="689">
        <v>185.20872</v>
      </c>
      <c r="D67" s="689">
        <v>179.62619000000001</v>
      </c>
      <c r="E67" s="689">
        <v>259.02669000000003</v>
      </c>
      <c r="F67" s="744">
        <f t="shared" si="0"/>
        <v>3.1078597168931799E-2</v>
      </c>
      <c r="G67" s="466"/>
      <c r="H67" s="864"/>
      <c r="I67" s="863"/>
      <c r="J67" s="466"/>
      <c r="K67" s="466"/>
    </row>
    <row r="68" spans="1:11" s="353" customFormat="1" ht="10.5" customHeight="1">
      <c r="A68" s="743"/>
      <c r="B68" s="686" t="s">
        <v>331</v>
      </c>
      <c r="C68" s="689">
        <v>65.190799999999996</v>
      </c>
      <c r="D68" s="689">
        <v>101.25128000000001</v>
      </c>
      <c r="E68" s="689">
        <v>99.831999999999994</v>
      </c>
      <c r="F68" s="744">
        <f t="shared" si="0"/>
        <v>-0.35614838646978098</v>
      </c>
      <c r="G68" s="475"/>
      <c r="H68" s="864"/>
      <c r="I68" s="863"/>
      <c r="J68" s="466"/>
      <c r="K68" s="466"/>
    </row>
    <row r="69" spans="1:11" s="353" customFormat="1" ht="10.5" customHeight="1">
      <c r="A69" s="743"/>
      <c r="B69" s="686" t="s">
        <v>332</v>
      </c>
      <c r="C69" s="689">
        <v>65.187219999999996</v>
      </c>
      <c r="D69" s="689">
        <v>51.338459999999998</v>
      </c>
      <c r="E69" s="689">
        <v>46.125129999999999</v>
      </c>
      <c r="F69" s="744">
        <f t="shared" si="0"/>
        <v>0.26975409858418042</v>
      </c>
      <c r="G69" s="475"/>
      <c r="H69" s="864"/>
      <c r="I69" s="863"/>
      <c r="J69" s="466"/>
      <c r="K69" s="466"/>
    </row>
    <row r="70" spans="1:11" s="353" customFormat="1" ht="10.5" customHeight="1">
      <c r="A70" s="743"/>
      <c r="B70" s="686" t="s">
        <v>333</v>
      </c>
      <c r="C70" s="689">
        <v>0</v>
      </c>
      <c r="D70" s="689">
        <v>0</v>
      </c>
      <c r="E70" s="689">
        <v>0</v>
      </c>
      <c r="F70" s="744" t="str">
        <f t="shared" si="0"/>
        <v/>
      </c>
      <c r="G70" s="475"/>
      <c r="H70" s="864"/>
      <c r="I70" s="863"/>
      <c r="J70" s="466"/>
      <c r="K70" s="466"/>
    </row>
    <row r="71" spans="1:11" s="353" customFormat="1" ht="10.5" customHeight="1">
      <c r="A71" s="743"/>
      <c r="B71" s="686" t="s">
        <v>334</v>
      </c>
      <c r="C71" s="689">
        <v>188.97019</v>
      </c>
      <c r="D71" s="689">
        <v>0</v>
      </c>
      <c r="E71" s="689">
        <v>0</v>
      </c>
      <c r="F71" s="744" t="str">
        <f t="shared" si="0"/>
        <v/>
      </c>
      <c r="G71" s="475"/>
      <c r="H71" s="863"/>
      <c r="I71" s="863"/>
      <c r="J71" s="466"/>
      <c r="K71" s="466"/>
    </row>
    <row r="72" spans="1:11" s="353" customFormat="1" ht="10.5" customHeight="1">
      <c r="A72" s="743"/>
      <c r="B72" s="686" t="s">
        <v>335</v>
      </c>
      <c r="C72" s="689">
        <v>453.21472</v>
      </c>
      <c r="D72" s="689">
        <v>439.87042000000002</v>
      </c>
      <c r="E72" s="689">
        <v>147.26266000000001</v>
      </c>
      <c r="F72" s="744">
        <f t="shared" si="0"/>
        <v>3.0336888759194158E-2</v>
      </c>
      <c r="G72" s="475"/>
      <c r="H72" s="863"/>
      <c r="I72" s="863"/>
      <c r="J72" s="466"/>
      <c r="K72" s="466"/>
    </row>
    <row r="73" spans="1:11" s="353" customFormat="1" ht="10.5" customHeight="1">
      <c r="A73" s="743"/>
      <c r="B73" s="686" t="s">
        <v>486</v>
      </c>
      <c r="C73" s="689">
        <v>0.66669999999999996</v>
      </c>
      <c r="D73" s="689">
        <v>0</v>
      </c>
      <c r="E73" s="689"/>
      <c r="F73" s="744" t="str">
        <f t="shared" si="0"/>
        <v/>
      </c>
      <c r="G73" s="466"/>
      <c r="H73" s="863"/>
      <c r="I73" s="863"/>
      <c r="J73" s="466"/>
      <c r="K73" s="466"/>
    </row>
    <row r="74" spans="1:11" s="353" customFormat="1" ht="10.5" customHeight="1">
      <c r="A74" s="745" t="s">
        <v>336</v>
      </c>
      <c r="B74" s="561"/>
      <c r="C74" s="563">
        <v>1048.71883</v>
      </c>
      <c r="D74" s="563">
        <v>800.90036000000009</v>
      </c>
      <c r="E74" s="563">
        <v>582.73349000000007</v>
      </c>
      <c r="F74" s="746">
        <f t="shared" si="0"/>
        <v>0.30942484530784808</v>
      </c>
      <c r="G74" s="466"/>
      <c r="H74" s="863"/>
      <c r="I74" s="863"/>
      <c r="J74" s="466"/>
      <c r="K74" s="466"/>
    </row>
    <row r="75" spans="1:11" s="353" customFormat="1" ht="10.5" customHeight="1">
      <c r="A75" s="743" t="s">
        <v>97</v>
      </c>
      <c r="B75" s="686" t="s">
        <v>337</v>
      </c>
      <c r="C75" s="689">
        <v>0</v>
      </c>
      <c r="D75" s="689">
        <v>0</v>
      </c>
      <c r="E75" s="689">
        <v>0</v>
      </c>
      <c r="F75" s="744" t="str">
        <f t="shared" si="0"/>
        <v/>
      </c>
      <c r="G75" s="466"/>
      <c r="H75" s="863"/>
      <c r="I75" s="863"/>
      <c r="J75" s="466"/>
      <c r="K75" s="466"/>
    </row>
    <row r="76" spans="1:11" s="353" customFormat="1" ht="10.5" customHeight="1">
      <c r="A76" s="743"/>
      <c r="B76" s="686" t="s">
        <v>338</v>
      </c>
      <c r="C76" s="689">
        <v>91.44923</v>
      </c>
      <c r="D76" s="689">
        <v>91.824759999999998</v>
      </c>
      <c r="E76" s="689">
        <v>96.199489999999997</v>
      </c>
      <c r="F76" s="744">
        <f t="shared" si="0"/>
        <v>-4.089637696847781E-3</v>
      </c>
      <c r="G76" s="476"/>
      <c r="H76" s="863"/>
      <c r="I76" s="863"/>
      <c r="J76" s="466"/>
      <c r="K76" s="466"/>
    </row>
    <row r="77" spans="1:11" s="353" customFormat="1" ht="10.5" customHeight="1">
      <c r="A77" s="743"/>
      <c r="B77" s="686" t="s">
        <v>339</v>
      </c>
      <c r="C77" s="689">
        <v>0</v>
      </c>
      <c r="D77" s="689">
        <v>0</v>
      </c>
      <c r="E77" s="689">
        <v>0</v>
      </c>
      <c r="F77" s="744" t="str">
        <f t="shared" si="0"/>
        <v/>
      </c>
      <c r="G77" s="476"/>
      <c r="H77" s="280"/>
      <c r="I77" s="863"/>
      <c r="J77" s="466"/>
      <c r="K77" s="466"/>
    </row>
    <row r="78" spans="1:11" s="353" customFormat="1" ht="10.5" customHeight="1">
      <c r="A78" s="745" t="s">
        <v>340</v>
      </c>
      <c r="B78" s="561"/>
      <c r="C78" s="563">
        <v>91.44923</v>
      </c>
      <c r="D78" s="563">
        <v>91.824759999999998</v>
      </c>
      <c r="E78" s="563">
        <v>96.199489999999997</v>
      </c>
      <c r="F78" s="746">
        <f t="shared" si="0"/>
        <v>-4.089637696847781E-3</v>
      </c>
      <c r="G78" s="476"/>
      <c r="H78" s="280"/>
      <c r="I78" s="863"/>
      <c r="J78" s="466"/>
      <c r="K78" s="466"/>
    </row>
    <row r="79" spans="1:11" s="353" customFormat="1" ht="10.5" customHeight="1">
      <c r="A79" s="752" t="s">
        <v>99</v>
      </c>
      <c r="B79" s="700" t="s">
        <v>517</v>
      </c>
      <c r="C79" s="714">
        <v>0</v>
      </c>
      <c r="D79" s="714">
        <v>0</v>
      </c>
      <c r="E79" s="714"/>
      <c r="F79" s="772" t="str">
        <f t="shared" si="0"/>
        <v/>
      </c>
      <c r="H79" s="280"/>
      <c r="I79" s="863"/>
      <c r="J79" s="466"/>
      <c r="K79" s="466"/>
    </row>
    <row r="80" spans="1:11" s="353" customFormat="1" ht="10.5" customHeight="1">
      <c r="A80" s="743"/>
      <c r="B80" s="686" t="s">
        <v>516</v>
      </c>
      <c r="C80" s="689">
        <v>126.6623</v>
      </c>
      <c r="D80" s="689">
        <v>36.500799999999998</v>
      </c>
      <c r="E80" s="689"/>
      <c r="F80" s="744">
        <f t="shared" ref="F80:F81" si="3">+IF(D80=0,"",C80/D80-1)</f>
        <v>2.4701239424889319</v>
      </c>
      <c r="H80" s="280"/>
      <c r="I80" s="280"/>
      <c r="J80" s="466"/>
      <c r="K80" s="466"/>
    </row>
    <row r="81" spans="1:11" s="353" customFormat="1" ht="10.5" customHeight="1">
      <c r="A81" s="745" t="s">
        <v>341</v>
      </c>
      <c r="B81" s="561"/>
      <c r="C81" s="563">
        <v>126.6623</v>
      </c>
      <c r="D81" s="563">
        <v>36.500799999999998</v>
      </c>
      <c r="E81" s="563"/>
      <c r="F81" s="746">
        <f t="shared" si="3"/>
        <v>2.4701239424889319</v>
      </c>
      <c r="H81" s="280"/>
      <c r="I81" s="280"/>
      <c r="J81" s="466"/>
      <c r="K81" s="466"/>
    </row>
    <row r="82" spans="1:11" s="353" customFormat="1" ht="10.5" customHeight="1">
      <c r="I82" s="466"/>
      <c r="J82" s="466"/>
      <c r="K82" s="466"/>
    </row>
    <row r="83" spans="1:11" s="353" customFormat="1" ht="10.5" customHeight="1"/>
    <row r="84" spans="1:11" s="353" customFormat="1" ht="10.5" customHeight="1"/>
    <row r="85" spans="1:11" s="353" customFormat="1" ht="10.5" customHeight="1"/>
    <row r="86" spans="1:11" s="353" customFormat="1" ht="10.5" customHeight="1"/>
    <row r="87" spans="1:11" s="353" customFormat="1" ht="10.5" customHeight="1"/>
    <row r="88" spans="1:11" s="353" customFormat="1" ht="10.5" customHeight="1"/>
    <row r="89" spans="1:11" s="353" customFormat="1" ht="10.5" customHeight="1"/>
    <row r="90" spans="1:11" s="353" customFormat="1" ht="10.5" customHeight="1"/>
    <row r="91" spans="1:11" s="353" customFormat="1" ht="10.5" customHeight="1"/>
    <row r="92" spans="1:11" s="353" customFormat="1" ht="10.5" customHeight="1"/>
    <row r="93" spans="1:11" s="353" customFormat="1" ht="10.5" customHeight="1"/>
    <row r="94" spans="1:11" s="353" customFormat="1" ht="10.5" customHeight="1"/>
    <row r="95" spans="1:11" s="353" customFormat="1" ht="10.5" customHeight="1"/>
    <row r="96" spans="1:11" s="353" customFormat="1" ht="10.5" customHeight="1"/>
    <row r="97" s="353" customFormat="1" ht="10.5" customHeight="1"/>
    <row r="98" s="353" customFormat="1" ht="10.5" customHeight="1"/>
    <row r="99" s="353" customFormat="1" ht="10.5" customHeight="1"/>
    <row r="100" s="353" customFormat="1" ht="10.5" customHeight="1"/>
    <row r="101" s="353" customFormat="1" ht="10.5" customHeight="1"/>
    <row r="102" s="353" customFormat="1" ht="10.5" customHeight="1"/>
    <row r="103" s="353" customFormat="1" ht="10.5" customHeight="1"/>
    <row r="104" s="353" customFormat="1" ht="10.5" customHeight="1"/>
    <row r="105" s="353" customFormat="1" ht="10.5" customHeight="1"/>
    <row r="106" s="353" customFormat="1" ht="10.5" customHeight="1"/>
    <row r="107" s="353" customFormat="1" ht="10.5" customHeight="1"/>
    <row r="108" s="353" customFormat="1" ht="10.5" customHeight="1"/>
    <row r="109" s="353" customFormat="1" ht="10.5" customHeight="1"/>
    <row r="110" s="353" customFormat="1" ht="10.5" customHeight="1"/>
    <row r="111" s="353" customFormat="1" ht="10.5" customHeight="1"/>
    <row r="112" s="353" customFormat="1" ht="10.5" customHeight="1"/>
    <row r="113" s="353" customFormat="1" ht="10.5" customHeight="1"/>
    <row r="114" s="353" customFormat="1" ht="10.5" customHeight="1"/>
    <row r="115" s="353" customFormat="1" ht="10.5" customHeight="1"/>
    <row r="116" s="353" customFormat="1" ht="10.5" customHeight="1"/>
    <row r="117" s="353" customFormat="1" ht="10.5" customHeight="1"/>
    <row r="118" s="353" customFormat="1" ht="10.5" customHeight="1"/>
    <row r="119" s="353" customFormat="1" ht="10.5" customHeight="1"/>
    <row r="120" s="353" customFormat="1" ht="10.5" customHeight="1"/>
    <row r="121" s="353" customFormat="1" ht="10.5" customHeight="1"/>
    <row r="122" s="353" customFormat="1" ht="10.5" customHeight="1"/>
    <row r="123" s="353" customFormat="1" ht="10.5" customHeight="1"/>
    <row r="124" s="353" customFormat="1" ht="10.5" customHeight="1"/>
    <row r="125" s="353" customFormat="1" ht="10.5" customHeight="1"/>
    <row r="126" s="353" customFormat="1" ht="10.5" customHeight="1"/>
    <row r="127" s="353" customFormat="1" ht="10.5" customHeight="1"/>
    <row r="128" s="353" customFormat="1" ht="10.5" customHeight="1"/>
    <row r="129" s="353" customFormat="1" ht="10.5" customHeight="1"/>
    <row r="130" s="353" customFormat="1" ht="10.5" customHeight="1"/>
    <row r="131" s="353" customFormat="1" ht="10.5" customHeight="1"/>
    <row r="132" s="353" customFormat="1" ht="10.5" customHeight="1"/>
    <row r="133" s="353" customFormat="1" ht="10.5" customHeight="1"/>
    <row r="134" s="353" customFormat="1" ht="10.5" customHeight="1"/>
    <row r="135" s="353" customFormat="1" ht="10.5" customHeight="1"/>
    <row r="136" s="353" customFormat="1" ht="10.5" customHeight="1"/>
    <row r="137" s="353" customFormat="1" ht="10.5" customHeight="1"/>
    <row r="138" s="353" customFormat="1" ht="10.5" customHeight="1"/>
    <row r="139" s="353" customFormat="1" ht="10.5" customHeight="1"/>
    <row r="140" s="353" customFormat="1" ht="10.5" customHeight="1"/>
    <row r="141" s="353" customFormat="1" ht="10.5" customHeight="1"/>
    <row r="142" s="353" customFormat="1" ht="10.5" customHeight="1"/>
    <row r="143" s="353" customFormat="1" ht="10.5" customHeight="1"/>
    <row r="144" s="353" customFormat="1" ht="10.5" customHeight="1"/>
    <row r="145" s="353" customFormat="1" ht="10.5" customHeight="1"/>
    <row r="146" s="353" customFormat="1" ht="10.5" customHeight="1"/>
    <row r="147" s="353" customFormat="1" ht="10.5" customHeight="1"/>
    <row r="148" s="353" customFormat="1" ht="10.5" customHeight="1"/>
    <row r="149" s="353" customFormat="1" ht="10.5" customHeight="1"/>
    <row r="150" s="353" customFormat="1" ht="10.5" customHeight="1"/>
    <row r="151" s="353" customFormat="1" ht="10.5" customHeight="1"/>
    <row r="152" s="353" customFormat="1" ht="10.5" customHeight="1"/>
    <row r="153" s="353" customFormat="1" ht="10.5" customHeight="1"/>
    <row r="154" s="353" customFormat="1" ht="10.5" customHeight="1"/>
    <row r="155" s="353" customFormat="1" ht="10.5" customHeight="1"/>
    <row r="156" s="353" customFormat="1" ht="10.5" customHeight="1"/>
    <row r="157" s="353" customFormat="1" ht="10.5" customHeight="1"/>
    <row r="158" s="353" customFormat="1" ht="10.5" customHeight="1"/>
    <row r="159" s="353" customFormat="1" ht="10.5" customHeight="1"/>
    <row r="160" s="353" customFormat="1" ht="10.5" customHeight="1"/>
    <row r="161" s="353" customFormat="1" ht="10.5" customHeight="1"/>
    <row r="162" s="353" customFormat="1" ht="10.5" customHeight="1"/>
    <row r="163" s="353" customFormat="1" ht="10.5" customHeight="1"/>
    <row r="164" s="353" customFormat="1" ht="10.5" customHeight="1"/>
    <row r="165" s="353" customFormat="1" ht="10.5" customHeight="1"/>
    <row r="166" s="353" customFormat="1" ht="10.5" customHeight="1"/>
    <row r="167" s="353" customFormat="1" ht="10.5" customHeight="1"/>
    <row r="168" s="353" customFormat="1" ht="10.5" customHeight="1"/>
    <row r="169" s="353" customFormat="1" ht="10.5" customHeight="1"/>
    <row r="170" s="353" customFormat="1" ht="10.5" customHeight="1"/>
    <row r="171" s="353" customFormat="1" ht="10.5" customHeight="1"/>
    <row r="172" s="353" customFormat="1" ht="8.25"/>
    <row r="173" s="353" customFormat="1" ht="8.25"/>
    <row r="174" s="353" customFormat="1" ht="8.25"/>
    <row r="175" s="353" customFormat="1" ht="8.25"/>
    <row r="176" s="353" customFormat="1" ht="8.25"/>
    <row r="177" s="353" customFormat="1" ht="8.25"/>
    <row r="178" s="353" customFormat="1" ht="8.25"/>
    <row r="179" s="353" customFormat="1" ht="8.25"/>
    <row r="180" s="353" customFormat="1" ht="8.25"/>
    <row r="181" s="353" customFormat="1" ht="8.25"/>
    <row r="182" s="353" customFormat="1" ht="8.25"/>
    <row r="183" s="353" customFormat="1" ht="8.25"/>
    <row r="184" s="353" customFormat="1" ht="8.25"/>
    <row r="185" s="353" customFormat="1" ht="8.25"/>
    <row r="186" s="353" customFormat="1" ht="8.25"/>
    <row r="187" s="353" customFormat="1" ht="8.25"/>
    <row r="188" s="353" customFormat="1" ht="8.25"/>
    <row r="189" s="353" customFormat="1" ht="8.25"/>
    <row r="190" s="353" customFormat="1" ht="8.25"/>
    <row r="191" s="353" customFormat="1" ht="8.25"/>
    <row r="192" s="353"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Mensual-Setiembre 2019
INFSGI-MES-09-2019
11/10/2019
Versión: 01</oddHeader>
    <oddFooter>&amp;L&amp;7COES, 2019&amp;C21&amp;R&amp;7Dirección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5"/>
  <sheetViews>
    <sheetView showGridLines="0" view="pageBreakPreview" zoomScale="120" zoomScaleNormal="100" zoomScaleSheetLayoutView="120" zoomScalePageLayoutView="160" workbookViewId="0">
      <selection sqref="A1:A4"/>
    </sheetView>
  </sheetViews>
  <sheetFormatPr defaultColWidth="9.33203125" defaultRowHeight="9"/>
  <cols>
    <col min="1" max="1" width="28.6640625" style="280" customWidth="1"/>
    <col min="2" max="2" width="22.1640625" style="280" customWidth="1"/>
    <col min="3" max="4" width="17.6640625" style="280" customWidth="1"/>
    <col min="5" max="5" width="15.1640625" style="280" customWidth="1"/>
    <col min="6" max="6" width="13.33203125" style="280" customWidth="1"/>
    <col min="7" max="7" width="6.33203125" style="280" customWidth="1"/>
    <col min="8" max="16384" width="9.33203125" style="280"/>
  </cols>
  <sheetData>
    <row r="1" spans="1:11" s="353" customFormat="1" ht="11.25" customHeight="1">
      <c r="A1" s="989" t="s">
        <v>261</v>
      </c>
      <c r="B1" s="991" t="s">
        <v>55</v>
      </c>
      <c r="C1" s="991" t="s">
        <v>411</v>
      </c>
      <c r="D1" s="991"/>
      <c r="E1" s="991"/>
      <c r="F1" s="993"/>
      <c r="G1" s="464"/>
    </row>
    <row r="2" spans="1:11" s="353" customFormat="1" ht="11.25" customHeight="1">
      <c r="A2" s="983"/>
      <c r="B2" s="986"/>
      <c r="C2" s="544" t="str">
        <f>+'21. ANEXOII-1'!C3</f>
        <v>SETIEMBRE 2019</v>
      </c>
      <c r="D2" s="545" t="str">
        <f>+'21. ANEXOII-1'!D3</f>
        <v>SETIEMBRE 2018</v>
      </c>
      <c r="E2" s="546" t="s">
        <v>575</v>
      </c>
      <c r="F2" s="706" t="s">
        <v>531</v>
      </c>
      <c r="G2" s="465"/>
      <c r="H2" s="464"/>
    </row>
    <row r="3" spans="1:11" s="353" customFormat="1" ht="11.25" customHeight="1">
      <c r="A3" s="983"/>
      <c r="B3" s="986"/>
      <c r="C3" s="547">
        <f>+'8. Max Potencia'!D8</f>
        <v>43718.78125</v>
      </c>
      <c r="D3" s="547">
        <f>+'8. Max Potencia'!E8</f>
        <v>43369.875</v>
      </c>
      <c r="E3" s="547">
        <f>+'21. ANEXOII-1'!E4</f>
        <v>42954.8125</v>
      </c>
      <c r="F3" s="707" t="s">
        <v>408</v>
      </c>
      <c r="G3" s="466"/>
      <c r="H3" s="464"/>
    </row>
    <row r="4" spans="1:11" s="353" customFormat="1" ht="9" customHeight="1">
      <c r="A4" s="990"/>
      <c r="B4" s="992"/>
      <c r="C4" s="548">
        <f>+'8. Max Potencia'!D9</f>
        <v>43718.78125</v>
      </c>
      <c r="D4" s="548">
        <f>+'8. Max Potencia'!E9</f>
        <v>43369.875</v>
      </c>
      <c r="E4" s="548">
        <f>+'21. ANEXOII-1'!E5</f>
        <v>42954.8125</v>
      </c>
      <c r="F4" s="708" t="s">
        <v>409</v>
      </c>
      <c r="G4" s="466"/>
      <c r="H4" s="468"/>
    </row>
    <row r="5" spans="1:11" s="353" customFormat="1" ht="10.5" customHeight="1">
      <c r="A5" s="743" t="s">
        <v>98</v>
      </c>
      <c r="B5" s="686" t="s">
        <v>78</v>
      </c>
      <c r="C5" s="689">
        <v>73.031310000000005</v>
      </c>
      <c r="D5" s="689">
        <v>35.399039999999999</v>
      </c>
      <c r="E5" s="689">
        <v>76.899739999999994</v>
      </c>
      <c r="F5" s="744">
        <f t="shared" ref="F5:F37" si="0">+IF(D5=0,"",C5/D5-1)</f>
        <v>1.0630873040624831</v>
      </c>
      <c r="J5" s="580"/>
      <c r="K5" s="580"/>
    </row>
    <row r="6" spans="1:11" s="353" customFormat="1" ht="10.5" customHeight="1">
      <c r="A6" s="743"/>
      <c r="B6" s="686" t="s">
        <v>80</v>
      </c>
      <c r="C6" s="689">
        <v>30.154779999999999</v>
      </c>
      <c r="D6" s="689">
        <v>24.802199999999999</v>
      </c>
      <c r="E6" s="689">
        <v>29.886600000000001</v>
      </c>
      <c r="F6" s="744">
        <f t="shared" si="0"/>
        <v>0.21581069421261012</v>
      </c>
      <c r="J6" s="580"/>
      <c r="K6" s="580"/>
    </row>
    <row r="7" spans="1:11" s="353" customFormat="1" ht="10.5" customHeight="1">
      <c r="A7" s="745" t="s">
        <v>342</v>
      </c>
      <c r="B7" s="561"/>
      <c r="C7" s="563">
        <v>103.18609000000001</v>
      </c>
      <c r="D7" s="563">
        <v>60.201239999999999</v>
      </c>
      <c r="E7" s="563">
        <v>106.78634</v>
      </c>
      <c r="F7" s="746">
        <f t="shared" si="0"/>
        <v>0.71401934578091764</v>
      </c>
      <c r="J7" s="580"/>
      <c r="K7" s="580"/>
    </row>
    <row r="8" spans="1:11" s="353" customFormat="1" ht="10.5" customHeight="1">
      <c r="A8" s="743" t="s">
        <v>88</v>
      </c>
      <c r="B8" s="686" t="s">
        <v>343</v>
      </c>
      <c r="C8" s="689">
        <v>90.310090000000002</v>
      </c>
      <c r="D8" s="689">
        <v>50.171979999999998</v>
      </c>
      <c r="E8" s="689">
        <v>63.140920000000001</v>
      </c>
      <c r="F8" s="744">
        <f t="shared" si="0"/>
        <v>0.80001048393944196</v>
      </c>
      <c r="K8" s="580"/>
    </row>
    <row r="9" spans="1:11" s="353" customFormat="1" ht="10.5" customHeight="1">
      <c r="A9" s="743"/>
      <c r="B9" s="686" t="s">
        <v>344</v>
      </c>
      <c r="C9" s="689">
        <v>51.470559999999992</v>
      </c>
      <c r="D9" s="689">
        <v>86.306110000000004</v>
      </c>
      <c r="E9" s="689">
        <v>90.892600000000002</v>
      </c>
      <c r="F9" s="744">
        <f t="shared" si="0"/>
        <v>-0.40362785438945181</v>
      </c>
      <c r="K9" s="580"/>
    </row>
    <row r="10" spans="1:11" s="353" customFormat="1" ht="10.5" customHeight="1">
      <c r="A10" s="743"/>
      <c r="B10" s="686" t="s">
        <v>345</v>
      </c>
      <c r="C10" s="689">
        <v>720.75717999999995</v>
      </c>
      <c r="D10" s="689">
        <v>744.30408999999997</v>
      </c>
      <c r="E10" s="689">
        <v>487.61680000000001</v>
      </c>
      <c r="F10" s="744">
        <f t="shared" si="0"/>
        <v>-3.1636142157972058E-2</v>
      </c>
      <c r="K10" s="580"/>
    </row>
    <row r="11" spans="1:11" s="353" customFormat="1" ht="10.5" customHeight="1">
      <c r="A11" s="743"/>
      <c r="B11" s="686" t="s">
        <v>346</v>
      </c>
      <c r="C11" s="689">
        <v>102.58139</v>
      </c>
      <c r="D11" s="689">
        <v>105.68222</v>
      </c>
      <c r="E11" s="689">
        <v>0</v>
      </c>
      <c r="F11" s="744">
        <f t="shared" si="0"/>
        <v>-2.9341075537588135E-2</v>
      </c>
      <c r="J11" s="580"/>
      <c r="K11" s="580"/>
    </row>
    <row r="12" spans="1:11" s="353" customFormat="1" ht="10.5" customHeight="1">
      <c r="A12" s="743"/>
      <c r="B12" s="686" t="s">
        <v>576</v>
      </c>
      <c r="C12" s="689"/>
      <c r="D12" s="689"/>
      <c r="E12" s="689">
        <v>0</v>
      </c>
      <c r="F12" s="744" t="str">
        <f t="shared" si="0"/>
        <v/>
      </c>
      <c r="J12" s="580"/>
      <c r="K12" s="580"/>
    </row>
    <row r="13" spans="1:11" s="353" customFormat="1" ht="10.5" customHeight="1">
      <c r="A13" s="743"/>
      <c r="B13" s="686" t="s">
        <v>347</v>
      </c>
      <c r="C13" s="689">
        <v>0</v>
      </c>
      <c r="D13" s="689">
        <v>0</v>
      </c>
      <c r="E13" s="689">
        <v>131.03271000000001</v>
      </c>
      <c r="F13" s="744" t="str">
        <f t="shared" si="0"/>
        <v/>
      </c>
      <c r="J13" s="580"/>
      <c r="K13" s="580"/>
    </row>
    <row r="14" spans="1:11" s="353" customFormat="1" ht="10.5" customHeight="1">
      <c r="A14" s="743"/>
      <c r="B14" s="686" t="s">
        <v>348</v>
      </c>
      <c r="C14" s="689">
        <v>0</v>
      </c>
      <c r="D14" s="689">
        <v>0</v>
      </c>
      <c r="E14" s="689">
        <v>0</v>
      </c>
      <c r="F14" s="744" t="str">
        <f t="shared" si="0"/>
        <v/>
      </c>
      <c r="J14" s="580"/>
      <c r="K14" s="580"/>
    </row>
    <row r="15" spans="1:11" s="353" customFormat="1" ht="10.5" customHeight="1">
      <c r="A15" s="743"/>
      <c r="B15" s="686" t="s">
        <v>349</v>
      </c>
      <c r="C15" s="689">
        <v>0</v>
      </c>
      <c r="D15" s="689">
        <v>0</v>
      </c>
      <c r="E15" s="689">
        <v>0</v>
      </c>
      <c r="F15" s="744" t="str">
        <f t="shared" si="0"/>
        <v/>
      </c>
      <c r="J15" s="580"/>
      <c r="K15" s="580"/>
    </row>
    <row r="16" spans="1:11" s="353" customFormat="1" ht="10.5" customHeight="1">
      <c r="A16" s="743"/>
      <c r="B16" s="686" t="s">
        <v>518</v>
      </c>
      <c r="C16" s="689">
        <v>0</v>
      </c>
      <c r="D16" s="689">
        <v>0</v>
      </c>
      <c r="E16" s="689"/>
      <c r="F16" s="744" t="str">
        <f t="shared" si="0"/>
        <v/>
      </c>
      <c r="J16" s="580"/>
      <c r="K16" s="580"/>
    </row>
    <row r="17" spans="1:11" s="353" customFormat="1" ht="10.5" customHeight="1">
      <c r="A17" s="745" t="s">
        <v>350</v>
      </c>
      <c r="B17" s="561"/>
      <c r="C17" s="563">
        <v>965.11922000000004</v>
      </c>
      <c r="D17" s="563">
        <v>986.46439999999996</v>
      </c>
      <c r="E17" s="563">
        <v>772.68302999999992</v>
      </c>
      <c r="F17" s="746">
        <f t="shared" si="0"/>
        <v>-2.1638064181535466E-2</v>
      </c>
      <c r="J17" s="580"/>
      <c r="K17" s="580"/>
    </row>
    <row r="18" spans="1:11" s="353" customFormat="1" ht="10.5" customHeight="1">
      <c r="A18" s="743" t="s">
        <v>250</v>
      </c>
      <c r="B18" s="686" t="s">
        <v>351</v>
      </c>
      <c r="C18" s="689">
        <v>540.20402000000001</v>
      </c>
      <c r="D18" s="689">
        <v>548.98491999999999</v>
      </c>
      <c r="E18" s="689">
        <v>554.93299000000002</v>
      </c>
      <c r="F18" s="744">
        <f t="shared" si="0"/>
        <v>-1.5994792716710671E-2</v>
      </c>
      <c r="J18" s="580"/>
      <c r="K18" s="580"/>
    </row>
    <row r="19" spans="1:11" s="353" customFormat="1" ht="10.5" customHeight="1">
      <c r="A19" s="745" t="s">
        <v>352</v>
      </c>
      <c r="B19" s="561"/>
      <c r="C19" s="563">
        <v>540.20402000000001</v>
      </c>
      <c r="D19" s="563">
        <v>548.98491999999999</v>
      </c>
      <c r="E19" s="563">
        <v>554.93299000000002</v>
      </c>
      <c r="F19" s="746">
        <f t="shared" si="0"/>
        <v>-1.5994792716710671E-2</v>
      </c>
      <c r="J19" s="580"/>
      <c r="K19" s="580"/>
    </row>
    <row r="20" spans="1:11" s="353" customFormat="1" ht="10.5" customHeight="1">
      <c r="A20" s="743" t="s">
        <v>109</v>
      </c>
      <c r="B20" s="686" t="s">
        <v>67</v>
      </c>
      <c r="C20" s="689">
        <v>7.7514099999999999</v>
      </c>
      <c r="D20" s="689">
        <v>6.1795399999999994</v>
      </c>
      <c r="E20" s="689">
        <v>7.6752200000000004</v>
      </c>
      <c r="F20" s="744">
        <f t="shared" si="0"/>
        <v>0.25436682989348736</v>
      </c>
      <c r="J20" s="580"/>
      <c r="K20" s="580"/>
    </row>
    <row r="21" spans="1:11" s="353" customFormat="1" ht="10.5" customHeight="1">
      <c r="A21" s="743"/>
      <c r="B21" s="686" t="s">
        <v>485</v>
      </c>
      <c r="C21" s="689">
        <v>3.0403099999999998</v>
      </c>
      <c r="D21" s="689">
        <v>3.9946299999999999</v>
      </c>
      <c r="E21" s="689"/>
      <c r="F21" s="744">
        <f t="shared" si="0"/>
        <v>-0.23890072422226838</v>
      </c>
      <c r="J21" s="580"/>
      <c r="K21" s="580"/>
    </row>
    <row r="22" spans="1:11" s="353" customFormat="1" ht="10.5" customHeight="1">
      <c r="A22" s="743"/>
      <c r="B22" s="686" t="s">
        <v>483</v>
      </c>
      <c r="C22" s="689">
        <v>4.2852600000000001</v>
      </c>
      <c r="D22" s="689">
        <v>5.4026499999999995</v>
      </c>
      <c r="E22" s="689"/>
      <c r="F22" s="744">
        <f t="shared" si="0"/>
        <v>-0.20682257780903812</v>
      </c>
      <c r="J22" s="580"/>
      <c r="K22" s="580"/>
    </row>
    <row r="23" spans="1:11" s="353" customFormat="1" ht="10.5" customHeight="1">
      <c r="A23" s="743"/>
      <c r="B23" s="686" t="s">
        <v>484</v>
      </c>
      <c r="C23" s="689">
        <v>4.4851099999999997</v>
      </c>
      <c r="D23" s="689">
        <v>5.1814999999999998</v>
      </c>
      <c r="E23" s="689"/>
      <c r="F23" s="744">
        <f t="shared" si="0"/>
        <v>-0.13439930522049603</v>
      </c>
      <c r="J23" s="580"/>
      <c r="K23" s="580"/>
    </row>
    <row r="24" spans="1:11" s="353" customFormat="1" ht="10.5" customHeight="1">
      <c r="A24" s="745" t="s">
        <v>353</v>
      </c>
      <c r="B24" s="561"/>
      <c r="C24" s="563">
        <v>19.562089999999998</v>
      </c>
      <c r="D24" s="563">
        <v>20.758319999999998</v>
      </c>
      <c r="E24" s="563">
        <v>7.6752200000000004</v>
      </c>
      <c r="F24" s="746">
        <f t="shared" si="0"/>
        <v>-5.7626532397612173E-2</v>
      </c>
      <c r="J24" s="580"/>
      <c r="K24" s="580"/>
    </row>
    <row r="25" spans="1:11" s="353" customFormat="1" ht="10.5" customHeight="1">
      <c r="A25" s="743" t="s">
        <v>112</v>
      </c>
      <c r="B25" s="686" t="s">
        <v>244</v>
      </c>
      <c r="C25" s="689">
        <v>0</v>
      </c>
      <c r="D25" s="689">
        <v>0</v>
      </c>
      <c r="E25" s="689">
        <v>0</v>
      </c>
      <c r="F25" s="744" t="str">
        <f t="shared" si="0"/>
        <v/>
      </c>
      <c r="J25" s="580"/>
      <c r="K25" s="580"/>
    </row>
    <row r="26" spans="1:11" s="353" customFormat="1" ht="10.5" customHeight="1">
      <c r="A26" s="745" t="s">
        <v>354</v>
      </c>
      <c r="B26" s="561"/>
      <c r="C26" s="563">
        <v>0</v>
      </c>
      <c r="D26" s="563">
        <v>0</v>
      </c>
      <c r="E26" s="563">
        <v>0</v>
      </c>
      <c r="F26" s="746" t="str">
        <f t="shared" si="0"/>
        <v/>
      </c>
      <c r="J26" s="580"/>
      <c r="K26" s="580"/>
    </row>
    <row r="27" spans="1:11" s="353" customFormat="1" ht="10.5" customHeight="1">
      <c r="A27" s="743" t="s">
        <v>113</v>
      </c>
      <c r="B27" s="686" t="s">
        <v>83</v>
      </c>
      <c r="C27" s="689">
        <v>0</v>
      </c>
      <c r="D27" s="689">
        <v>0</v>
      </c>
      <c r="E27" s="689">
        <v>0</v>
      </c>
      <c r="F27" s="744" t="str">
        <f t="shared" si="0"/>
        <v/>
      </c>
      <c r="J27" s="580"/>
      <c r="K27" s="580"/>
    </row>
    <row r="28" spans="1:11" s="353" customFormat="1" ht="10.5" customHeight="1">
      <c r="A28" s="745" t="s">
        <v>355</v>
      </c>
      <c r="B28" s="561"/>
      <c r="C28" s="563">
        <v>0</v>
      </c>
      <c r="D28" s="563">
        <v>0</v>
      </c>
      <c r="E28" s="563">
        <v>0</v>
      </c>
      <c r="F28" s="746" t="str">
        <f t="shared" si="0"/>
        <v/>
      </c>
      <c r="J28" s="580"/>
      <c r="K28" s="580"/>
    </row>
    <row r="29" spans="1:11" s="353" customFormat="1" ht="10.5" customHeight="1">
      <c r="A29" s="743" t="s">
        <v>117</v>
      </c>
      <c r="B29" s="686" t="s">
        <v>75</v>
      </c>
      <c r="C29" s="689">
        <v>3.6</v>
      </c>
      <c r="D29" s="689">
        <v>3.2</v>
      </c>
      <c r="E29" s="689">
        <v>3.2</v>
      </c>
      <c r="F29" s="744">
        <f t="shared" si="0"/>
        <v>0.125</v>
      </c>
      <c r="J29" s="580"/>
      <c r="K29" s="580"/>
    </row>
    <row r="30" spans="1:11" s="353" customFormat="1" ht="10.5" customHeight="1">
      <c r="A30" s="745" t="s">
        <v>356</v>
      </c>
      <c r="B30" s="561"/>
      <c r="C30" s="563">
        <v>3.6</v>
      </c>
      <c r="D30" s="563">
        <v>3.2</v>
      </c>
      <c r="E30" s="563">
        <v>3.2</v>
      </c>
      <c r="F30" s="746">
        <f t="shared" si="0"/>
        <v>0.125</v>
      </c>
      <c r="J30" s="580"/>
      <c r="K30" s="580"/>
    </row>
    <row r="31" spans="1:11" s="353" customFormat="1" ht="10.5" customHeight="1">
      <c r="A31" s="743" t="s">
        <v>104</v>
      </c>
      <c r="B31" s="686" t="s">
        <v>357</v>
      </c>
      <c r="C31" s="689">
        <v>16.727219999999999</v>
      </c>
      <c r="D31" s="689">
        <v>17.507999999999999</v>
      </c>
      <c r="E31" s="689">
        <v>17.475999999999999</v>
      </c>
      <c r="F31" s="744">
        <f t="shared" si="0"/>
        <v>-4.4595613433858761E-2</v>
      </c>
      <c r="J31" s="580"/>
      <c r="K31" s="580"/>
    </row>
    <row r="32" spans="1:11" s="353" customFormat="1" ht="10.5" customHeight="1">
      <c r="A32" s="745" t="s">
        <v>358</v>
      </c>
      <c r="B32" s="561"/>
      <c r="C32" s="563">
        <v>16.727219999999999</v>
      </c>
      <c r="D32" s="563">
        <v>17.507999999999999</v>
      </c>
      <c r="E32" s="563">
        <v>17.475999999999999</v>
      </c>
      <c r="F32" s="746">
        <f t="shared" si="0"/>
        <v>-4.4595613433858761E-2</v>
      </c>
      <c r="J32" s="580"/>
      <c r="K32" s="580"/>
    </row>
    <row r="33" spans="1:11" s="353" customFormat="1" ht="21" customHeight="1">
      <c r="A33" s="747" t="s">
        <v>502</v>
      </c>
      <c r="B33" s="712" t="s">
        <v>359</v>
      </c>
      <c r="C33" s="713">
        <v>9.7369200000000014</v>
      </c>
      <c r="D33" s="713">
        <v>18.52233</v>
      </c>
      <c r="E33" s="713">
        <v>14.92867</v>
      </c>
      <c r="F33" s="748">
        <f t="shared" si="0"/>
        <v>-0.47431451658619617</v>
      </c>
      <c r="J33" s="580"/>
      <c r="K33" s="580"/>
    </row>
    <row r="34" spans="1:11" s="353" customFormat="1" ht="10.5" customHeight="1">
      <c r="A34" s="745" t="s">
        <v>497</v>
      </c>
      <c r="B34" s="561"/>
      <c r="C34" s="563">
        <v>9.7369200000000014</v>
      </c>
      <c r="D34" s="563">
        <v>18.52233</v>
      </c>
      <c r="E34" s="563">
        <v>14.92867</v>
      </c>
      <c r="F34" s="746">
        <f t="shared" si="0"/>
        <v>-0.47431451658619617</v>
      </c>
      <c r="J34" s="580"/>
      <c r="K34" s="580"/>
    </row>
    <row r="35" spans="1:11" s="353" customFormat="1" ht="10.5" customHeight="1">
      <c r="A35" s="743" t="s">
        <v>251</v>
      </c>
      <c r="B35" s="686" t="s">
        <v>60</v>
      </c>
      <c r="C35" s="689">
        <v>14.03251</v>
      </c>
      <c r="D35" s="689">
        <v>16.865650000000002</v>
      </c>
      <c r="E35" s="689">
        <v>9.1316000000000006</v>
      </c>
      <c r="F35" s="744">
        <f t="shared" si="0"/>
        <v>-0.16798285272135982</v>
      </c>
      <c r="J35" s="580"/>
      <c r="K35" s="580"/>
    </row>
    <row r="36" spans="1:11" s="353" customFormat="1" ht="10.5" customHeight="1">
      <c r="A36" s="745" t="s">
        <v>360</v>
      </c>
      <c r="B36" s="561"/>
      <c r="C36" s="563">
        <v>14.03251</v>
      </c>
      <c r="D36" s="563">
        <v>16.865650000000002</v>
      </c>
      <c r="E36" s="563">
        <v>9.1316000000000006</v>
      </c>
      <c r="F36" s="746">
        <f t="shared" si="0"/>
        <v>-0.16798285272135982</v>
      </c>
      <c r="J36" s="580"/>
      <c r="K36" s="580"/>
    </row>
    <row r="37" spans="1:11" s="353" customFormat="1" ht="12.75" customHeight="1">
      <c r="A37" s="743" t="s">
        <v>482</v>
      </c>
      <c r="B37" s="686" t="s">
        <v>731</v>
      </c>
      <c r="C37" s="689">
        <v>0</v>
      </c>
      <c r="D37" s="689">
        <v>0</v>
      </c>
      <c r="E37" s="689"/>
      <c r="F37" s="744" t="str">
        <f t="shared" si="0"/>
        <v/>
      </c>
      <c r="J37" s="580"/>
      <c r="K37" s="580"/>
    </row>
    <row r="38" spans="1:11" s="353" customFormat="1" ht="10.5" customHeight="1">
      <c r="A38" s="745" t="s">
        <v>487</v>
      </c>
      <c r="B38" s="561"/>
      <c r="C38" s="563">
        <v>0</v>
      </c>
      <c r="D38" s="563">
        <v>0</v>
      </c>
      <c r="E38" s="563"/>
      <c r="F38" s="746" t="str">
        <f t="shared" ref="F38:F71" si="1">+IF(D38=0,"",C38/D38-1)</f>
        <v/>
      </c>
      <c r="J38" s="580"/>
      <c r="K38" s="580"/>
    </row>
    <row r="39" spans="1:11" s="353" customFormat="1" ht="10.5" customHeight="1">
      <c r="A39" s="743" t="s">
        <v>520</v>
      </c>
      <c r="B39" s="686" t="s">
        <v>527</v>
      </c>
      <c r="C39" s="689">
        <v>52.570030000000003</v>
      </c>
      <c r="D39" s="689">
        <v>56.733849999999997</v>
      </c>
      <c r="E39" s="689">
        <v>56.884999999999998</v>
      </c>
      <c r="F39" s="744">
        <f t="shared" si="1"/>
        <v>-7.33921635848791E-2</v>
      </c>
      <c r="J39" s="580"/>
      <c r="K39" s="580"/>
    </row>
    <row r="40" spans="1:11" s="353" customFormat="1" ht="10.5" customHeight="1">
      <c r="A40" s="745" t="s">
        <v>528</v>
      </c>
      <c r="B40" s="561"/>
      <c r="C40" s="563">
        <v>52.570030000000003</v>
      </c>
      <c r="D40" s="563">
        <v>56.733849999999997</v>
      </c>
      <c r="E40" s="563">
        <v>56.884999999999998</v>
      </c>
      <c r="F40" s="746">
        <f t="shared" si="1"/>
        <v>-7.33921635848791E-2</v>
      </c>
      <c r="J40" s="580"/>
      <c r="K40" s="580"/>
    </row>
    <row r="41" spans="1:11" s="353" customFormat="1" ht="10.5" customHeight="1">
      <c r="A41" s="743" t="s">
        <v>119</v>
      </c>
      <c r="B41" s="686" t="s">
        <v>361</v>
      </c>
      <c r="C41" s="689">
        <v>0</v>
      </c>
      <c r="D41" s="689">
        <v>0</v>
      </c>
      <c r="E41" s="689">
        <v>0</v>
      </c>
      <c r="F41" s="744" t="str">
        <f t="shared" si="1"/>
        <v/>
      </c>
      <c r="J41" s="580"/>
      <c r="K41" s="580"/>
    </row>
    <row r="42" spans="1:11" s="353" customFormat="1" ht="10.5" customHeight="1">
      <c r="A42" s="743"/>
      <c r="B42" s="686" t="s">
        <v>362</v>
      </c>
      <c r="C42" s="689">
        <v>0</v>
      </c>
      <c r="D42" s="689">
        <v>0</v>
      </c>
      <c r="E42" s="689">
        <v>0</v>
      </c>
      <c r="F42" s="744" t="str">
        <f t="shared" si="1"/>
        <v/>
      </c>
      <c r="J42" s="580"/>
      <c r="K42" s="580"/>
    </row>
    <row r="43" spans="1:11" s="353" customFormat="1" ht="10.5" customHeight="1">
      <c r="A43" s="745" t="s">
        <v>363</v>
      </c>
      <c r="B43" s="561"/>
      <c r="C43" s="563">
        <v>0</v>
      </c>
      <c r="D43" s="563">
        <v>0</v>
      </c>
      <c r="E43" s="563">
        <v>0</v>
      </c>
      <c r="F43" s="746" t="str">
        <f t="shared" si="1"/>
        <v/>
      </c>
      <c r="J43" s="580"/>
      <c r="K43" s="580"/>
    </row>
    <row r="44" spans="1:11" s="353" customFormat="1" ht="10.5" customHeight="1">
      <c r="A44" s="743" t="s">
        <v>479</v>
      </c>
      <c r="B44" s="686" t="s">
        <v>364</v>
      </c>
      <c r="C44" s="689">
        <v>807.22635000000002</v>
      </c>
      <c r="D44" s="689">
        <v>798.76666</v>
      </c>
      <c r="E44" s="689">
        <v>564.47771</v>
      </c>
      <c r="F44" s="744">
        <f t="shared" si="1"/>
        <v>1.0590940287868333E-2</v>
      </c>
      <c r="J44" s="580"/>
      <c r="K44" s="580"/>
    </row>
    <row r="45" spans="1:11" s="353" customFormat="1" ht="10.5" customHeight="1">
      <c r="A45" s="743"/>
      <c r="B45" s="686" t="s">
        <v>365</v>
      </c>
      <c r="C45" s="689">
        <v>184.26016000000001</v>
      </c>
      <c r="D45" s="689">
        <v>0</v>
      </c>
      <c r="E45" s="689">
        <v>0</v>
      </c>
      <c r="F45" s="744" t="str">
        <f t="shared" si="1"/>
        <v/>
      </c>
      <c r="J45" s="580"/>
      <c r="K45" s="580"/>
    </row>
    <row r="46" spans="1:11" s="353" customFormat="1" ht="10.5" customHeight="1">
      <c r="A46" s="743"/>
      <c r="B46" s="686" t="s">
        <v>525</v>
      </c>
      <c r="C46" s="689">
        <v>368.20328000000001</v>
      </c>
      <c r="D46" s="689">
        <v>345.38722999999999</v>
      </c>
      <c r="E46" s="689">
        <v>0</v>
      </c>
      <c r="F46" s="744">
        <f t="shared" si="1"/>
        <v>6.6059332882689503E-2</v>
      </c>
      <c r="J46" s="580"/>
      <c r="K46" s="580"/>
    </row>
    <row r="47" spans="1:11" s="353" customFormat="1" ht="10.5" customHeight="1">
      <c r="A47" s="743"/>
      <c r="B47" s="686" t="s">
        <v>366</v>
      </c>
      <c r="C47" s="689">
        <v>2.8726099999999999</v>
      </c>
      <c r="D47" s="689">
        <v>2.77677</v>
      </c>
      <c r="E47" s="689"/>
      <c r="F47" s="744">
        <f t="shared" si="1"/>
        <v>3.451492201370665E-2</v>
      </c>
      <c r="J47" s="580"/>
      <c r="K47" s="580"/>
    </row>
    <row r="48" spans="1:11" s="353" customFormat="1" ht="10.5" customHeight="1">
      <c r="A48" s="745" t="s">
        <v>367</v>
      </c>
      <c r="B48" s="561"/>
      <c r="C48" s="563">
        <v>1362.5624</v>
      </c>
      <c r="D48" s="563">
        <v>1146.93066</v>
      </c>
      <c r="E48" s="563">
        <v>564.47771</v>
      </c>
      <c r="F48" s="746">
        <f t="shared" si="1"/>
        <v>0.18800765165698863</v>
      </c>
      <c r="J48" s="580"/>
      <c r="K48" s="580"/>
    </row>
    <row r="49" spans="1:11" s="353" customFormat="1" ht="10.5" customHeight="1">
      <c r="A49" s="743" t="s">
        <v>118</v>
      </c>
      <c r="B49" s="686" t="s">
        <v>73</v>
      </c>
      <c r="C49" s="689">
        <v>0.57440000000000002</v>
      </c>
      <c r="D49" s="689">
        <v>1.3140000000000001</v>
      </c>
      <c r="E49" s="689">
        <v>1.9830000000000001</v>
      </c>
      <c r="F49" s="744">
        <f t="shared" si="1"/>
        <v>-0.56286149162861498</v>
      </c>
      <c r="J49" s="580"/>
      <c r="K49" s="580"/>
    </row>
    <row r="50" spans="1:11" s="353" customFormat="1" ht="10.5" customHeight="1">
      <c r="A50" s="745" t="s">
        <v>368</v>
      </c>
      <c r="B50" s="561"/>
      <c r="C50" s="563">
        <v>0.57440000000000002</v>
      </c>
      <c r="D50" s="563">
        <v>1.3140000000000001</v>
      </c>
      <c r="E50" s="563">
        <v>1.9830000000000001</v>
      </c>
      <c r="F50" s="746">
        <f t="shared" si="1"/>
        <v>-0.56286149162861498</v>
      </c>
      <c r="J50" s="580"/>
      <c r="K50" s="580"/>
    </row>
    <row r="51" spans="1:11" s="353" customFormat="1" ht="10.5" customHeight="1">
      <c r="A51" s="743" t="s">
        <v>111</v>
      </c>
      <c r="B51" s="686" t="s">
        <v>82</v>
      </c>
      <c r="C51" s="689">
        <v>0</v>
      </c>
      <c r="D51" s="689">
        <v>0</v>
      </c>
      <c r="E51" s="689">
        <v>0</v>
      </c>
      <c r="F51" s="744" t="str">
        <f t="shared" si="1"/>
        <v/>
      </c>
      <c r="J51" s="580"/>
      <c r="K51" s="580"/>
    </row>
    <row r="52" spans="1:11" s="353" customFormat="1" ht="10.5" customHeight="1">
      <c r="A52" s="745" t="s">
        <v>369</v>
      </c>
      <c r="B52" s="561"/>
      <c r="C52" s="563">
        <v>0</v>
      </c>
      <c r="D52" s="563">
        <v>0</v>
      </c>
      <c r="E52" s="563">
        <v>0</v>
      </c>
      <c r="F52" s="746" t="str">
        <f t="shared" si="1"/>
        <v/>
      </c>
      <c r="J52" s="580"/>
      <c r="K52" s="580"/>
    </row>
    <row r="53" spans="1:11" s="353" customFormat="1" ht="10.5" customHeight="1">
      <c r="A53" s="743" t="s">
        <v>252</v>
      </c>
      <c r="B53" s="686" t="s">
        <v>72</v>
      </c>
      <c r="C53" s="689">
        <v>0.8518</v>
      </c>
      <c r="D53" s="689">
        <v>2.0061599999999999</v>
      </c>
      <c r="E53" s="689">
        <v>3.0554800000000002</v>
      </c>
      <c r="F53" s="744">
        <f t="shared" si="1"/>
        <v>-0.57540774414802409</v>
      </c>
      <c r="J53" s="580"/>
      <c r="K53" s="580"/>
    </row>
    <row r="54" spans="1:11" s="353" customFormat="1" ht="10.5" customHeight="1">
      <c r="A54" s="743"/>
      <c r="B54" s="686" t="s">
        <v>370</v>
      </c>
      <c r="C54" s="689">
        <v>88.781059999999997</v>
      </c>
      <c r="D54" s="689">
        <v>70.978229999999996</v>
      </c>
      <c r="E54" s="689">
        <v>121.35708</v>
      </c>
      <c r="F54" s="744">
        <f t="shared" si="1"/>
        <v>0.25082099116870071</v>
      </c>
      <c r="J54" s="580"/>
      <c r="K54" s="580"/>
    </row>
    <row r="55" spans="1:11" s="353" customFormat="1" ht="10.5" customHeight="1">
      <c r="A55" s="743"/>
      <c r="B55" s="686" t="s">
        <v>371</v>
      </c>
      <c r="C55" s="689">
        <v>10.02426</v>
      </c>
      <c r="D55" s="689">
        <v>25.023499999999999</v>
      </c>
      <c r="E55" s="689">
        <v>40.114840000000001</v>
      </c>
      <c r="F55" s="744">
        <f t="shared" si="1"/>
        <v>-0.59940615821128129</v>
      </c>
      <c r="J55" s="580"/>
      <c r="K55" s="580"/>
    </row>
    <row r="56" spans="1:11" s="353" customFormat="1" ht="10.5" customHeight="1">
      <c r="A56" s="743"/>
      <c r="B56" s="686" t="s">
        <v>63</v>
      </c>
      <c r="C56" s="689">
        <v>8.4501100000000005</v>
      </c>
      <c r="D56" s="689">
        <v>8.4496599999999997</v>
      </c>
      <c r="E56" s="689">
        <v>9.8493399999999998</v>
      </c>
      <c r="F56" s="744">
        <f t="shared" si="1"/>
        <v>5.3256580738292314E-5</v>
      </c>
      <c r="J56" s="580"/>
      <c r="K56" s="580"/>
    </row>
    <row r="57" spans="1:11" s="353" customFormat="1" ht="10.5" customHeight="1">
      <c r="A57" s="745" t="s">
        <v>372</v>
      </c>
      <c r="B57" s="561"/>
      <c r="C57" s="563">
        <v>108.10722999999999</v>
      </c>
      <c r="D57" s="563">
        <v>106.45754999999998</v>
      </c>
      <c r="E57" s="563">
        <v>174.37674000000001</v>
      </c>
      <c r="F57" s="746">
        <f t="shared" si="1"/>
        <v>1.5496129677979642E-2</v>
      </c>
      <c r="J57" s="580"/>
      <c r="K57" s="580"/>
    </row>
    <row r="58" spans="1:11" s="353" customFormat="1" ht="10.5" customHeight="1">
      <c r="A58" s="743" t="s">
        <v>253</v>
      </c>
      <c r="B58" s="686" t="s">
        <v>79</v>
      </c>
      <c r="C58" s="689">
        <v>30.129280000000001</v>
      </c>
      <c r="D58" s="689">
        <v>7.48719</v>
      </c>
      <c r="E58" s="689">
        <v>32.054560000000002</v>
      </c>
      <c r="F58" s="744">
        <f t="shared" si="1"/>
        <v>3.0241105140914017</v>
      </c>
      <c r="J58" s="580"/>
      <c r="K58" s="580"/>
    </row>
    <row r="59" spans="1:11" s="353" customFormat="1" ht="10.5" customHeight="1">
      <c r="A59" s="745" t="s">
        <v>373</v>
      </c>
      <c r="B59" s="561"/>
      <c r="C59" s="563">
        <v>30.129280000000001</v>
      </c>
      <c r="D59" s="563">
        <v>7.48719</v>
      </c>
      <c r="E59" s="563">
        <v>32.054560000000002</v>
      </c>
      <c r="F59" s="746">
        <f t="shared" si="1"/>
        <v>3.0241105140914017</v>
      </c>
      <c r="J59" s="580"/>
      <c r="K59" s="580"/>
    </row>
    <row r="60" spans="1:11" s="353" customFormat="1" ht="10.5" customHeight="1">
      <c r="A60" s="743" t="s">
        <v>100</v>
      </c>
      <c r="B60" s="686" t="s">
        <v>77</v>
      </c>
      <c r="C60" s="689">
        <v>89.100359999999995</v>
      </c>
      <c r="D60" s="689">
        <v>27.201519999999999</v>
      </c>
      <c r="E60" s="689">
        <v>95.217250000000007</v>
      </c>
      <c r="F60" s="744">
        <f t="shared" si="1"/>
        <v>2.275565483105356</v>
      </c>
      <c r="J60" s="580"/>
      <c r="K60" s="580"/>
    </row>
    <row r="61" spans="1:11" s="353" customFormat="1" ht="10.5" customHeight="1">
      <c r="A61" s="745" t="s">
        <v>374</v>
      </c>
      <c r="B61" s="561"/>
      <c r="C61" s="563">
        <v>89.100359999999995</v>
      </c>
      <c r="D61" s="563">
        <v>27.201519999999999</v>
      </c>
      <c r="E61" s="563">
        <v>95.217250000000007</v>
      </c>
      <c r="F61" s="746">
        <f t="shared" si="1"/>
        <v>2.275565483105356</v>
      </c>
      <c r="J61" s="580"/>
      <c r="K61" s="580"/>
    </row>
    <row r="62" spans="1:11" s="353" customFormat="1" ht="10.5" customHeight="1">
      <c r="A62" s="743" t="s">
        <v>108</v>
      </c>
      <c r="B62" s="686" t="s">
        <v>243</v>
      </c>
      <c r="C62" s="689">
        <v>0</v>
      </c>
      <c r="D62" s="689">
        <v>0</v>
      </c>
      <c r="E62" s="689">
        <v>0</v>
      </c>
      <c r="F62" s="744" t="str">
        <f t="shared" si="1"/>
        <v/>
      </c>
      <c r="J62" s="580"/>
      <c r="K62" s="580"/>
    </row>
    <row r="63" spans="1:11" s="353" customFormat="1" ht="10.5" customHeight="1">
      <c r="A63" s="745" t="s">
        <v>375</v>
      </c>
      <c r="B63" s="561"/>
      <c r="C63" s="563">
        <v>0</v>
      </c>
      <c r="D63" s="563">
        <v>0</v>
      </c>
      <c r="E63" s="563">
        <v>0</v>
      </c>
      <c r="F63" s="746" t="str">
        <f t="shared" si="1"/>
        <v/>
      </c>
      <c r="J63" s="580"/>
      <c r="K63" s="580"/>
    </row>
    <row r="64" spans="1:11" s="353" customFormat="1" ht="10.5" customHeight="1">
      <c r="A64" s="743" t="s">
        <v>480</v>
      </c>
      <c r="B64" s="686" t="s">
        <v>86</v>
      </c>
      <c r="C64" s="689">
        <v>2.9015900000000001</v>
      </c>
      <c r="D64" s="689">
        <v>2.8531000000000004</v>
      </c>
      <c r="E64" s="689"/>
      <c r="F64" s="744">
        <f t="shared" si="1"/>
        <v>1.69955487014124E-2</v>
      </c>
      <c r="J64" s="580"/>
      <c r="K64" s="580"/>
    </row>
    <row r="65" spans="1:11" s="353" customFormat="1" ht="10.5" customHeight="1">
      <c r="A65" s="743"/>
      <c r="B65" s="686" t="s">
        <v>85</v>
      </c>
      <c r="C65" s="689">
        <v>2.6565799999999999</v>
      </c>
      <c r="D65" s="689">
        <v>2.7633000000000001</v>
      </c>
      <c r="E65" s="689">
        <v>3.0094000000000003</v>
      </c>
      <c r="F65" s="744">
        <f t="shared" si="1"/>
        <v>-3.8620489993848039E-2</v>
      </c>
      <c r="J65" s="580"/>
      <c r="K65" s="580"/>
    </row>
    <row r="66" spans="1:11" s="353" customFormat="1" ht="10.5" customHeight="1">
      <c r="A66" s="743"/>
      <c r="B66" s="686" t="s">
        <v>519</v>
      </c>
      <c r="C66" s="689">
        <v>0</v>
      </c>
      <c r="D66" s="689">
        <v>2.4005999999999998</v>
      </c>
      <c r="E66" s="689"/>
      <c r="F66" s="744">
        <f t="shared" si="1"/>
        <v>-1</v>
      </c>
      <c r="J66" s="580"/>
      <c r="K66" s="580"/>
    </row>
    <row r="67" spans="1:11" s="353" customFormat="1" ht="10.5" customHeight="1">
      <c r="A67" s="745" t="s">
        <v>376</v>
      </c>
      <c r="B67" s="561"/>
      <c r="C67" s="563">
        <v>5.5581700000000005</v>
      </c>
      <c r="D67" s="563">
        <v>8.0169999999999995</v>
      </c>
      <c r="E67" s="563">
        <v>3.0094000000000003</v>
      </c>
      <c r="F67" s="746">
        <f t="shared" si="1"/>
        <v>-0.30670200823250582</v>
      </c>
      <c r="J67" s="580"/>
      <c r="K67" s="580"/>
    </row>
    <row r="68" spans="1:11" s="353" customFormat="1" ht="10.5" customHeight="1">
      <c r="A68" s="743" t="s">
        <v>254</v>
      </c>
      <c r="B68" s="686" t="s">
        <v>377</v>
      </c>
      <c r="C68" s="689">
        <v>0</v>
      </c>
      <c r="D68" s="689">
        <v>0</v>
      </c>
      <c r="E68" s="689">
        <v>0</v>
      </c>
      <c r="F68" s="744" t="str">
        <f t="shared" si="1"/>
        <v/>
      </c>
      <c r="J68" s="580"/>
      <c r="K68" s="580"/>
    </row>
    <row r="69" spans="1:11" s="353" customFormat="1" ht="9" customHeight="1">
      <c r="A69" s="745" t="s">
        <v>378</v>
      </c>
      <c r="B69" s="561"/>
      <c r="C69" s="563">
        <v>0</v>
      </c>
      <c r="D69" s="563">
        <v>0</v>
      </c>
      <c r="E69" s="563">
        <v>0</v>
      </c>
      <c r="F69" s="746" t="str">
        <f t="shared" si="1"/>
        <v/>
      </c>
      <c r="J69" s="580"/>
      <c r="K69" s="580"/>
    </row>
    <row r="70" spans="1:11" s="353" customFormat="1" ht="10.5" customHeight="1">
      <c r="A70" s="743" t="s">
        <v>562</v>
      </c>
      <c r="B70" s="686" t="s">
        <v>734</v>
      </c>
      <c r="C70" s="689">
        <v>12.04551</v>
      </c>
      <c r="D70" s="689"/>
      <c r="E70" s="689">
        <v>0</v>
      </c>
      <c r="F70" s="744" t="str">
        <f t="shared" si="1"/>
        <v/>
      </c>
      <c r="J70" s="580"/>
      <c r="K70" s="580"/>
    </row>
    <row r="71" spans="1:11" s="353" customFormat="1" ht="10.5" customHeight="1">
      <c r="A71" s="745" t="s">
        <v>563</v>
      </c>
      <c r="B71" s="561"/>
      <c r="C71" s="563">
        <v>12.04551</v>
      </c>
      <c r="D71" s="563"/>
      <c r="E71" s="563">
        <v>0</v>
      </c>
      <c r="F71" s="746" t="str">
        <f t="shared" si="1"/>
        <v/>
      </c>
      <c r="J71" s="580"/>
      <c r="K71" s="580"/>
    </row>
    <row r="72" spans="1:11" s="353" customFormat="1" ht="10.5" customHeight="1">
      <c r="A72" s="688" t="s">
        <v>105</v>
      </c>
      <c r="B72" s="686" t="s">
        <v>62</v>
      </c>
      <c r="C72" s="689">
        <v>0</v>
      </c>
      <c r="D72" s="689">
        <v>0</v>
      </c>
      <c r="E72" s="689">
        <v>3.32057</v>
      </c>
      <c r="F72" s="709"/>
    </row>
    <row r="73" spans="1:11" s="353" customFormat="1" ht="10.5" customHeight="1">
      <c r="A73" s="745" t="s">
        <v>379</v>
      </c>
      <c r="B73" s="561"/>
      <c r="C73" s="563">
        <v>0</v>
      </c>
      <c r="D73" s="563">
        <v>0</v>
      </c>
      <c r="E73" s="563">
        <v>3.32057</v>
      </c>
      <c r="F73" s="746"/>
    </row>
    <row r="74" spans="1:11" s="353" customFormat="1" ht="10.5" customHeight="1"/>
    <row r="75" spans="1:11" s="353" customFormat="1" ht="10.5" customHeight="1"/>
    <row r="76" spans="1:11" s="353" customFormat="1" ht="10.5" customHeight="1"/>
    <row r="77" spans="1:11" s="353" customFormat="1" ht="10.5" customHeight="1"/>
    <row r="78" spans="1:11" s="353" customFormat="1" ht="10.5" customHeight="1"/>
    <row r="79" spans="1:11" s="353" customFormat="1" ht="10.5" customHeight="1"/>
    <row r="80" spans="1:11" s="353" customFormat="1" ht="10.5" customHeight="1"/>
    <row r="81" s="353" customFormat="1" ht="10.5" customHeight="1"/>
    <row r="82" s="353" customFormat="1" ht="10.5" customHeight="1"/>
    <row r="83" s="353" customFormat="1" ht="8.25"/>
    <row r="84" s="353" customFormat="1" ht="8.25"/>
    <row r="85" s="353" customFormat="1" ht="8.25"/>
    <row r="86" s="353" customFormat="1" ht="8.25"/>
    <row r="87" s="353" customFormat="1" ht="8.25"/>
    <row r="88" s="353" customFormat="1" ht="8.25"/>
    <row r="89" s="353" customFormat="1" ht="8.25"/>
    <row r="90" s="353" customFormat="1" ht="8.25"/>
    <row r="91" s="353" customFormat="1" ht="8.25"/>
    <row r="92" s="353" customFormat="1" ht="8.25"/>
    <row r="93" s="353" customFormat="1" ht="8.25"/>
    <row r="94" s="353" customFormat="1" ht="8.25"/>
    <row r="95" s="353" customFormat="1" ht="8.25"/>
    <row r="96" s="353" customFormat="1" ht="8.25"/>
    <row r="97" s="353" customFormat="1" ht="8.25"/>
    <row r="98" s="353" customFormat="1" ht="8.25"/>
    <row r="99" s="353" customFormat="1" ht="8.25"/>
    <row r="100" s="353" customFormat="1" ht="8.25"/>
    <row r="101" s="353" customFormat="1" ht="8.25"/>
    <row r="102" s="353" customFormat="1" ht="8.25"/>
    <row r="103" s="353" customFormat="1" ht="8.25"/>
    <row r="104" s="353" customFormat="1" ht="8.25"/>
    <row r="105" s="353" customFormat="1" ht="8.25"/>
    <row r="106" s="353" customFormat="1" ht="8.25"/>
    <row r="107" s="353" customFormat="1" ht="8.25"/>
    <row r="108" s="353" customFormat="1" ht="8.25"/>
    <row r="109" s="353" customFormat="1" ht="8.25"/>
    <row r="110" s="353" customFormat="1" ht="8.25"/>
    <row r="111" s="353" customFormat="1" ht="8.25"/>
    <row r="112" s="353" customFormat="1" ht="8.25"/>
    <row r="113" s="353" customFormat="1" ht="8.25"/>
    <row r="114" s="353" customFormat="1" ht="8.25"/>
    <row r="115" s="353"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Mensual-Setiembre 2019
INFSGI-MES-09-2019
11/10/2019
Versión: 01</oddHeader>
    <oddFooter>&amp;L&amp;7COES, 2019&amp;C22&amp;R&amp;7Dirección Ejecutiva
Sub Dirección de Gestión de Información</oddFooter>
  </headerFooter>
  <rowBreaks count="1" manualBreakCount="1">
    <brk id="73"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F60"/>
  <sheetViews>
    <sheetView showGridLines="0" view="pageBreakPreview" zoomScale="130" zoomScaleNormal="100" zoomScaleSheetLayoutView="130" zoomScalePageLayoutView="130" workbookViewId="0">
      <selection activeCell="E44" sqref="E44"/>
    </sheetView>
  </sheetViews>
  <sheetFormatPr defaultColWidth="9.33203125" defaultRowHeight="9"/>
  <cols>
    <col min="1" max="1" width="27" style="280" customWidth="1"/>
    <col min="2" max="2" width="19.5" style="280" customWidth="1"/>
    <col min="3" max="3" width="16.5" style="280" customWidth="1"/>
    <col min="4" max="4" width="17.6640625" style="280" customWidth="1"/>
    <col min="5" max="5" width="15.1640625" style="280" customWidth="1"/>
    <col min="6" max="6" width="12.83203125" style="280" customWidth="1"/>
    <col min="7" max="16384" width="9.33203125" style="280"/>
  </cols>
  <sheetData>
    <row r="1" spans="1:6" s="353" customFormat="1" ht="11.25" customHeight="1">
      <c r="A1" s="989" t="s">
        <v>261</v>
      </c>
      <c r="B1" s="991" t="s">
        <v>55</v>
      </c>
      <c r="C1" s="991" t="s">
        <v>411</v>
      </c>
      <c r="D1" s="991"/>
      <c r="E1" s="991"/>
      <c r="F1" s="993"/>
    </row>
    <row r="2" spans="1:6" s="353" customFormat="1" ht="11.25" customHeight="1">
      <c r="A2" s="983"/>
      <c r="B2" s="986"/>
      <c r="C2" s="544" t="str">
        <f>+'22. ANEXOII-2'!C2</f>
        <v>SETIEMBRE 2019</v>
      </c>
      <c r="D2" s="545" t="str">
        <f>+'22. ANEXOII-2'!D2</f>
        <v>SETIEMBRE 2018</v>
      </c>
      <c r="E2" s="546" t="s">
        <v>575</v>
      </c>
      <c r="F2" s="706" t="s">
        <v>531</v>
      </c>
    </row>
    <row r="3" spans="1:6" s="353" customFormat="1" ht="11.25" customHeight="1">
      <c r="A3" s="983"/>
      <c r="B3" s="986"/>
      <c r="C3" s="547">
        <f>+'8. Max Potencia'!D8</f>
        <v>43718.78125</v>
      </c>
      <c r="D3" s="547">
        <f>+'8. Max Potencia'!E8</f>
        <v>43369.875</v>
      </c>
      <c r="E3" s="547">
        <f>+'22. ANEXOII-2'!E3</f>
        <v>42954.8125</v>
      </c>
      <c r="F3" s="707" t="s">
        <v>408</v>
      </c>
    </row>
    <row r="4" spans="1:6" s="353" customFormat="1" ht="11.25" customHeight="1">
      <c r="A4" s="990"/>
      <c r="B4" s="992"/>
      <c r="C4" s="548">
        <f>+'8. Max Potencia'!D9</f>
        <v>43718.78125</v>
      </c>
      <c r="D4" s="548">
        <f>+'8. Max Potencia'!E9</f>
        <v>43369.875</v>
      </c>
      <c r="E4" s="548">
        <f>+'22. ANEXOII-2'!E4</f>
        <v>42954.8125</v>
      </c>
      <c r="F4" s="708" t="s">
        <v>409</v>
      </c>
    </row>
    <row r="5" spans="1:6" s="353" customFormat="1" ht="10.5" customHeight="1">
      <c r="A5" s="743" t="s">
        <v>255</v>
      </c>
      <c r="B5" s="686" t="s">
        <v>380</v>
      </c>
      <c r="C5" s="689">
        <v>0</v>
      </c>
      <c r="D5" s="689">
        <v>0</v>
      </c>
      <c r="E5" s="689">
        <v>304.78504000000004</v>
      </c>
      <c r="F5" s="744"/>
    </row>
    <row r="6" spans="1:6" s="353" customFormat="1" ht="10.5" customHeight="1">
      <c r="A6" s="745" t="s">
        <v>381</v>
      </c>
      <c r="B6" s="561"/>
      <c r="C6" s="563">
        <v>0</v>
      </c>
      <c r="D6" s="563">
        <v>0</v>
      </c>
      <c r="E6" s="563">
        <v>304.78504000000004</v>
      </c>
      <c r="F6" s="746"/>
    </row>
    <row r="7" spans="1:6" s="353" customFormat="1" ht="10.5" customHeight="1">
      <c r="A7" s="743" t="s">
        <v>96</v>
      </c>
      <c r="B7" s="686" t="s">
        <v>382</v>
      </c>
      <c r="C7" s="689">
        <v>78.869540000000001</v>
      </c>
      <c r="D7" s="689">
        <v>90.594169999999991</v>
      </c>
      <c r="E7" s="689">
        <v>98.905059999999992</v>
      </c>
      <c r="F7" s="744"/>
    </row>
    <row r="8" spans="1:6" s="353" customFormat="1" ht="10.5" customHeight="1">
      <c r="A8" s="743"/>
      <c r="B8" s="686" t="s">
        <v>724</v>
      </c>
      <c r="C8" s="689"/>
      <c r="D8" s="689"/>
      <c r="E8" s="689">
        <v>0</v>
      </c>
      <c r="F8" s="744"/>
    </row>
    <row r="9" spans="1:6" s="353" customFormat="1" ht="10.5" customHeight="1">
      <c r="A9" s="745" t="s">
        <v>383</v>
      </c>
      <c r="B9" s="561"/>
      <c r="C9" s="563">
        <v>78.869540000000001</v>
      </c>
      <c r="D9" s="563">
        <v>90.594169999999991</v>
      </c>
      <c r="E9" s="563">
        <v>98.905059999999992</v>
      </c>
      <c r="F9" s="746"/>
    </row>
    <row r="10" spans="1:6" s="353" customFormat="1" ht="10.5" customHeight="1">
      <c r="A10" s="743" t="s">
        <v>521</v>
      </c>
      <c r="B10" s="686" t="s">
        <v>732</v>
      </c>
      <c r="C10" s="689">
        <v>7.8780000000000001</v>
      </c>
      <c r="D10" s="689"/>
      <c r="E10" s="689"/>
      <c r="F10" s="744"/>
    </row>
    <row r="11" spans="1:6" s="353" customFormat="1" ht="10.5" customHeight="1">
      <c r="A11" s="745" t="s">
        <v>529</v>
      </c>
      <c r="B11" s="561"/>
      <c r="C11" s="563">
        <v>7.8780000000000001</v>
      </c>
      <c r="D11" s="563"/>
      <c r="E11" s="563"/>
      <c r="F11" s="746"/>
    </row>
    <row r="12" spans="1:6" s="353" customFormat="1" ht="10.5" customHeight="1">
      <c r="A12" s="743" t="s">
        <v>463</v>
      </c>
      <c r="B12" s="686" t="s">
        <v>470</v>
      </c>
      <c r="C12" s="689">
        <v>15.5678</v>
      </c>
      <c r="D12" s="689">
        <v>19.992550000000001</v>
      </c>
      <c r="E12" s="689"/>
      <c r="F12" s="744"/>
    </row>
    <row r="13" spans="1:6" s="353" customFormat="1" ht="10.5" customHeight="1">
      <c r="A13" s="745" t="s">
        <v>465</v>
      </c>
      <c r="B13" s="561"/>
      <c r="C13" s="563">
        <v>15.5678</v>
      </c>
      <c r="D13" s="563">
        <v>19.992550000000001</v>
      </c>
      <c r="E13" s="563"/>
      <c r="F13" s="746"/>
    </row>
    <row r="14" spans="1:6" s="353" customFormat="1" ht="10.5" customHeight="1">
      <c r="A14" s="743" t="s">
        <v>103</v>
      </c>
      <c r="B14" s="686" t="s">
        <v>384</v>
      </c>
      <c r="C14" s="689">
        <v>28.671240000000001</v>
      </c>
      <c r="D14" s="689">
        <v>28.01699</v>
      </c>
      <c r="E14" s="689">
        <v>28.146830000000001</v>
      </c>
      <c r="F14" s="744"/>
    </row>
    <row r="15" spans="1:6" s="353" customFormat="1" ht="10.5" customHeight="1">
      <c r="A15" s="745" t="s">
        <v>385</v>
      </c>
      <c r="B15" s="561"/>
      <c r="C15" s="563">
        <v>28.671240000000001</v>
      </c>
      <c r="D15" s="563">
        <v>28.01699</v>
      </c>
      <c r="E15" s="563">
        <v>28.146830000000001</v>
      </c>
      <c r="F15" s="746"/>
    </row>
    <row r="16" spans="1:6" s="353" customFormat="1" ht="10.5" customHeight="1">
      <c r="A16" s="743" t="s">
        <v>120</v>
      </c>
      <c r="B16" s="686" t="s">
        <v>386</v>
      </c>
      <c r="C16" s="689">
        <v>0</v>
      </c>
      <c r="D16" s="689">
        <v>0</v>
      </c>
      <c r="E16" s="689">
        <v>54.93544</v>
      </c>
      <c r="F16" s="744"/>
    </row>
    <row r="17" spans="1:6" s="353" customFormat="1" ht="10.5" customHeight="1">
      <c r="A17" s="745" t="s">
        <v>387</v>
      </c>
      <c r="B17" s="561"/>
      <c r="C17" s="563">
        <v>0</v>
      </c>
      <c r="D17" s="563">
        <v>0</v>
      </c>
      <c r="E17" s="563">
        <v>54.93544</v>
      </c>
      <c r="F17" s="746"/>
    </row>
    <row r="18" spans="1:6" s="353" customFormat="1" ht="10.5" customHeight="1">
      <c r="A18" s="743" t="s">
        <v>114</v>
      </c>
      <c r="B18" s="686" t="s">
        <v>733</v>
      </c>
      <c r="C18" s="689">
        <v>17.529990000000002</v>
      </c>
      <c r="D18" s="689"/>
      <c r="E18" s="689">
        <v>0</v>
      </c>
      <c r="F18" s="744"/>
    </row>
    <row r="19" spans="1:6" s="353" customFormat="1" ht="10.5" customHeight="1">
      <c r="A19" s="752"/>
      <c r="B19" s="700" t="s">
        <v>70</v>
      </c>
      <c r="C19" s="714">
        <v>6.8069699999999997</v>
      </c>
      <c r="D19" s="714">
        <v>3.8841299999999999</v>
      </c>
      <c r="E19" s="714">
        <v>6.2851699999999999</v>
      </c>
      <c r="F19" s="772"/>
    </row>
    <row r="20" spans="1:6" s="353" customFormat="1" ht="10.5" customHeight="1">
      <c r="A20" s="745" t="s">
        <v>388</v>
      </c>
      <c r="B20" s="561"/>
      <c r="C20" s="563">
        <v>24.336960000000001</v>
      </c>
      <c r="D20" s="563">
        <v>3.8841299999999999</v>
      </c>
      <c r="E20" s="563">
        <v>6.2851699999999999</v>
      </c>
      <c r="F20" s="746"/>
    </row>
    <row r="21" spans="1:6" s="353" customFormat="1" ht="10.5" customHeight="1">
      <c r="A21" s="743" t="s">
        <v>91</v>
      </c>
      <c r="B21" s="686" t="s">
        <v>389</v>
      </c>
      <c r="C21" s="689">
        <v>22.27985</v>
      </c>
      <c r="D21" s="689">
        <v>21.174990000000001</v>
      </c>
      <c r="E21" s="689">
        <v>11.859</v>
      </c>
      <c r="F21" s="744"/>
    </row>
    <row r="22" spans="1:6" s="353" customFormat="1" ht="10.5" customHeight="1">
      <c r="A22" s="752"/>
      <c r="B22" s="700" t="s">
        <v>390</v>
      </c>
      <c r="C22" s="714">
        <v>79.690830000000005</v>
      </c>
      <c r="D22" s="714">
        <v>62.858370000000001</v>
      </c>
      <c r="E22" s="714">
        <v>45.329030000000003</v>
      </c>
      <c r="F22" s="772"/>
    </row>
    <row r="23" spans="1:6" s="353" customFormat="1" ht="10.5" customHeight="1">
      <c r="A23" s="752"/>
      <c r="B23" s="700" t="s">
        <v>391</v>
      </c>
      <c r="C23" s="714">
        <v>0</v>
      </c>
      <c r="D23" s="714">
        <v>0</v>
      </c>
      <c r="E23" s="714">
        <v>33.127719999999997</v>
      </c>
      <c r="F23" s="772"/>
    </row>
    <row r="24" spans="1:6" s="353" customFormat="1" ht="10.5" customHeight="1">
      <c r="A24" s="752"/>
      <c r="B24" s="700" t="s">
        <v>392</v>
      </c>
      <c r="C24" s="714">
        <v>0</v>
      </c>
      <c r="D24" s="714">
        <v>0.21</v>
      </c>
      <c r="E24" s="714">
        <v>0</v>
      </c>
      <c r="F24" s="772"/>
    </row>
    <row r="25" spans="1:6" s="353" customFormat="1" ht="10.5" customHeight="1">
      <c r="A25" s="752"/>
      <c r="B25" s="700" t="s">
        <v>393</v>
      </c>
      <c r="C25" s="714">
        <v>21.4756</v>
      </c>
      <c r="D25" s="714">
        <v>43.93515</v>
      </c>
      <c r="E25" s="714">
        <v>32.890830000000001</v>
      </c>
      <c r="F25" s="772"/>
    </row>
    <row r="26" spans="1:6" s="353" customFormat="1" ht="10.5" customHeight="1">
      <c r="A26" s="752"/>
      <c r="B26" s="700" t="s">
        <v>394</v>
      </c>
      <c r="C26" s="714">
        <v>0</v>
      </c>
      <c r="D26" s="714">
        <v>3.2831999999999999</v>
      </c>
      <c r="E26" s="714">
        <v>3.78</v>
      </c>
      <c r="F26" s="772"/>
    </row>
    <row r="27" spans="1:6" s="353" customFormat="1" ht="10.5" customHeight="1">
      <c r="A27" s="752"/>
      <c r="B27" s="700" t="s">
        <v>395</v>
      </c>
      <c r="C27" s="714">
        <v>7.9455600000000004</v>
      </c>
      <c r="D27" s="714">
        <v>8.4106799999999993</v>
      </c>
      <c r="E27" s="714">
        <v>8.285400000000001</v>
      </c>
      <c r="F27" s="772"/>
    </row>
    <row r="28" spans="1:6" s="353" customFormat="1" ht="10.5" customHeight="1">
      <c r="A28" s="752"/>
      <c r="B28" s="700" t="s">
        <v>396</v>
      </c>
      <c r="C28" s="714">
        <v>5.9020600000000005</v>
      </c>
      <c r="D28" s="714">
        <v>6.6816800000000001</v>
      </c>
      <c r="E28" s="714">
        <v>7.5556600000000005</v>
      </c>
      <c r="F28" s="772"/>
    </row>
    <row r="29" spans="1:6" s="353" customFormat="1" ht="10.5" customHeight="1">
      <c r="A29" s="752"/>
      <c r="B29" s="700" t="s">
        <v>397</v>
      </c>
      <c r="C29" s="714">
        <v>1.79034</v>
      </c>
      <c r="D29" s="714">
        <v>0</v>
      </c>
      <c r="E29" s="714">
        <v>0.37329000000000001</v>
      </c>
      <c r="F29" s="772"/>
    </row>
    <row r="30" spans="1:6" s="353" customFormat="1" ht="10.5" customHeight="1">
      <c r="A30" s="752"/>
      <c r="B30" s="700" t="s">
        <v>398</v>
      </c>
      <c r="C30" s="714">
        <v>0.38301000000000002</v>
      </c>
      <c r="D30" s="714">
        <v>0</v>
      </c>
      <c r="E30" s="714">
        <v>0.46731</v>
      </c>
      <c r="F30" s="772"/>
    </row>
    <row r="31" spans="1:6" s="353" customFormat="1" ht="10.5" customHeight="1">
      <c r="A31" s="752"/>
      <c r="B31" s="700" t="s">
        <v>399</v>
      </c>
      <c r="C31" s="714">
        <v>0.30895</v>
      </c>
      <c r="D31" s="714">
        <v>0</v>
      </c>
      <c r="E31" s="714">
        <v>0.28766999999999998</v>
      </c>
      <c r="F31" s="772"/>
    </row>
    <row r="32" spans="1:6" s="353" customFormat="1" ht="10.5" customHeight="1">
      <c r="A32" s="752"/>
      <c r="B32" s="700" t="s">
        <v>400</v>
      </c>
      <c r="C32" s="714">
        <v>60.278489999999998</v>
      </c>
      <c r="D32" s="714">
        <v>85.261250000000004</v>
      </c>
      <c r="E32" s="714">
        <v>102.46982</v>
      </c>
      <c r="F32" s="772"/>
    </row>
    <row r="33" spans="1:6" s="353" customFormat="1" ht="10.5" customHeight="1">
      <c r="A33" s="745" t="s">
        <v>401</v>
      </c>
      <c r="B33" s="561"/>
      <c r="C33" s="563">
        <v>200.05469000000002</v>
      </c>
      <c r="D33" s="563">
        <v>231.81531999999999</v>
      </c>
      <c r="E33" s="563">
        <v>246.42572999999999</v>
      </c>
      <c r="F33" s="746"/>
    </row>
    <row r="34" spans="1:6" s="353" customFormat="1" ht="10.5" customHeight="1">
      <c r="A34" s="743" t="s">
        <v>110</v>
      </c>
      <c r="B34" s="686" t="s">
        <v>242</v>
      </c>
      <c r="C34" s="689">
        <v>0</v>
      </c>
      <c r="D34" s="689">
        <v>0</v>
      </c>
      <c r="E34" s="689">
        <v>0</v>
      </c>
      <c r="F34" s="744"/>
    </row>
    <row r="35" spans="1:6" s="353" customFormat="1" ht="10.5" customHeight="1">
      <c r="A35" s="745" t="s">
        <v>402</v>
      </c>
      <c r="B35" s="561"/>
      <c r="C35" s="563">
        <v>0</v>
      </c>
      <c r="D35" s="563">
        <v>0</v>
      </c>
      <c r="E35" s="563">
        <v>0</v>
      </c>
      <c r="F35" s="746"/>
    </row>
    <row r="36" spans="1:6" s="353" customFormat="1" ht="10.5" customHeight="1">
      <c r="A36" s="743" t="s">
        <v>101</v>
      </c>
      <c r="B36" s="686" t="s">
        <v>526</v>
      </c>
      <c r="C36" s="689">
        <v>0</v>
      </c>
      <c r="D36" s="689">
        <v>293.75164000000001</v>
      </c>
      <c r="E36" s="689">
        <v>0</v>
      </c>
      <c r="F36" s="744"/>
    </row>
    <row r="37" spans="1:6" s="353" customFormat="1" ht="10.5" customHeight="1">
      <c r="A37" s="745" t="s">
        <v>403</v>
      </c>
      <c r="B37" s="561"/>
      <c r="C37" s="563">
        <v>0</v>
      </c>
      <c r="D37" s="563">
        <v>293.75164000000001</v>
      </c>
      <c r="E37" s="563">
        <v>0</v>
      </c>
      <c r="F37" s="746"/>
    </row>
    <row r="38" spans="1:6" s="353" customFormat="1" ht="10.5" customHeight="1">
      <c r="A38" s="743" t="s">
        <v>106</v>
      </c>
      <c r="B38" s="686" t="s">
        <v>404</v>
      </c>
      <c r="C38" s="689">
        <v>121.80193</v>
      </c>
      <c r="D38" s="689">
        <v>164.32933</v>
      </c>
      <c r="E38" s="689">
        <v>171.26250999999999</v>
      </c>
      <c r="F38" s="744"/>
    </row>
    <row r="39" spans="1:6" s="353" customFormat="1" ht="10.5" customHeight="1">
      <c r="A39" s="745" t="s">
        <v>405</v>
      </c>
      <c r="B39" s="561"/>
      <c r="C39" s="563">
        <v>121.80193</v>
      </c>
      <c r="D39" s="563">
        <v>164.32933</v>
      </c>
      <c r="E39" s="563">
        <v>171.26250999999999</v>
      </c>
      <c r="F39" s="746"/>
    </row>
    <row r="40" spans="1:6" s="353" customFormat="1" ht="10.5" hidden="1" customHeight="1">
      <c r="A40" s="752" t="s">
        <v>405</v>
      </c>
      <c r="B40" s="700"/>
      <c r="C40" s="714">
        <v>156.52760000000001</v>
      </c>
      <c r="D40" s="714">
        <v>171.66131000000001</v>
      </c>
      <c r="E40" s="714">
        <v>86.49879</v>
      </c>
      <c r="F40" s="772">
        <f t="shared" ref="F40:F41" si="0">+IF(D40=0,"",C40/D40-1)</f>
        <v>-8.8160284923842203E-2</v>
      </c>
    </row>
    <row r="41" spans="1:6" ht="6.75" customHeight="1">
      <c r="A41" s="752"/>
      <c r="B41" s="700"/>
      <c r="C41" s="714"/>
      <c r="D41" s="714"/>
      <c r="E41" s="714"/>
      <c r="F41" s="772" t="str">
        <f t="shared" si="0"/>
        <v/>
      </c>
    </row>
    <row r="42" spans="1:6" s="436" customFormat="1" ht="12" customHeight="1">
      <c r="A42" s="541" t="s">
        <v>466</v>
      </c>
      <c r="B42" s="555"/>
      <c r="C42" s="678">
        <v>6672.2764199999983</v>
      </c>
      <c r="D42" s="540">
        <v>6554.1949699999996</v>
      </c>
      <c r="E42" s="540">
        <v>6341.4928699999973</v>
      </c>
      <c r="F42" s="715">
        <f>+IF(D42=0,"",C42/D42-1)</f>
        <v>1.8016163776098271E-2</v>
      </c>
    </row>
    <row r="43" spans="1:6" s="436" customFormat="1" ht="12" customHeight="1">
      <c r="A43" s="555" t="s">
        <v>406</v>
      </c>
      <c r="B43" s="541"/>
      <c r="C43" s="540">
        <f>+'8. Max Potencia'!D16</f>
        <v>0</v>
      </c>
      <c r="D43" s="540">
        <f>+'8. Max Potencia'!E16</f>
        <v>0</v>
      </c>
      <c r="E43" s="543">
        <v>0</v>
      </c>
      <c r="F43" s="716">
        <v>0</v>
      </c>
    </row>
    <row r="44" spans="1:6" s="436" customFormat="1" ht="12" customHeight="1">
      <c r="A44" s="717" t="s">
        <v>407</v>
      </c>
      <c r="B44" s="717"/>
      <c r="C44" s="540">
        <v>0</v>
      </c>
      <c r="D44" s="540">
        <v>0</v>
      </c>
      <c r="E44" s="543">
        <v>0</v>
      </c>
      <c r="F44" s="716">
        <v>0</v>
      </c>
    </row>
    <row r="45" spans="1:6" ht="12" customHeight="1">
      <c r="A45" s="865" t="s">
        <v>608</v>
      </c>
      <c r="B45" s="717"/>
      <c r="C45" s="540">
        <f>+C42+C43</f>
        <v>6672.2764199999983</v>
      </c>
      <c r="D45" s="540">
        <f t="shared" ref="D45:E45" si="1">+D42+D43</f>
        <v>6554.1949699999996</v>
      </c>
      <c r="E45" s="540">
        <f t="shared" si="1"/>
        <v>6341.4928699999973</v>
      </c>
      <c r="F45" s="715">
        <f>+IF(D45=0,"",C45/D45-1)</f>
        <v>1.8016163776098271E-2</v>
      </c>
    </row>
    <row r="46" spans="1:6" ht="12" customHeight="1">
      <c r="A46" s="686"/>
      <c r="B46" s="690"/>
      <c r="C46" s="690"/>
      <c r="D46" s="690"/>
      <c r="E46" s="690"/>
      <c r="F46" s="690"/>
    </row>
    <row r="47" spans="1:6" ht="27.75" customHeight="1">
      <c r="A47" s="981" t="s">
        <v>542</v>
      </c>
      <c r="B47" s="981"/>
      <c r="C47" s="981"/>
      <c r="D47" s="981"/>
      <c r="E47" s="981"/>
      <c r="F47" s="981"/>
    </row>
    <row r="48" spans="1:6" ht="15" customHeight="1">
      <c r="A48" s="787" t="s">
        <v>566</v>
      </c>
    </row>
    <row r="49" spans="1:6" ht="15" customHeight="1">
      <c r="A49" s="787" t="s">
        <v>567</v>
      </c>
    </row>
    <row r="50" spans="1:6" ht="15" customHeight="1">
      <c r="A50" s="787" t="s">
        <v>568</v>
      </c>
    </row>
    <row r="51" spans="1:6" ht="15" customHeight="1">
      <c r="A51" s="787" t="s">
        <v>569</v>
      </c>
    </row>
    <row r="52" spans="1:6" ht="15" customHeight="1">
      <c r="A52" s="787" t="s">
        <v>586</v>
      </c>
    </row>
    <row r="53" spans="1:6" ht="15" customHeight="1">
      <c r="A53" s="787" t="s">
        <v>585</v>
      </c>
    </row>
    <row r="54" spans="1:6" ht="24" customHeight="1">
      <c r="A54" s="980" t="s">
        <v>599</v>
      </c>
      <c r="B54" s="980"/>
      <c r="C54" s="980"/>
      <c r="D54" s="980"/>
      <c r="E54" s="980"/>
      <c r="F54" s="980"/>
    </row>
    <row r="55" spans="1:6" ht="15.75" customHeight="1">
      <c r="A55" s="787" t="s">
        <v>596</v>
      </c>
    </row>
    <row r="56" spans="1:6" ht="12" customHeight="1">
      <c r="A56" s="353"/>
    </row>
    <row r="57" spans="1:6" ht="12" customHeight="1">
      <c r="A57" s="353"/>
    </row>
    <row r="58" spans="1:6" ht="12" customHeight="1">
      <c r="A58" s="353"/>
    </row>
    <row r="59" spans="1:6" ht="12" customHeight="1">
      <c r="A59" s="353"/>
    </row>
    <row r="60" spans="1:6" ht="12" customHeight="1">
      <c r="A60" s="353"/>
    </row>
  </sheetData>
  <mergeCells count="5">
    <mergeCell ref="A1:A4"/>
    <mergeCell ref="B1:B4"/>
    <mergeCell ref="C1:F1"/>
    <mergeCell ref="A47:F47"/>
    <mergeCell ref="A54:F5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4"/>
  <sheetViews>
    <sheetView showGridLines="0" view="pageBreakPreview" zoomScale="130" zoomScaleNormal="100" zoomScaleSheetLayoutView="130" zoomScalePageLayoutView="145" workbookViewId="0">
      <selection activeCell="P22" sqref="P22"/>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6" t="s">
        <v>419</v>
      </c>
      <c r="B3" s="284"/>
    </row>
    <row r="4" spans="1:13" ht="11.25" customHeight="1">
      <c r="B4" s="284"/>
    </row>
    <row r="5" spans="1:13" ht="11.25" customHeight="1">
      <c r="A5" s="285" t="s">
        <v>478</v>
      </c>
      <c r="C5" s="679">
        <v>6672.2764200000001</v>
      </c>
    </row>
    <row r="6" spans="1:13" ht="11.25" customHeight="1">
      <c r="A6" s="285" t="s">
        <v>420</v>
      </c>
      <c r="C6" s="582">
        <v>43718</v>
      </c>
    </row>
    <row r="7" spans="1:13" ht="11.25" customHeight="1">
      <c r="A7" s="285" t="s">
        <v>421</v>
      </c>
      <c r="C7" s="583">
        <v>0.78125</v>
      </c>
    </row>
    <row r="8" spans="1:13" ht="11.25" customHeight="1"/>
    <row r="9" spans="1:13" ht="14.25" customHeight="1">
      <c r="A9" s="994" t="s">
        <v>412</v>
      </c>
      <c r="B9" s="995" t="s">
        <v>413</v>
      </c>
      <c r="C9" s="995"/>
      <c r="D9" s="995"/>
      <c r="E9" s="995"/>
      <c r="F9" s="995"/>
      <c r="G9" s="995" t="s">
        <v>414</v>
      </c>
      <c r="H9" s="995"/>
      <c r="I9" s="995"/>
      <c r="J9" s="995"/>
      <c r="K9" s="995"/>
    </row>
    <row r="10" spans="1:13" ht="26.25" customHeight="1">
      <c r="A10" s="994"/>
      <c r="B10" s="549" t="s">
        <v>415</v>
      </c>
      <c r="C10" s="549" t="s">
        <v>201</v>
      </c>
      <c r="D10" s="549" t="s">
        <v>406</v>
      </c>
      <c r="E10" s="549" t="s">
        <v>407</v>
      </c>
      <c r="F10" s="550" t="s">
        <v>418</v>
      </c>
      <c r="G10" s="549" t="s">
        <v>415</v>
      </c>
      <c r="H10" s="549" t="s">
        <v>201</v>
      </c>
      <c r="I10" s="549" t="s">
        <v>406</v>
      </c>
      <c r="J10" s="549" t="s">
        <v>407</v>
      </c>
      <c r="K10" s="550" t="s">
        <v>418</v>
      </c>
      <c r="L10" s="36"/>
      <c r="M10" s="46"/>
    </row>
    <row r="11" spans="1:13" ht="11.25" customHeight="1">
      <c r="A11" s="994"/>
      <c r="B11" s="549" t="s">
        <v>416</v>
      </c>
      <c r="C11" s="549" t="s">
        <v>417</v>
      </c>
      <c r="D11" s="549" t="s">
        <v>417</v>
      </c>
      <c r="E11" s="549" t="s">
        <v>417</v>
      </c>
      <c r="F11" s="549" t="s">
        <v>417</v>
      </c>
      <c r="G11" s="549" t="s">
        <v>416</v>
      </c>
      <c r="H11" s="549" t="s">
        <v>417</v>
      </c>
      <c r="I11" s="549" t="s">
        <v>417</v>
      </c>
      <c r="J11" s="549" t="s">
        <v>417</v>
      </c>
      <c r="K11" s="549" t="s">
        <v>417</v>
      </c>
      <c r="L11" s="36"/>
      <c r="M11" s="46"/>
    </row>
    <row r="12" spans="1:13" ht="11.25" customHeight="1">
      <c r="A12" s="850" t="s">
        <v>676</v>
      </c>
      <c r="B12" s="851" t="s">
        <v>677</v>
      </c>
      <c r="C12" s="851">
        <v>5596.8136199999999</v>
      </c>
      <c r="D12" s="851">
        <v>0</v>
      </c>
      <c r="E12" s="851">
        <v>0</v>
      </c>
      <c r="F12" s="851">
        <v>5596.8136199999999</v>
      </c>
      <c r="G12" s="851" t="s">
        <v>588</v>
      </c>
      <c r="H12" s="851">
        <v>6389.8568299999997</v>
      </c>
      <c r="I12" s="851">
        <v>0</v>
      </c>
      <c r="J12" s="851">
        <v>0</v>
      </c>
      <c r="K12" s="851">
        <v>6389.8568299999997</v>
      </c>
      <c r="L12" s="205"/>
      <c r="M12" s="46"/>
    </row>
    <row r="13" spans="1:13" ht="11.25" customHeight="1">
      <c r="A13" s="850" t="s">
        <v>678</v>
      </c>
      <c r="B13" s="851" t="s">
        <v>468</v>
      </c>
      <c r="C13" s="851">
        <v>6334.4635099999996</v>
      </c>
      <c r="D13" s="851">
        <v>0</v>
      </c>
      <c r="E13" s="851">
        <v>0</v>
      </c>
      <c r="F13" s="851">
        <v>6334.4635099999996</v>
      </c>
      <c r="G13" s="851" t="s">
        <v>572</v>
      </c>
      <c r="H13" s="851">
        <v>6505.2465000000002</v>
      </c>
      <c r="I13" s="851">
        <v>0</v>
      </c>
      <c r="J13" s="851">
        <v>0</v>
      </c>
      <c r="K13" s="851">
        <v>6505.2465000000002</v>
      </c>
      <c r="L13" s="5"/>
    </row>
    <row r="14" spans="1:13" ht="11.25" customHeight="1">
      <c r="A14" s="850" t="s">
        <v>679</v>
      </c>
      <c r="B14" s="851" t="s">
        <v>469</v>
      </c>
      <c r="C14" s="851">
        <v>6513.5318699999998</v>
      </c>
      <c r="D14" s="851">
        <v>0</v>
      </c>
      <c r="E14" s="851">
        <v>0</v>
      </c>
      <c r="F14" s="851">
        <v>6513.5318699999998</v>
      </c>
      <c r="G14" s="851" t="s">
        <v>514</v>
      </c>
      <c r="H14" s="851">
        <v>6498.0812599999999</v>
      </c>
      <c r="I14" s="851">
        <v>0</v>
      </c>
      <c r="J14" s="851">
        <v>0</v>
      </c>
      <c r="K14" s="851">
        <v>6498.0812599999999</v>
      </c>
      <c r="L14" s="15"/>
    </row>
    <row r="15" spans="1:13" ht="11.25" customHeight="1">
      <c r="A15" s="850" t="s">
        <v>680</v>
      </c>
      <c r="B15" s="851" t="s">
        <v>469</v>
      </c>
      <c r="C15" s="851">
        <v>6494.5882899999997</v>
      </c>
      <c r="D15" s="851">
        <v>0</v>
      </c>
      <c r="E15" s="851">
        <v>0</v>
      </c>
      <c r="F15" s="851">
        <v>6494.5882899999997</v>
      </c>
      <c r="G15" s="851" t="s">
        <v>573</v>
      </c>
      <c r="H15" s="851">
        <v>6555.2824799999999</v>
      </c>
      <c r="I15" s="851">
        <v>0</v>
      </c>
      <c r="J15" s="851">
        <v>0</v>
      </c>
      <c r="K15" s="851">
        <v>6555.2824799999999</v>
      </c>
      <c r="L15" s="12"/>
    </row>
    <row r="16" spans="1:13" ht="11.25" customHeight="1">
      <c r="A16" s="850" t="s">
        <v>681</v>
      </c>
      <c r="B16" s="851" t="s">
        <v>469</v>
      </c>
      <c r="C16" s="851">
        <v>6437.6978300000001</v>
      </c>
      <c r="D16" s="851">
        <v>0</v>
      </c>
      <c r="E16" s="851">
        <v>0</v>
      </c>
      <c r="F16" s="851">
        <v>6437.6978300000001</v>
      </c>
      <c r="G16" s="851" t="s">
        <v>602</v>
      </c>
      <c r="H16" s="851">
        <v>6633.6987900000004</v>
      </c>
      <c r="I16" s="851">
        <v>0</v>
      </c>
      <c r="J16" s="851">
        <v>0</v>
      </c>
      <c r="K16" s="851">
        <v>6633.6987900000004</v>
      </c>
      <c r="L16" s="22"/>
    </row>
    <row r="17" spans="1:12" ht="11.25" customHeight="1">
      <c r="A17" s="850" t="s">
        <v>682</v>
      </c>
      <c r="B17" s="851" t="s">
        <v>468</v>
      </c>
      <c r="C17" s="851">
        <v>6427.3368799999998</v>
      </c>
      <c r="D17" s="851">
        <v>0</v>
      </c>
      <c r="E17" s="851">
        <v>0</v>
      </c>
      <c r="F17" s="851">
        <v>6427.3368799999998</v>
      </c>
      <c r="G17" s="851" t="s">
        <v>572</v>
      </c>
      <c r="H17" s="851">
        <v>6505.9666100000004</v>
      </c>
      <c r="I17" s="851">
        <v>0</v>
      </c>
      <c r="J17" s="851">
        <v>0</v>
      </c>
      <c r="K17" s="851">
        <v>6505.9666100000004</v>
      </c>
      <c r="L17" s="22"/>
    </row>
    <row r="18" spans="1:12" ht="11.25" customHeight="1">
      <c r="A18" s="850" t="s">
        <v>683</v>
      </c>
      <c r="B18" s="851" t="s">
        <v>469</v>
      </c>
      <c r="C18" s="851">
        <v>6425.9564200000004</v>
      </c>
      <c r="D18" s="851">
        <v>0</v>
      </c>
      <c r="E18" s="851">
        <v>0</v>
      </c>
      <c r="F18" s="851">
        <v>6425.9564200000004</v>
      </c>
      <c r="G18" s="851" t="s">
        <v>537</v>
      </c>
      <c r="H18" s="851">
        <v>6623.3096699999996</v>
      </c>
      <c r="I18" s="851">
        <v>0</v>
      </c>
      <c r="J18" s="851">
        <v>0</v>
      </c>
      <c r="K18" s="851">
        <v>6623.3096699999996</v>
      </c>
      <c r="L18" s="22"/>
    </row>
    <row r="19" spans="1:12" ht="11.25" customHeight="1">
      <c r="A19" s="850" t="s">
        <v>684</v>
      </c>
      <c r="B19" s="851" t="s">
        <v>505</v>
      </c>
      <c r="C19" s="851">
        <v>5810.2136399999999</v>
      </c>
      <c r="D19" s="851">
        <v>0</v>
      </c>
      <c r="E19" s="851">
        <v>0</v>
      </c>
      <c r="F19" s="851">
        <v>5810.2136399999999</v>
      </c>
      <c r="G19" s="851" t="s">
        <v>602</v>
      </c>
      <c r="H19" s="851">
        <v>6452.4567900000002</v>
      </c>
      <c r="I19" s="851">
        <v>0</v>
      </c>
      <c r="J19" s="851">
        <v>0</v>
      </c>
      <c r="K19" s="851">
        <v>6452.4567900000002</v>
      </c>
      <c r="L19" s="22"/>
    </row>
    <row r="20" spans="1:12" ht="11.25" customHeight="1">
      <c r="A20" s="850" t="s">
        <v>685</v>
      </c>
      <c r="B20" s="851" t="s">
        <v>468</v>
      </c>
      <c r="C20" s="851">
        <v>6459.1880099999998</v>
      </c>
      <c r="D20" s="851">
        <v>0</v>
      </c>
      <c r="E20" s="851">
        <v>0</v>
      </c>
      <c r="F20" s="851">
        <v>6459.1880099999998</v>
      </c>
      <c r="G20" s="851" t="s">
        <v>514</v>
      </c>
      <c r="H20" s="851">
        <v>6620.0626199999997</v>
      </c>
      <c r="I20" s="851">
        <v>0</v>
      </c>
      <c r="J20" s="851">
        <v>0</v>
      </c>
      <c r="K20" s="851">
        <v>6620.0626199999997</v>
      </c>
      <c r="L20" s="24"/>
    </row>
    <row r="21" spans="1:12" ht="11.25" customHeight="1">
      <c r="A21" s="850" t="s">
        <v>686</v>
      </c>
      <c r="B21" s="852" t="s">
        <v>468</v>
      </c>
      <c r="C21" s="852">
        <v>6541.0155699999996</v>
      </c>
      <c r="D21" s="852">
        <v>0</v>
      </c>
      <c r="E21" s="852">
        <v>0</v>
      </c>
      <c r="F21" s="852">
        <v>6541.0155699999996</v>
      </c>
      <c r="G21" s="852" t="s">
        <v>537</v>
      </c>
      <c r="H21" s="852">
        <v>6672.2764200000001</v>
      </c>
      <c r="I21" s="852">
        <v>0</v>
      </c>
      <c r="J21" s="852">
        <v>0</v>
      </c>
      <c r="K21" s="852">
        <v>6672.2764200000001</v>
      </c>
      <c r="L21" s="22"/>
    </row>
    <row r="22" spans="1:12" ht="11.25" customHeight="1">
      <c r="A22" s="850" t="s">
        <v>687</v>
      </c>
      <c r="B22" s="851" t="s">
        <v>468</v>
      </c>
      <c r="C22" s="851">
        <v>6338.9782999999998</v>
      </c>
      <c r="D22" s="851">
        <v>0</v>
      </c>
      <c r="E22" s="851">
        <v>0</v>
      </c>
      <c r="F22" s="851">
        <v>6338.9782999999998</v>
      </c>
      <c r="G22" s="851" t="s">
        <v>514</v>
      </c>
      <c r="H22" s="851">
        <v>6589.6535899999999</v>
      </c>
      <c r="I22" s="851">
        <v>0</v>
      </c>
      <c r="J22" s="851">
        <v>0</v>
      </c>
      <c r="K22" s="851">
        <v>6589.6535899999999</v>
      </c>
      <c r="L22" s="22"/>
    </row>
    <row r="23" spans="1:12" ht="11.25" customHeight="1">
      <c r="A23" s="850" t="s">
        <v>688</v>
      </c>
      <c r="B23" s="851" t="s">
        <v>481</v>
      </c>
      <c r="C23" s="851">
        <v>6407.1866</v>
      </c>
      <c r="D23" s="851">
        <v>0</v>
      </c>
      <c r="E23" s="851">
        <v>0</v>
      </c>
      <c r="F23" s="851">
        <v>6407.1866</v>
      </c>
      <c r="G23" s="851" t="s">
        <v>587</v>
      </c>
      <c r="H23" s="851">
        <v>6572.3190199999999</v>
      </c>
      <c r="I23" s="851">
        <v>0</v>
      </c>
      <c r="J23" s="851">
        <v>0</v>
      </c>
      <c r="K23" s="851">
        <v>6572.3190199999999</v>
      </c>
      <c r="L23" s="22"/>
    </row>
    <row r="24" spans="1:12" ht="11.25" customHeight="1">
      <c r="A24" s="850" t="s">
        <v>689</v>
      </c>
      <c r="B24" s="851" t="s">
        <v>469</v>
      </c>
      <c r="C24" s="851">
        <v>6455.3742199999997</v>
      </c>
      <c r="D24" s="851">
        <v>0</v>
      </c>
      <c r="E24" s="851">
        <v>0</v>
      </c>
      <c r="F24" s="851">
        <v>6455.3742199999997</v>
      </c>
      <c r="G24" s="851" t="s">
        <v>564</v>
      </c>
      <c r="H24" s="851">
        <v>6404.5992299999998</v>
      </c>
      <c r="I24" s="851">
        <v>0</v>
      </c>
      <c r="J24" s="851">
        <v>0</v>
      </c>
      <c r="K24" s="851">
        <v>6404.5992299999998</v>
      </c>
      <c r="L24" s="22"/>
    </row>
    <row r="25" spans="1:12" ht="11.25" customHeight="1">
      <c r="A25" s="850" t="s">
        <v>690</v>
      </c>
      <c r="B25" s="851" t="s">
        <v>691</v>
      </c>
      <c r="C25" s="851">
        <v>6364.6354199999996</v>
      </c>
      <c r="D25" s="851">
        <v>0</v>
      </c>
      <c r="E25" s="851">
        <v>0</v>
      </c>
      <c r="F25" s="851">
        <v>6364.6354199999996</v>
      </c>
      <c r="G25" s="851" t="s">
        <v>514</v>
      </c>
      <c r="H25" s="851">
        <v>6533.6503700000003</v>
      </c>
      <c r="I25" s="851">
        <v>0</v>
      </c>
      <c r="J25" s="851">
        <v>0</v>
      </c>
      <c r="K25" s="851">
        <v>6533.6503700000003</v>
      </c>
      <c r="L25" s="22"/>
    </row>
    <row r="26" spans="1:12" ht="11.25" customHeight="1">
      <c r="A26" s="850" t="s">
        <v>692</v>
      </c>
      <c r="B26" s="851" t="s">
        <v>505</v>
      </c>
      <c r="C26" s="851">
        <v>5734.9819500000003</v>
      </c>
      <c r="D26" s="851">
        <v>0</v>
      </c>
      <c r="E26" s="851">
        <v>0</v>
      </c>
      <c r="F26" s="851">
        <v>5734.9819500000003</v>
      </c>
      <c r="G26" s="851" t="s">
        <v>602</v>
      </c>
      <c r="H26" s="851">
        <v>6441.68516</v>
      </c>
      <c r="I26" s="851">
        <v>0</v>
      </c>
      <c r="J26" s="851">
        <v>0</v>
      </c>
      <c r="K26" s="851">
        <v>6441.68516</v>
      </c>
      <c r="L26" s="22"/>
    </row>
    <row r="27" spans="1:12" ht="11.25" customHeight="1">
      <c r="A27" s="850" t="s">
        <v>693</v>
      </c>
      <c r="B27" s="851" t="s">
        <v>468</v>
      </c>
      <c r="C27" s="851">
        <v>6478.6864500000001</v>
      </c>
      <c r="D27" s="851">
        <v>0</v>
      </c>
      <c r="E27" s="851">
        <v>0</v>
      </c>
      <c r="F27" s="851">
        <v>6478.6864500000001</v>
      </c>
      <c r="G27" s="851" t="s">
        <v>514</v>
      </c>
      <c r="H27" s="851">
        <v>6652.1708399999998</v>
      </c>
      <c r="I27" s="851">
        <v>0</v>
      </c>
      <c r="J27" s="851">
        <v>0</v>
      </c>
      <c r="K27" s="851">
        <v>6652.1708399999998</v>
      </c>
      <c r="L27" s="22"/>
    </row>
    <row r="28" spans="1:12" ht="11.25" customHeight="1">
      <c r="A28" s="850" t="s">
        <v>694</v>
      </c>
      <c r="B28" s="851" t="s">
        <v>691</v>
      </c>
      <c r="C28" s="851">
        <v>6504.75684</v>
      </c>
      <c r="D28" s="851">
        <v>0</v>
      </c>
      <c r="E28" s="851">
        <v>0</v>
      </c>
      <c r="F28" s="851">
        <v>6504.75684</v>
      </c>
      <c r="G28" s="851" t="s">
        <v>573</v>
      </c>
      <c r="H28" s="851">
        <v>6597.8249999999998</v>
      </c>
      <c r="I28" s="851">
        <v>0</v>
      </c>
      <c r="J28" s="851">
        <v>0</v>
      </c>
      <c r="K28" s="851">
        <v>6597.8249999999998</v>
      </c>
      <c r="L28" s="30"/>
    </row>
    <row r="29" spans="1:12" ht="11.25" customHeight="1">
      <c r="A29" s="850" t="s">
        <v>695</v>
      </c>
      <c r="B29" s="851" t="s">
        <v>468</v>
      </c>
      <c r="C29" s="851">
        <v>6491.30879</v>
      </c>
      <c r="D29" s="851">
        <v>0</v>
      </c>
      <c r="E29" s="851">
        <v>0</v>
      </c>
      <c r="F29" s="851">
        <v>6491.30879</v>
      </c>
      <c r="G29" s="851" t="s">
        <v>564</v>
      </c>
      <c r="H29" s="851">
        <v>6598.3657400000002</v>
      </c>
      <c r="I29" s="851">
        <v>0</v>
      </c>
      <c r="J29" s="851">
        <v>0</v>
      </c>
      <c r="K29" s="851">
        <v>6598.3657400000002</v>
      </c>
      <c r="L29" s="22"/>
    </row>
    <row r="30" spans="1:12" ht="11.25" customHeight="1">
      <c r="A30" s="850" t="s">
        <v>696</v>
      </c>
      <c r="B30" s="851" t="s">
        <v>469</v>
      </c>
      <c r="C30" s="851">
        <v>6413.7422900000001</v>
      </c>
      <c r="D30" s="851">
        <v>0</v>
      </c>
      <c r="E30" s="851">
        <v>0</v>
      </c>
      <c r="F30" s="851">
        <v>6413.7422900000001</v>
      </c>
      <c r="G30" s="851" t="s">
        <v>537</v>
      </c>
      <c r="H30" s="851">
        <v>6608.0506999999998</v>
      </c>
      <c r="I30" s="851">
        <v>0</v>
      </c>
      <c r="J30" s="851">
        <v>0</v>
      </c>
      <c r="K30" s="851">
        <v>6608.0506999999998</v>
      </c>
      <c r="L30" s="22"/>
    </row>
    <row r="31" spans="1:12" ht="11.25" customHeight="1">
      <c r="A31" s="850" t="s">
        <v>697</v>
      </c>
      <c r="B31" s="851" t="s">
        <v>469</v>
      </c>
      <c r="C31" s="851">
        <v>6521.45669</v>
      </c>
      <c r="D31" s="851">
        <v>0</v>
      </c>
      <c r="E31" s="851">
        <v>0</v>
      </c>
      <c r="F31" s="851">
        <v>6521.45669</v>
      </c>
      <c r="G31" s="851" t="s">
        <v>587</v>
      </c>
      <c r="H31" s="851">
        <v>6617.3584499999997</v>
      </c>
      <c r="I31" s="851">
        <v>0</v>
      </c>
      <c r="J31" s="851">
        <v>0</v>
      </c>
      <c r="K31" s="851">
        <v>6617.3584499999997</v>
      </c>
      <c r="L31" s="15"/>
    </row>
    <row r="32" spans="1:12" ht="11.25" customHeight="1">
      <c r="A32" s="850" t="s">
        <v>698</v>
      </c>
      <c r="B32" s="851" t="s">
        <v>468</v>
      </c>
      <c r="C32" s="851">
        <v>6491.7835299999997</v>
      </c>
      <c r="D32" s="851">
        <v>0</v>
      </c>
      <c r="E32" s="851">
        <v>0</v>
      </c>
      <c r="F32" s="851">
        <v>6491.7835299999997</v>
      </c>
      <c r="G32" s="851" t="s">
        <v>514</v>
      </c>
      <c r="H32" s="851">
        <v>6548.64239</v>
      </c>
      <c r="I32" s="851">
        <v>0</v>
      </c>
      <c r="J32" s="851">
        <v>0</v>
      </c>
      <c r="K32" s="851">
        <v>6548.64239</v>
      </c>
      <c r="L32" s="16"/>
    </row>
    <row r="33" spans="1:12" ht="11.25" customHeight="1">
      <c r="A33" s="850" t="s">
        <v>699</v>
      </c>
      <c r="B33" s="851" t="s">
        <v>468</v>
      </c>
      <c r="C33" s="851">
        <v>5607.7448700000004</v>
      </c>
      <c r="D33" s="851">
        <v>0</v>
      </c>
      <c r="E33" s="851">
        <v>0</v>
      </c>
      <c r="F33" s="851">
        <v>5607.7448700000004</v>
      </c>
      <c r="G33" s="851" t="s">
        <v>573</v>
      </c>
      <c r="H33" s="851">
        <v>6442.3051100000002</v>
      </c>
      <c r="I33" s="851">
        <v>0</v>
      </c>
      <c r="J33" s="851">
        <v>0</v>
      </c>
      <c r="K33" s="851">
        <v>6442.3051100000002</v>
      </c>
      <c r="L33" s="15"/>
    </row>
    <row r="34" spans="1:12" ht="11.25" customHeight="1">
      <c r="A34" s="850" t="s">
        <v>700</v>
      </c>
      <c r="B34" s="851" t="s">
        <v>481</v>
      </c>
      <c r="C34" s="851">
        <v>6404.8211700000002</v>
      </c>
      <c r="D34" s="851">
        <v>0</v>
      </c>
      <c r="E34" s="851">
        <v>0</v>
      </c>
      <c r="F34" s="851">
        <v>6404.8211700000002</v>
      </c>
      <c r="G34" s="851" t="s">
        <v>514</v>
      </c>
      <c r="H34" s="851">
        <v>6583.8862499999996</v>
      </c>
      <c r="I34" s="851">
        <v>0</v>
      </c>
      <c r="J34" s="851">
        <v>0</v>
      </c>
      <c r="K34" s="851">
        <v>6583.8862499999996</v>
      </c>
      <c r="L34" s="15"/>
    </row>
    <row r="35" spans="1:12" ht="11.25" customHeight="1">
      <c r="A35" s="850" t="s">
        <v>701</v>
      </c>
      <c r="B35" s="851" t="s">
        <v>468</v>
      </c>
      <c r="C35" s="851">
        <v>6409.18444</v>
      </c>
      <c r="D35" s="851">
        <v>0</v>
      </c>
      <c r="E35" s="851">
        <v>0</v>
      </c>
      <c r="F35" s="851">
        <v>6409.18444</v>
      </c>
      <c r="G35" s="851" t="s">
        <v>537</v>
      </c>
      <c r="H35" s="851">
        <v>6547.2426999999998</v>
      </c>
      <c r="I35" s="851">
        <v>0</v>
      </c>
      <c r="J35" s="851">
        <v>0</v>
      </c>
      <c r="K35" s="851">
        <v>6547.2426999999998</v>
      </c>
      <c r="L35" s="22"/>
    </row>
    <row r="36" spans="1:12" ht="11.25" customHeight="1">
      <c r="A36" s="850" t="s">
        <v>702</v>
      </c>
      <c r="B36" s="851" t="s">
        <v>481</v>
      </c>
      <c r="C36" s="851">
        <v>6425.1149400000004</v>
      </c>
      <c r="D36" s="851">
        <v>0</v>
      </c>
      <c r="E36" s="851">
        <v>0</v>
      </c>
      <c r="F36" s="851">
        <v>6425.1149400000004</v>
      </c>
      <c r="G36" s="851" t="s">
        <v>572</v>
      </c>
      <c r="H36" s="851">
        <v>6594.9663300000002</v>
      </c>
      <c r="I36" s="851">
        <v>0</v>
      </c>
      <c r="J36" s="851">
        <v>0</v>
      </c>
      <c r="K36" s="851">
        <v>6594.9663300000002</v>
      </c>
      <c r="L36" s="22"/>
    </row>
    <row r="37" spans="1:12" ht="11.25" customHeight="1">
      <c r="A37" s="850" t="s">
        <v>703</v>
      </c>
      <c r="B37" s="851" t="s">
        <v>468</v>
      </c>
      <c r="C37" s="851">
        <v>6512.5566099999996</v>
      </c>
      <c r="D37" s="851">
        <v>0</v>
      </c>
      <c r="E37" s="851">
        <v>0</v>
      </c>
      <c r="F37" s="851">
        <v>6512.5566099999996</v>
      </c>
      <c r="G37" s="851" t="s">
        <v>564</v>
      </c>
      <c r="H37" s="851">
        <v>6498.1873599999999</v>
      </c>
      <c r="I37" s="851">
        <v>0</v>
      </c>
      <c r="J37" s="851">
        <v>0</v>
      </c>
      <c r="K37" s="851">
        <v>6498.1873599999999</v>
      </c>
      <c r="L37" s="22"/>
    </row>
    <row r="38" spans="1:12" ht="11.25" customHeight="1">
      <c r="A38" s="850" t="s">
        <v>704</v>
      </c>
      <c r="B38" s="851" t="s">
        <v>469</v>
      </c>
      <c r="C38" s="851">
        <v>6445.0838400000002</v>
      </c>
      <c r="D38" s="851">
        <v>0</v>
      </c>
      <c r="E38" s="851">
        <v>0</v>
      </c>
      <c r="F38" s="851">
        <v>6445.0838400000002</v>
      </c>
      <c r="G38" s="851" t="s">
        <v>572</v>
      </c>
      <c r="H38" s="851">
        <v>6520.1563699999997</v>
      </c>
      <c r="I38" s="851">
        <v>0</v>
      </c>
      <c r="J38" s="851">
        <v>0</v>
      </c>
      <c r="K38" s="851">
        <v>6520.1563699999997</v>
      </c>
      <c r="L38" s="22"/>
    </row>
    <row r="39" spans="1:12" ht="11.25" customHeight="1">
      <c r="A39" s="850" t="s">
        <v>705</v>
      </c>
      <c r="B39" s="851" t="s">
        <v>469</v>
      </c>
      <c r="C39" s="851">
        <v>6334.4516700000004</v>
      </c>
      <c r="D39" s="851">
        <v>0</v>
      </c>
      <c r="E39" s="851">
        <v>0</v>
      </c>
      <c r="F39" s="851">
        <v>6334.4516700000004</v>
      </c>
      <c r="G39" s="851" t="s">
        <v>514</v>
      </c>
      <c r="H39" s="851">
        <v>6546.0595499999999</v>
      </c>
      <c r="I39" s="851">
        <v>0</v>
      </c>
      <c r="J39" s="851">
        <v>0</v>
      </c>
      <c r="K39" s="851">
        <v>6546.0595499999999</v>
      </c>
      <c r="L39" s="22"/>
    </row>
    <row r="40" spans="1:12" ht="11.25" customHeight="1">
      <c r="A40" s="850" t="s">
        <v>706</v>
      </c>
      <c r="B40" s="851" t="s">
        <v>505</v>
      </c>
      <c r="C40" s="851">
        <v>5752.1850199999999</v>
      </c>
      <c r="D40" s="851">
        <v>0</v>
      </c>
      <c r="E40" s="851">
        <v>0</v>
      </c>
      <c r="F40" s="851">
        <v>5752.1850199999999</v>
      </c>
      <c r="G40" s="851" t="s">
        <v>588</v>
      </c>
      <c r="H40" s="851">
        <v>6494.7523000000001</v>
      </c>
      <c r="I40" s="851">
        <v>0</v>
      </c>
      <c r="J40" s="851">
        <v>0</v>
      </c>
      <c r="K40" s="851">
        <v>6494.7523000000001</v>
      </c>
      <c r="L40" s="22"/>
    </row>
    <row r="41" spans="1:12" ht="11.25" customHeight="1">
      <c r="A41" s="850" t="s">
        <v>707</v>
      </c>
      <c r="B41" s="851" t="s">
        <v>708</v>
      </c>
      <c r="C41" s="851">
        <v>6524.3233</v>
      </c>
      <c r="D41" s="851">
        <v>0</v>
      </c>
      <c r="E41" s="851">
        <v>0</v>
      </c>
      <c r="F41" s="851">
        <v>6524.3233</v>
      </c>
      <c r="G41" s="851" t="s">
        <v>514</v>
      </c>
      <c r="H41" s="851">
        <v>6669.2483400000001</v>
      </c>
      <c r="I41" s="851">
        <v>0</v>
      </c>
      <c r="J41" s="851">
        <v>0</v>
      </c>
      <c r="K41" s="851">
        <v>6669.2483400000001</v>
      </c>
      <c r="L41" s="22"/>
    </row>
    <row r="42" spans="1:12" ht="11.25" customHeight="1">
      <c r="A42" s="962"/>
      <c r="B42" s="962"/>
      <c r="C42" s="962"/>
      <c r="D42" s="962"/>
      <c r="E42" s="962"/>
      <c r="F42" s="962"/>
      <c r="G42" s="962"/>
      <c r="H42" s="962"/>
      <c r="I42" s="962"/>
      <c r="J42" s="962"/>
      <c r="K42" s="962"/>
      <c r="L42" s="22"/>
    </row>
    <row r="43" spans="1:12" ht="11.25" customHeight="1">
      <c r="A43" s="196"/>
      <c r="B43" s="196"/>
      <c r="C43" s="196"/>
      <c r="D43" s="196"/>
      <c r="E43" s="196"/>
      <c r="F43" s="196"/>
      <c r="G43" s="196"/>
      <c r="H43" s="196"/>
      <c r="I43" s="196"/>
      <c r="J43" s="196"/>
      <c r="K43" s="198"/>
      <c r="L43" s="22"/>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9"/>
      <c r="L46" s="11"/>
    </row>
    <row r="47" spans="1:12" ht="11.25" customHeight="1">
      <c r="A47" s="196"/>
      <c r="B47" s="196"/>
      <c r="C47" s="196"/>
      <c r="D47" s="196"/>
      <c r="E47" s="196"/>
      <c r="F47" s="196"/>
      <c r="G47" s="196"/>
      <c r="H47" s="196"/>
      <c r="I47" s="196"/>
      <c r="J47" s="196"/>
      <c r="K47" s="198"/>
    </row>
    <row r="48" spans="1:12" ht="11.25" customHeight="1">
      <c r="A48" s="196"/>
      <c r="B48" s="196"/>
      <c r="C48" s="196"/>
      <c r="D48" s="196"/>
      <c r="E48" s="196"/>
      <c r="F48" s="196"/>
      <c r="G48" s="196"/>
      <c r="H48" s="196"/>
      <c r="I48" s="196"/>
      <c r="J48" s="196"/>
      <c r="K48" s="198"/>
    </row>
    <row r="49" spans="1:11" ht="12.75">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96"/>
      <c r="C53" s="196"/>
      <c r="D53" s="196"/>
      <c r="E53" s="196"/>
      <c r="F53" s="196"/>
      <c r="G53" s="196"/>
      <c r="H53" s="196"/>
      <c r="I53" s="196"/>
      <c r="J53" s="196"/>
      <c r="K53" s="198"/>
    </row>
    <row r="54" spans="1:11" ht="12.75">
      <c r="A54" s="196"/>
      <c r="B54" s="111"/>
      <c r="C54" s="111"/>
      <c r="D54" s="111"/>
      <c r="E54" s="111"/>
      <c r="F54" s="111"/>
      <c r="G54" s="111"/>
      <c r="H54" s="111"/>
      <c r="I54" s="111"/>
      <c r="J54" s="111"/>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11"/>
      <c r="C58" s="111"/>
      <c r="D58" s="111"/>
      <c r="E58" s="111"/>
      <c r="F58" s="111"/>
      <c r="G58" s="111"/>
      <c r="H58" s="111"/>
      <c r="I58" s="111"/>
      <c r="J58" s="111"/>
      <c r="K58" s="198"/>
    </row>
    <row r="59" spans="1:11" ht="12.75">
      <c r="A59" s="196"/>
      <c r="B59" s="197"/>
      <c r="C59" s="197"/>
      <c r="D59" s="197"/>
      <c r="E59" s="197"/>
      <c r="F59" s="197"/>
      <c r="G59" s="197"/>
      <c r="H59" s="197"/>
      <c r="I59" s="197"/>
      <c r="J59" s="197"/>
      <c r="K59" s="198"/>
    </row>
    <row r="60" spans="1:11" ht="12.75">
      <c r="A60" s="196"/>
      <c r="B60" s="197"/>
      <c r="C60" s="197"/>
      <c r="D60" s="197"/>
      <c r="E60" s="197"/>
      <c r="F60" s="197"/>
      <c r="G60" s="197"/>
      <c r="H60" s="197"/>
      <c r="I60" s="197"/>
      <c r="J60" s="197"/>
      <c r="K60" s="198"/>
    </row>
    <row r="61" spans="1:11" ht="12.75">
      <c r="A61" s="196"/>
      <c r="B61" s="200"/>
      <c r="C61" s="198"/>
      <c r="D61" s="198"/>
      <c r="E61" s="198"/>
      <c r="F61" s="198"/>
      <c r="G61" s="197"/>
      <c r="H61" s="197"/>
      <c r="I61" s="197"/>
      <c r="J61" s="197"/>
      <c r="K61" s="198"/>
    </row>
    <row r="62" spans="1:11" ht="12.75">
      <c r="A62" s="201"/>
      <c r="B62" s="202"/>
      <c r="C62" s="202"/>
      <c r="D62" s="202"/>
      <c r="E62" s="202"/>
      <c r="F62" s="202"/>
      <c r="G62" s="202"/>
      <c r="H62" s="197"/>
      <c r="I62" s="197"/>
      <c r="J62" s="197"/>
      <c r="K62" s="198"/>
    </row>
    <row r="63" spans="1:11" ht="12.75">
      <c r="A63" s="201"/>
      <c r="B63" s="202"/>
      <c r="C63" s="202"/>
      <c r="D63" s="202"/>
      <c r="E63" s="202"/>
      <c r="F63" s="202"/>
      <c r="G63" s="202"/>
      <c r="H63" s="197"/>
      <c r="I63" s="197"/>
      <c r="J63" s="197"/>
      <c r="K63" s="197"/>
    </row>
    <row r="64" spans="1:11" ht="12.75">
      <c r="A64" s="201"/>
      <c r="B64" s="202"/>
      <c r="C64" s="202"/>
      <c r="D64" s="202"/>
      <c r="E64" s="202"/>
      <c r="F64" s="202"/>
      <c r="G64" s="202"/>
      <c r="H64" s="197"/>
      <c r="I64" s="197"/>
      <c r="J64" s="197"/>
      <c r="K64" s="197"/>
    </row>
  </sheetData>
  <mergeCells count="4">
    <mergeCell ref="A9:A11"/>
    <mergeCell ref="B9:F9"/>
    <mergeCell ref="G9:K9"/>
    <mergeCell ref="A42:K4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4"/>
  </sheetPr>
  <dimension ref="A1:I157"/>
  <sheetViews>
    <sheetView showGridLines="0" view="pageBreakPreview" zoomScale="130" zoomScaleNormal="100" zoomScaleSheetLayoutView="130" workbookViewId="0"/>
  </sheetViews>
  <sheetFormatPr defaultColWidth="9.33203125" defaultRowHeight="9"/>
  <cols>
    <col min="1" max="1" width="16.1640625" style="289" customWidth="1"/>
    <col min="2" max="2" width="19.6640625" style="289" customWidth="1"/>
    <col min="3" max="3" width="12.16406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11.25" customHeight="1">
      <c r="A1" s="287" t="s">
        <v>422</v>
      </c>
      <c r="B1" s="288"/>
      <c r="C1" s="288"/>
      <c r="D1" s="288"/>
      <c r="E1" s="288"/>
      <c r="F1" s="288"/>
    </row>
    <row r="2" spans="1:9" ht="30" customHeight="1">
      <c r="A2" s="551" t="s">
        <v>261</v>
      </c>
      <c r="B2" s="552" t="s">
        <v>423</v>
      </c>
      <c r="C2" s="551" t="s">
        <v>412</v>
      </c>
      <c r="D2" s="553" t="s">
        <v>424</v>
      </c>
      <c r="E2" s="554" t="s">
        <v>425</v>
      </c>
      <c r="F2" s="554" t="s">
        <v>426</v>
      </c>
      <c r="G2" s="283"/>
      <c r="H2" s="290"/>
      <c r="I2" s="281"/>
    </row>
    <row r="3" spans="1:9" ht="125.25" customHeight="1">
      <c r="A3" s="297" t="s">
        <v>428</v>
      </c>
      <c r="B3" s="297" t="s">
        <v>611</v>
      </c>
      <c r="C3" s="298">
        <v>43713.488194444442</v>
      </c>
      <c r="D3" s="387" t="s">
        <v>612</v>
      </c>
      <c r="E3" s="299">
        <v>24</v>
      </c>
      <c r="F3" s="299"/>
      <c r="H3" s="283"/>
      <c r="I3" s="281"/>
    </row>
    <row r="4" spans="1:9" ht="56.25" customHeight="1">
      <c r="A4" s="297" t="s">
        <v>427</v>
      </c>
      <c r="B4" s="297" t="s">
        <v>613</v>
      </c>
      <c r="C4" s="298">
        <v>43713.568055555559</v>
      </c>
      <c r="D4" s="387" t="s">
        <v>614</v>
      </c>
      <c r="E4" s="299">
        <v>6.38</v>
      </c>
      <c r="F4" s="299"/>
      <c r="G4" s="282"/>
      <c r="H4" s="282"/>
      <c r="I4" s="291"/>
    </row>
    <row r="5" spans="1:9" ht="99" customHeight="1">
      <c r="A5" s="297" t="s">
        <v>615</v>
      </c>
      <c r="B5" s="297" t="s">
        <v>714</v>
      </c>
      <c r="C5" s="298">
        <v>43714.563888888886</v>
      </c>
      <c r="D5" s="387" t="s">
        <v>616</v>
      </c>
      <c r="E5" s="299">
        <v>36.6</v>
      </c>
      <c r="F5" s="299"/>
      <c r="G5" s="282"/>
      <c r="H5" s="282"/>
      <c r="I5" s="292"/>
    </row>
    <row r="6" spans="1:9" ht="54" customHeight="1">
      <c r="A6" s="297" t="s">
        <v>617</v>
      </c>
      <c r="B6" s="297" t="s">
        <v>618</v>
      </c>
      <c r="C6" s="298">
        <v>43714.62222222222</v>
      </c>
      <c r="D6" s="387" t="s">
        <v>619</v>
      </c>
      <c r="E6" s="299">
        <v>1</v>
      </c>
      <c r="F6" s="299"/>
      <c r="G6" s="282"/>
      <c r="H6" s="282"/>
      <c r="I6" s="293"/>
    </row>
    <row r="7" spans="1:9" ht="55.5" customHeight="1">
      <c r="A7" s="297" t="s">
        <v>601</v>
      </c>
      <c r="B7" s="297" t="s">
        <v>620</v>
      </c>
      <c r="C7" s="298">
        <v>43716.557638888888</v>
      </c>
      <c r="D7" s="387" t="s">
        <v>621</v>
      </c>
      <c r="E7" s="299">
        <v>4.2699999999999996</v>
      </c>
      <c r="F7" s="299"/>
      <c r="G7" s="282"/>
      <c r="H7" s="282"/>
      <c r="I7" s="294"/>
    </row>
    <row r="8" spans="1:9" ht="55.5" customHeight="1">
      <c r="A8" s="297" t="s">
        <v>622</v>
      </c>
      <c r="B8" s="297" t="s">
        <v>623</v>
      </c>
      <c r="C8" s="298">
        <v>43716.81527777778</v>
      </c>
      <c r="D8" s="387" t="s">
        <v>624</v>
      </c>
      <c r="E8" s="299">
        <v>7.11</v>
      </c>
      <c r="F8" s="299"/>
      <c r="G8" s="282"/>
      <c r="H8" s="282"/>
      <c r="I8" s="293"/>
    </row>
    <row r="9" spans="1:9" ht="57" customHeight="1">
      <c r="A9" s="612" t="s">
        <v>428</v>
      </c>
      <c r="B9" s="612" t="s">
        <v>625</v>
      </c>
      <c r="C9" s="386">
        <v>43717.40625</v>
      </c>
      <c r="D9" s="387" t="s">
        <v>626</v>
      </c>
      <c r="E9" s="388">
        <v>2.5</v>
      </c>
      <c r="F9" s="388"/>
      <c r="G9" s="282"/>
      <c r="H9" s="282"/>
      <c r="I9" s="293"/>
    </row>
    <row r="10" spans="1:9" ht="62.25" customHeight="1">
      <c r="A10" s="612" t="s">
        <v>427</v>
      </c>
      <c r="B10" s="612" t="s">
        <v>627</v>
      </c>
      <c r="C10" s="386">
        <v>43717.426388888889</v>
      </c>
      <c r="D10" s="387" t="s">
        <v>628</v>
      </c>
      <c r="E10" s="388">
        <v>2.2000000000000002</v>
      </c>
      <c r="F10" s="388"/>
    </row>
    <row r="11" spans="1:9" ht="62.25" customHeight="1">
      <c r="A11" s="297" t="s">
        <v>629</v>
      </c>
      <c r="B11" s="297" t="s">
        <v>715</v>
      </c>
      <c r="C11" s="298">
        <v>43717.505555555559</v>
      </c>
      <c r="D11" s="387" t="s">
        <v>630</v>
      </c>
      <c r="E11" s="299">
        <v>64.900000000000006</v>
      </c>
      <c r="F11" s="299"/>
    </row>
    <row r="12" spans="1:9" ht="67.5" customHeight="1">
      <c r="A12" s="297" t="s">
        <v>622</v>
      </c>
      <c r="B12" s="297" t="s">
        <v>631</v>
      </c>
      <c r="C12" s="298">
        <v>43720.563888888886</v>
      </c>
      <c r="D12" s="387" t="s">
        <v>632</v>
      </c>
      <c r="E12" s="299">
        <v>9.26</v>
      </c>
      <c r="F12" s="299"/>
    </row>
    <row r="13" spans="1:9" ht="15.75" customHeight="1">
      <c r="C13" s="581"/>
      <c r="E13" s="296"/>
      <c r="F13" s="296"/>
    </row>
    <row r="14" spans="1:9">
      <c r="C14" s="581"/>
      <c r="E14" s="296"/>
      <c r="F14" s="296"/>
    </row>
    <row r="15" spans="1:9">
      <c r="C15" s="581"/>
      <c r="E15" s="296"/>
      <c r="F15" s="296"/>
    </row>
    <row r="16" spans="1:9">
      <c r="C16" s="581"/>
      <c r="E16" s="296"/>
      <c r="F16" s="296"/>
    </row>
    <row r="17" spans="3:6">
      <c r="C17" s="581"/>
      <c r="E17" s="296"/>
      <c r="F17" s="296"/>
    </row>
    <row r="18" spans="3:6">
      <c r="C18" s="581"/>
      <c r="E18" s="296"/>
      <c r="F18" s="296"/>
    </row>
    <row r="19" spans="3:6">
      <c r="C19" s="581"/>
      <c r="E19" s="296"/>
      <c r="F19" s="296"/>
    </row>
    <row r="20" spans="3:6">
      <c r="C20" s="581"/>
      <c r="E20" s="296"/>
      <c r="F20" s="296"/>
    </row>
    <row r="21" spans="3:6">
      <c r="C21" s="581"/>
      <c r="E21" s="296"/>
      <c r="F21" s="296"/>
    </row>
    <row r="22" spans="3:6">
      <c r="C22" s="581"/>
      <c r="E22" s="296"/>
      <c r="F22" s="296"/>
    </row>
    <row r="23" spans="3:6">
      <c r="C23" s="581"/>
      <c r="E23" s="296"/>
      <c r="F23" s="296"/>
    </row>
    <row r="24" spans="3:6">
      <c r="C24" s="581"/>
      <c r="E24" s="296"/>
      <c r="F24" s="296"/>
    </row>
    <row r="25" spans="3:6">
      <c r="C25" s="581"/>
      <c r="E25" s="296"/>
      <c r="F25" s="296"/>
    </row>
    <row r="26" spans="3:6">
      <c r="C26" s="581"/>
      <c r="E26" s="296"/>
      <c r="F26" s="296"/>
    </row>
    <row r="27" spans="3:6">
      <c r="C27" s="581"/>
      <c r="E27" s="296"/>
      <c r="F27" s="296"/>
    </row>
    <row r="28" spans="3:6">
      <c r="C28" s="581"/>
      <c r="E28" s="296"/>
      <c r="F28" s="296"/>
    </row>
    <row r="29" spans="3:6">
      <c r="C29" s="581"/>
      <c r="E29" s="296"/>
      <c r="F29" s="296"/>
    </row>
    <row r="30" spans="3:6">
      <c r="C30" s="581"/>
      <c r="E30" s="296"/>
      <c r="F30" s="296"/>
    </row>
    <row r="31" spans="3:6">
      <c r="C31" s="581"/>
      <c r="E31" s="296"/>
      <c r="F31" s="296"/>
    </row>
    <row r="32" spans="3:6">
      <c r="C32" s="581"/>
      <c r="E32" s="296"/>
      <c r="F32" s="296"/>
    </row>
    <row r="33" spans="3:6">
      <c r="C33" s="581"/>
      <c r="E33" s="296"/>
      <c r="F33" s="296"/>
    </row>
    <row r="34" spans="3:6">
      <c r="C34" s="581"/>
      <c r="E34" s="296"/>
      <c r="F34" s="296"/>
    </row>
    <row r="35" spans="3:6">
      <c r="C35" s="581"/>
      <c r="E35" s="296"/>
      <c r="F35" s="296"/>
    </row>
    <row r="36" spans="3:6">
      <c r="C36" s="581"/>
      <c r="E36" s="296"/>
      <c r="F36" s="296"/>
    </row>
    <row r="37" spans="3:6">
      <c r="C37" s="581"/>
      <c r="E37" s="296"/>
      <c r="F37" s="296"/>
    </row>
    <row r="38" spans="3:6">
      <c r="C38" s="581"/>
      <c r="E38" s="296"/>
      <c r="F38" s="296"/>
    </row>
    <row r="39" spans="3:6">
      <c r="C39" s="581"/>
      <c r="E39" s="296"/>
      <c r="F39" s="296"/>
    </row>
    <row r="40" spans="3:6">
      <c r="C40" s="581"/>
      <c r="E40" s="296"/>
      <c r="F40" s="296"/>
    </row>
    <row r="41" spans="3:6">
      <c r="C41" s="581"/>
      <c r="E41" s="296"/>
      <c r="F41" s="296"/>
    </row>
    <row r="42" spans="3:6">
      <c r="C42" s="581"/>
      <c r="E42" s="296"/>
      <c r="F42" s="296"/>
    </row>
    <row r="43" spans="3:6">
      <c r="C43" s="581"/>
      <c r="E43" s="296"/>
      <c r="F43" s="296"/>
    </row>
    <row r="44" spans="3:6">
      <c r="C44" s="581"/>
      <c r="E44" s="296"/>
      <c r="F44" s="296"/>
    </row>
    <row r="45" spans="3:6">
      <c r="C45" s="581"/>
      <c r="E45" s="296"/>
      <c r="F45" s="296"/>
    </row>
    <row r="46" spans="3:6">
      <c r="C46" s="581"/>
      <c r="E46" s="296"/>
      <c r="F46" s="296"/>
    </row>
    <row r="47" spans="3:6">
      <c r="C47" s="581"/>
      <c r="E47" s="296"/>
      <c r="F47" s="296"/>
    </row>
    <row r="48" spans="3:6">
      <c r="C48" s="581"/>
      <c r="E48" s="296"/>
      <c r="F48" s="296"/>
    </row>
    <row r="49" spans="3:6">
      <c r="C49" s="581"/>
      <c r="E49" s="296"/>
      <c r="F49" s="296"/>
    </row>
    <row r="50" spans="3:6">
      <c r="C50" s="581"/>
      <c r="E50" s="296"/>
      <c r="F50" s="296"/>
    </row>
    <row r="51" spans="3:6">
      <c r="C51" s="581"/>
      <c r="E51" s="296"/>
      <c r="F51" s="296"/>
    </row>
    <row r="52" spans="3:6">
      <c r="C52" s="581"/>
      <c r="E52" s="296"/>
      <c r="F52" s="296"/>
    </row>
    <row r="53" spans="3:6">
      <c r="C53" s="581"/>
      <c r="E53" s="296"/>
      <c r="F53" s="296"/>
    </row>
    <row r="54" spans="3:6">
      <c r="C54" s="581"/>
      <c r="E54" s="296"/>
      <c r="F54" s="296"/>
    </row>
    <row r="55" spans="3:6">
      <c r="C55" s="581"/>
      <c r="E55" s="296"/>
      <c r="F55" s="296"/>
    </row>
    <row r="56" spans="3:6">
      <c r="C56" s="581"/>
      <c r="E56" s="296"/>
      <c r="F56" s="296"/>
    </row>
    <row r="57" spans="3:6">
      <c r="C57" s="581"/>
      <c r="E57" s="296"/>
      <c r="F57" s="296"/>
    </row>
    <row r="58" spans="3:6">
      <c r="C58" s="581"/>
      <c r="E58" s="296"/>
      <c r="F58" s="296"/>
    </row>
    <row r="59" spans="3:6">
      <c r="C59" s="581"/>
      <c r="E59" s="296"/>
      <c r="F59" s="296"/>
    </row>
    <row r="60" spans="3:6">
      <c r="C60" s="581"/>
      <c r="E60" s="296"/>
      <c r="F60" s="296"/>
    </row>
    <row r="61" spans="3:6">
      <c r="C61" s="581"/>
      <c r="E61" s="296"/>
      <c r="F61" s="296"/>
    </row>
    <row r="62" spans="3:6">
      <c r="C62" s="581"/>
      <c r="E62" s="296"/>
      <c r="F62" s="296"/>
    </row>
    <row r="63" spans="3:6">
      <c r="C63" s="581"/>
      <c r="E63" s="296"/>
      <c r="F63" s="296"/>
    </row>
    <row r="64" spans="3:6">
      <c r="C64" s="581"/>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row r="112" spans="5:6">
      <c r="E112" s="296"/>
      <c r="F112" s="296"/>
    </row>
    <row r="113" spans="5:6">
      <c r="E113" s="296"/>
      <c r="F113" s="296"/>
    </row>
    <row r="114" spans="5:6">
      <c r="E114" s="296"/>
      <c r="F114" s="296"/>
    </row>
    <row r="115" spans="5:6">
      <c r="E115" s="296"/>
      <c r="F115" s="296"/>
    </row>
    <row r="116" spans="5:6">
      <c r="E116" s="296"/>
      <c r="F116" s="296"/>
    </row>
    <row r="117" spans="5:6">
      <c r="E117" s="296"/>
      <c r="F117" s="296"/>
    </row>
    <row r="118" spans="5:6">
      <c r="E118" s="296"/>
      <c r="F118" s="296"/>
    </row>
    <row r="119" spans="5:6">
      <c r="E119" s="296"/>
      <c r="F119" s="296"/>
    </row>
    <row r="120" spans="5:6">
      <c r="E120" s="296"/>
      <c r="F120" s="296"/>
    </row>
    <row r="121" spans="5:6">
      <c r="E121" s="296"/>
      <c r="F121" s="296"/>
    </row>
    <row r="122" spans="5:6">
      <c r="E122" s="296"/>
      <c r="F122" s="296"/>
    </row>
    <row r="123" spans="5:6">
      <c r="E123" s="296"/>
      <c r="F123" s="296"/>
    </row>
    <row r="124" spans="5:6">
      <c r="E124" s="296"/>
      <c r="F124" s="296"/>
    </row>
    <row r="125" spans="5:6">
      <c r="E125" s="296"/>
      <c r="F125" s="296"/>
    </row>
    <row r="126" spans="5:6">
      <c r="E126" s="296"/>
      <c r="F126" s="296"/>
    </row>
    <row r="127" spans="5:6">
      <c r="E127" s="296"/>
      <c r="F127" s="296"/>
    </row>
    <row r="128" spans="5:6">
      <c r="E128" s="296"/>
      <c r="F128" s="296"/>
    </row>
    <row r="129" spans="5:6">
      <c r="E129" s="296"/>
      <c r="F129" s="296"/>
    </row>
    <row r="130" spans="5:6">
      <c r="E130" s="296"/>
      <c r="F130" s="296"/>
    </row>
    <row r="131" spans="5:6">
      <c r="E131" s="296"/>
      <c r="F131" s="296"/>
    </row>
    <row r="132" spans="5:6">
      <c r="E132" s="296"/>
      <c r="F132" s="296"/>
    </row>
    <row r="133" spans="5:6">
      <c r="E133" s="296"/>
      <c r="F133" s="296"/>
    </row>
    <row r="134" spans="5:6">
      <c r="E134" s="296"/>
      <c r="F134" s="296"/>
    </row>
    <row r="135" spans="5:6">
      <c r="E135" s="296"/>
      <c r="F135" s="296"/>
    </row>
    <row r="136" spans="5:6">
      <c r="E136" s="296"/>
      <c r="F136" s="296"/>
    </row>
    <row r="137" spans="5:6">
      <c r="E137" s="296"/>
      <c r="F137" s="296"/>
    </row>
    <row r="138" spans="5:6">
      <c r="E138" s="296"/>
      <c r="F138" s="296"/>
    </row>
    <row r="139" spans="5:6">
      <c r="E139" s="296"/>
      <c r="F139" s="296"/>
    </row>
    <row r="140" spans="5:6">
      <c r="E140" s="296"/>
      <c r="F140" s="296"/>
    </row>
    <row r="141" spans="5:6">
      <c r="E141" s="296"/>
      <c r="F141" s="296"/>
    </row>
    <row r="142" spans="5:6">
      <c r="E142" s="296"/>
      <c r="F142" s="296"/>
    </row>
    <row r="143" spans="5:6">
      <c r="E143" s="296"/>
      <c r="F143" s="296"/>
    </row>
    <row r="144" spans="5:6">
      <c r="E144" s="296"/>
      <c r="F144" s="296"/>
    </row>
    <row r="145" spans="5:6">
      <c r="E145" s="296"/>
      <c r="F145" s="296"/>
    </row>
    <row r="146" spans="5:6">
      <c r="E146" s="296"/>
      <c r="F146" s="296"/>
    </row>
    <row r="147" spans="5:6">
      <c r="E147" s="296"/>
      <c r="F147" s="296"/>
    </row>
    <row r="148" spans="5:6">
      <c r="E148" s="296"/>
      <c r="F148" s="296"/>
    </row>
    <row r="149" spans="5:6">
      <c r="E149" s="296"/>
      <c r="F149" s="296"/>
    </row>
    <row r="150" spans="5:6">
      <c r="E150" s="296"/>
      <c r="F150" s="296"/>
    </row>
    <row r="151" spans="5:6">
      <c r="E151" s="296"/>
      <c r="F151" s="296"/>
    </row>
    <row r="152" spans="5:6">
      <c r="E152" s="296"/>
      <c r="F152" s="296"/>
    </row>
    <row r="153" spans="5:6">
      <c r="E153" s="296"/>
      <c r="F153" s="296"/>
    </row>
    <row r="154" spans="5:6">
      <c r="E154" s="296"/>
      <c r="F154" s="296"/>
    </row>
    <row r="155" spans="5:6">
      <c r="E155" s="296"/>
      <c r="F155" s="296"/>
    </row>
    <row r="156" spans="5:6">
      <c r="E156" s="296"/>
      <c r="F156" s="296"/>
    </row>
    <row r="157" spans="5:6">
      <c r="E157" s="296"/>
      <c r="F157" s="296"/>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4"/>
  </sheetPr>
  <dimension ref="A1:I132"/>
  <sheetViews>
    <sheetView showGridLines="0" view="pageBreakPreview" zoomScale="145" zoomScaleNormal="100" zoomScaleSheetLayoutView="145" zoomScalePageLayoutView="120" workbookViewId="0"/>
  </sheetViews>
  <sheetFormatPr defaultColWidth="9.33203125" defaultRowHeight="9"/>
  <cols>
    <col min="1" max="1" width="16.1640625" style="289" customWidth="1"/>
    <col min="2" max="2" width="19.6640625" style="289" customWidth="1"/>
    <col min="3" max="3" width="1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30" customHeight="1">
      <c r="A1" s="551" t="s">
        <v>261</v>
      </c>
      <c r="B1" s="552" t="s">
        <v>423</v>
      </c>
      <c r="C1" s="551" t="s">
        <v>412</v>
      </c>
      <c r="D1" s="553" t="s">
        <v>424</v>
      </c>
      <c r="E1" s="554" t="s">
        <v>425</v>
      </c>
      <c r="F1" s="554" t="s">
        <v>426</v>
      </c>
      <c r="G1" s="283"/>
      <c r="H1" s="290"/>
      <c r="I1" s="281"/>
    </row>
    <row r="2" spans="1:9" ht="94.5" customHeight="1">
      <c r="A2" s="297" t="s">
        <v>428</v>
      </c>
      <c r="B2" s="297" t="s">
        <v>633</v>
      </c>
      <c r="C2" s="298">
        <v>43720.588194444441</v>
      </c>
      <c r="D2" s="387" t="s">
        <v>634</v>
      </c>
      <c r="E2" s="299">
        <v>16</v>
      </c>
      <c r="F2" s="299"/>
      <c r="G2" s="282"/>
      <c r="H2" s="282"/>
      <c r="I2" s="293"/>
    </row>
    <row r="3" spans="1:9" ht="42.75" customHeight="1">
      <c r="A3" s="297" t="s">
        <v>635</v>
      </c>
      <c r="B3" s="297" t="s">
        <v>636</v>
      </c>
      <c r="C3" s="298">
        <v>43723.404861111114</v>
      </c>
      <c r="D3" s="387" t="s">
        <v>637</v>
      </c>
      <c r="E3" s="299">
        <v>12.76</v>
      </c>
      <c r="F3" s="299"/>
      <c r="G3" s="282"/>
      <c r="H3" s="282"/>
      <c r="I3" s="293"/>
    </row>
    <row r="4" spans="1:9" ht="62.25" customHeight="1">
      <c r="A4" s="297" t="s">
        <v>428</v>
      </c>
      <c r="B4" s="297" t="s">
        <v>638</v>
      </c>
      <c r="C4" s="298">
        <v>43723.694444444445</v>
      </c>
      <c r="D4" s="387" t="s">
        <v>639</v>
      </c>
      <c r="E4" s="299"/>
      <c r="F4" s="299">
        <v>62.76</v>
      </c>
      <c r="G4" s="282"/>
      <c r="H4" s="282"/>
      <c r="I4" s="293"/>
    </row>
    <row r="5" spans="1:9" ht="83.25" customHeight="1">
      <c r="A5" s="297" t="s">
        <v>640</v>
      </c>
      <c r="B5" s="297" t="s">
        <v>641</v>
      </c>
      <c r="C5" s="298">
        <v>43726.713194444441</v>
      </c>
      <c r="D5" s="387" t="s">
        <v>642</v>
      </c>
      <c r="E5" s="299">
        <v>26.89</v>
      </c>
      <c r="F5" s="299"/>
      <c r="G5" s="282"/>
      <c r="H5" s="282"/>
      <c r="I5" s="294"/>
    </row>
    <row r="6" spans="1:9" ht="60.75" customHeight="1">
      <c r="A6" s="297" t="s">
        <v>635</v>
      </c>
      <c r="B6" s="297" t="s">
        <v>643</v>
      </c>
      <c r="C6" s="298">
        <v>43727.241666666669</v>
      </c>
      <c r="D6" s="387" t="s">
        <v>644</v>
      </c>
      <c r="E6" s="299">
        <v>7.61</v>
      </c>
      <c r="F6" s="299"/>
      <c r="G6" s="282"/>
      <c r="H6" s="282"/>
      <c r="I6" s="293"/>
    </row>
    <row r="7" spans="1:9" ht="85.5" customHeight="1">
      <c r="A7" s="297" t="s">
        <v>645</v>
      </c>
      <c r="B7" s="297" t="s">
        <v>646</v>
      </c>
      <c r="C7" s="298">
        <v>43727.311805555553</v>
      </c>
      <c r="D7" s="387" t="s">
        <v>647</v>
      </c>
      <c r="E7" s="299">
        <v>32.119999999999997</v>
      </c>
      <c r="F7" s="299"/>
      <c r="G7" s="282"/>
      <c r="H7" s="282"/>
      <c r="I7" s="293"/>
    </row>
    <row r="8" spans="1:9" ht="57" customHeight="1">
      <c r="A8" s="297" t="s">
        <v>635</v>
      </c>
      <c r="B8" s="297" t="s">
        <v>643</v>
      </c>
      <c r="C8" s="298">
        <v>43730.113194444442</v>
      </c>
      <c r="D8" s="387" t="s">
        <v>648</v>
      </c>
      <c r="E8" s="299">
        <v>4</v>
      </c>
      <c r="F8" s="299"/>
      <c r="G8" s="282"/>
      <c r="H8" s="282"/>
      <c r="I8" s="293"/>
    </row>
    <row r="9" spans="1:9" ht="54.75" customHeight="1">
      <c r="A9" s="297" t="s">
        <v>635</v>
      </c>
      <c r="B9" s="297" t="s">
        <v>643</v>
      </c>
      <c r="C9" s="298">
        <v>43730.196527777778</v>
      </c>
      <c r="D9" s="387" t="s">
        <v>649</v>
      </c>
      <c r="E9" s="299">
        <v>4</v>
      </c>
      <c r="F9" s="299"/>
    </row>
    <row r="10" spans="1:9" ht="59.25" customHeight="1">
      <c r="A10" s="297" t="s">
        <v>427</v>
      </c>
      <c r="B10" s="297" t="s">
        <v>650</v>
      </c>
      <c r="C10" s="298">
        <v>43730.309027777781</v>
      </c>
      <c r="D10" s="387" t="s">
        <v>651</v>
      </c>
      <c r="E10" s="299">
        <v>9.68</v>
      </c>
      <c r="F10" s="299"/>
    </row>
    <row r="11" spans="1:9" ht="81" customHeight="1">
      <c r="A11" s="297" t="s">
        <v>640</v>
      </c>
      <c r="B11" s="297" t="s">
        <v>641</v>
      </c>
      <c r="C11" s="298">
        <v>43730.699305555558</v>
      </c>
      <c r="D11" s="387" t="s">
        <v>652</v>
      </c>
      <c r="E11" s="299"/>
      <c r="F11" s="299">
        <v>60</v>
      </c>
    </row>
    <row r="12" spans="1:9">
      <c r="E12" s="296"/>
      <c r="F12" s="296"/>
    </row>
    <row r="13" spans="1:9">
      <c r="E13" s="296"/>
      <c r="F13" s="296"/>
    </row>
    <row r="14" spans="1:9">
      <c r="E14" s="296"/>
      <c r="F14" s="296"/>
    </row>
    <row r="15" spans="1:9">
      <c r="E15" s="296"/>
      <c r="F15" s="296"/>
    </row>
    <row r="16" spans="1:9">
      <c r="E16" s="296"/>
      <c r="F16" s="296"/>
    </row>
    <row r="17" spans="5:6">
      <c r="E17" s="296"/>
      <c r="F17" s="296"/>
    </row>
    <row r="18" spans="5:6">
      <c r="E18" s="296"/>
      <c r="F18" s="296"/>
    </row>
    <row r="19" spans="5:6">
      <c r="E19" s="296"/>
      <c r="F19" s="296"/>
    </row>
    <row r="20" spans="5:6">
      <c r="E20" s="296"/>
      <c r="F20" s="296"/>
    </row>
    <row r="21" spans="5:6">
      <c r="E21" s="296"/>
      <c r="F21" s="296"/>
    </row>
    <row r="22" spans="5:6">
      <c r="E22" s="296"/>
      <c r="F22" s="296"/>
    </row>
    <row r="23" spans="5:6">
      <c r="E23" s="296"/>
      <c r="F23" s="296"/>
    </row>
    <row r="24" spans="5:6">
      <c r="E24" s="296"/>
      <c r="F24" s="296"/>
    </row>
    <row r="25" spans="5:6">
      <c r="E25" s="296"/>
      <c r="F25" s="296"/>
    </row>
    <row r="26" spans="5:6">
      <c r="E26" s="296"/>
      <c r="F26" s="296"/>
    </row>
    <row r="27" spans="5:6">
      <c r="E27" s="296"/>
      <c r="F27" s="296"/>
    </row>
    <row r="28" spans="5:6">
      <c r="E28" s="296"/>
      <c r="F28" s="296"/>
    </row>
    <row r="29" spans="5:6">
      <c r="E29" s="296"/>
      <c r="F29" s="296"/>
    </row>
    <row r="30" spans="5:6">
      <c r="E30" s="296"/>
      <c r="F30" s="296"/>
    </row>
    <row r="31" spans="5:6">
      <c r="E31" s="296"/>
      <c r="F31" s="296"/>
    </row>
    <row r="32" spans="5:6">
      <c r="E32" s="296"/>
      <c r="F32" s="296"/>
    </row>
    <row r="33" spans="5:6">
      <c r="E33" s="296"/>
      <c r="F33" s="296"/>
    </row>
    <row r="34" spans="5:6">
      <c r="E34" s="296"/>
      <c r="F34" s="296"/>
    </row>
    <row r="35" spans="5:6">
      <c r="E35" s="296"/>
      <c r="F35" s="296"/>
    </row>
    <row r="36" spans="5:6">
      <c r="E36" s="296"/>
      <c r="F36" s="296"/>
    </row>
    <row r="37" spans="5:6">
      <c r="E37" s="296"/>
      <c r="F37" s="296"/>
    </row>
    <row r="38" spans="5:6">
      <c r="E38" s="296"/>
      <c r="F38" s="296"/>
    </row>
    <row r="39" spans="5:6">
      <c r="E39" s="296"/>
      <c r="F39" s="296"/>
    </row>
    <row r="40" spans="5:6">
      <c r="E40" s="296"/>
      <c r="F40" s="296"/>
    </row>
    <row r="41" spans="5:6">
      <c r="E41" s="296"/>
      <c r="F41" s="296"/>
    </row>
    <row r="42" spans="5:6">
      <c r="E42" s="296"/>
      <c r="F42" s="296"/>
    </row>
    <row r="43" spans="5:6">
      <c r="E43" s="296"/>
      <c r="F43" s="296"/>
    </row>
    <row r="44" spans="5:6">
      <c r="E44" s="296"/>
      <c r="F44" s="296"/>
    </row>
    <row r="45" spans="5:6">
      <c r="E45" s="296"/>
      <c r="F45" s="296"/>
    </row>
    <row r="46" spans="5:6">
      <c r="E46" s="296"/>
      <c r="F46" s="296"/>
    </row>
    <row r="47" spans="5:6">
      <c r="E47" s="296"/>
      <c r="F47" s="296"/>
    </row>
    <row r="48" spans="5:6">
      <c r="E48" s="296"/>
      <c r="F48" s="296"/>
    </row>
    <row r="49" spans="5:6">
      <c r="E49" s="296"/>
      <c r="F49" s="296"/>
    </row>
    <row r="50" spans="5:6">
      <c r="E50" s="296"/>
      <c r="F50" s="296"/>
    </row>
    <row r="51" spans="5:6">
      <c r="E51" s="296"/>
      <c r="F51" s="296"/>
    </row>
    <row r="52" spans="5:6">
      <c r="E52" s="296"/>
      <c r="F52" s="296"/>
    </row>
    <row r="53" spans="5:6">
      <c r="E53" s="296"/>
      <c r="F53" s="296"/>
    </row>
    <row r="54" spans="5:6">
      <c r="E54" s="296"/>
      <c r="F54" s="296"/>
    </row>
    <row r="55" spans="5:6">
      <c r="E55" s="296"/>
      <c r="F55" s="296"/>
    </row>
    <row r="56" spans="5:6">
      <c r="E56" s="296"/>
      <c r="F56" s="296"/>
    </row>
    <row r="57" spans="5:6">
      <c r="E57" s="296"/>
      <c r="F57" s="296"/>
    </row>
    <row r="58" spans="5:6">
      <c r="E58" s="296"/>
      <c r="F58" s="296"/>
    </row>
    <row r="59" spans="5:6">
      <c r="E59" s="296"/>
      <c r="F59" s="296"/>
    </row>
    <row r="60" spans="5:6">
      <c r="E60" s="296"/>
      <c r="F60" s="296"/>
    </row>
    <row r="61" spans="5:6">
      <c r="E61" s="296"/>
      <c r="F61" s="296"/>
    </row>
    <row r="62" spans="5:6">
      <c r="E62" s="296"/>
      <c r="F62" s="296"/>
    </row>
    <row r="63" spans="5:6">
      <c r="E63" s="296"/>
      <c r="F63" s="296"/>
    </row>
    <row r="64" spans="5:6">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row r="112" spans="5:6">
      <c r="E112" s="296"/>
      <c r="F112" s="296"/>
    </row>
    <row r="113" spans="5:6">
      <c r="E113" s="296"/>
      <c r="F113" s="296"/>
    </row>
    <row r="114" spans="5:6">
      <c r="E114" s="296"/>
      <c r="F114" s="296"/>
    </row>
    <row r="115" spans="5:6">
      <c r="E115" s="296"/>
      <c r="F115" s="296"/>
    </row>
    <row r="116" spans="5:6">
      <c r="E116" s="296"/>
      <c r="F116" s="296"/>
    </row>
    <row r="117" spans="5:6">
      <c r="E117" s="296"/>
      <c r="F117" s="296"/>
    </row>
    <row r="118" spans="5:6">
      <c r="E118" s="296"/>
      <c r="F118" s="296"/>
    </row>
    <row r="119" spans="5:6">
      <c r="E119" s="296"/>
      <c r="F119" s="296"/>
    </row>
    <row r="120" spans="5:6">
      <c r="E120" s="296"/>
      <c r="F120" s="296"/>
    </row>
    <row r="121" spans="5:6">
      <c r="E121" s="296"/>
      <c r="F121" s="296"/>
    </row>
    <row r="122" spans="5:6">
      <c r="E122" s="296"/>
      <c r="F122" s="296"/>
    </row>
    <row r="123" spans="5:6">
      <c r="E123" s="296"/>
      <c r="F123" s="296"/>
    </row>
    <row r="124" spans="5:6">
      <c r="E124" s="296"/>
      <c r="F124" s="296"/>
    </row>
    <row r="125" spans="5:6">
      <c r="E125" s="296"/>
      <c r="F125" s="296"/>
    </row>
    <row r="126" spans="5:6">
      <c r="E126" s="296"/>
      <c r="F126" s="296"/>
    </row>
    <row r="127" spans="5:6">
      <c r="E127" s="296"/>
      <c r="F127" s="296"/>
    </row>
    <row r="128" spans="5:6">
      <c r="E128" s="296"/>
      <c r="F128" s="296"/>
    </row>
    <row r="129" spans="5:6">
      <c r="E129" s="296"/>
      <c r="F129" s="296"/>
    </row>
    <row r="130" spans="5:6">
      <c r="E130" s="296"/>
      <c r="F130" s="296"/>
    </row>
    <row r="131" spans="5:6">
      <c r="E131" s="296"/>
      <c r="F131" s="296"/>
    </row>
    <row r="132" spans="5:6">
      <c r="E132" s="296"/>
      <c r="F132" s="296"/>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tabColor theme="4"/>
  </sheetPr>
  <dimension ref="A1:I113"/>
  <sheetViews>
    <sheetView showGridLines="0" view="pageBreakPreview" zoomScale="145" zoomScaleNormal="100" zoomScaleSheetLayoutView="145" zoomScalePageLayoutView="145" workbookViewId="0"/>
  </sheetViews>
  <sheetFormatPr defaultColWidth="9.33203125" defaultRowHeight="9"/>
  <cols>
    <col min="1" max="1" width="16.1640625" style="289" customWidth="1"/>
    <col min="2" max="2" width="19.6640625" style="289" customWidth="1"/>
    <col min="3" max="3" width="1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30" customHeight="1">
      <c r="A1" s="551" t="s">
        <v>261</v>
      </c>
      <c r="B1" s="552" t="s">
        <v>423</v>
      </c>
      <c r="C1" s="551" t="s">
        <v>412</v>
      </c>
      <c r="D1" s="553" t="s">
        <v>424</v>
      </c>
      <c r="E1" s="554" t="s">
        <v>425</v>
      </c>
      <c r="F1" s="554" t="s">
        <v>426</v>
      </c>
      <c r="G1" s="283"/>
      <c r="H1" s="290"/>
      <c r="I1" s="281"/>
    </row>
    <row r="2" spans="1:9" ht="62.25" customHeight="1">
      <c r="A2" s="297" t="s">
        <v>653</v>
      </c>
      <c r="B2" s="297" t="s">
        <v>654</v>
      </c>
      <c r="C2" s="298">
        <v>43731.364583333336</v>
      </c>
      <c r="D2" s="387" t="s">
        <v>655</v>
      </c>
      <c r="E2" s="299">
        <v>7.46</v>
      </c>
      <c r="F2" s="299"/>
      <c r="G2" s="282"/>
      <c r="H2" s="282"/>
      <c r="I2" s="293"/>
    </row>
    <row r="3" spans="1:9" ht="52.5" customHeight="1">
      <c r="A3" s="297" t="s">
        <v>656</v>
      </c>
      <c r="B3" s="297" t="s">
        <v>657</v>
      </c>
      <c r="C3" s="298">
        <v>43733.189583333333</v>
      </c>
      <c r="D3" s="387" t="s">
        <v>658</v>
      </c>
      <c r="E3" s="299">
        <v>0.7</v>
      </c>
      <c r="F3" s="299"/>
      <c r="G3" s="282"/>
      <c r="H3" s="282"/>
      <c r="I3" s="293"/>
    </row>
    <row r="4" spans="1:9" ht="58.5" customHeight="1">
      <c r="A4" s="297" t="s">
        <v>659</v>
      </c>
      <c r="B4" s="297" t="s">
        <v>660</v>
      </c>
      <c r="C4" s="298">
        <v>43733.784722222219</v>
      </c>
      <c r="D4" s="387" t="s">
        <v>661</v>
      </c>
      <c r="E4" s="299">
        <v>0.52</v>
      </c>
      <c r="F4" s="299"/>
      <c r="G4" s="282"/>
      <c r="H4" s="282"/>
      <c r="I4" s="293"/>
    </row>
    <row r="5" spans="1:9" ht="91.5" customHeight="1">
      <c r="A5" s="297" t="s">
        <v>659</v>
      </c>
      <c r="B5" s="297" t="s">
        <v>662</v>
      </c>
      <c r="C5" s="298">
        <v>43733.789583333331</v>
      </c>
      <c r="D5" s="387" t="s">
        <v>663</v>
      </c>
      <c r="E5" s="299">
        <v>9.15</v>
      </c>
      <c r="F5" s="299"/>
      <c r="G5" s="282"/>
      <c r="H5" s="282"/>
      <c r="I5" s="293"/>
    </row>
    <row r="6" spans="1:9" ht="69" customHeight="1">
      <c r="A6" s="297" t="s">
        <v>635</v>
      </c>
      <c r="B6" s="297" t="s">
        <v>643</v>
      </c>
      <c r="C6" s="298">
        <v>43735.125694444447</v>
      </c>
      <c r="D6" s="387" t="s">
        <v>664</v>
      </c>
      <c r="E6" s="299">
        <v>7.68</v>
      </c>
      <c r="F6" s="299"/>
      <c r="G6" s="282"/>
      <c r="H6" s="282"/>
      <c r="I6" s="295"/>
    </row>
    <row r="7" spans="1:9" ht="57.75" customHeight="1">
      <c r="A7" s="297" t="s">
        <v>665</v>
      </c>
      <c r="B7" s="297" t="s">
        <v>666</v>
      </c>
      <c r="C7" s="298">
        <v>43735.78125</v>
      </c>
      <c r="D7" s="387" t="s">
        <v>667</v>
      </c>
      <c r="E7" s="299">
        <v>11.53</v>
      </c>
      <c r="F7" s="299"/>
    </row>
    <row r="8" spans="1:9" ht="58.5" customHeight="1">
      <c r="A8" s="829" t="s">
        <v>659</v>
      </c>
      <c r="B8" s="829" t="s">
        <v>660</v>
      </c>
      <c r="C8" s="830">
        <v>43736.503472222219</v>
      </c>
      <c r="D8" s="831" t="s">
        <v>668</v>
      </c>
      <c r="E8" s="832">
        <v>2.2999999999999998</v>
      </c>
      <c r="F8" s="832"/>
    </row>
    <row r="9" spans="1:9" ht="59.25" customHeight="1">
      <c r="A9" s="833" t="s">
        <v>665</v>
      </c>
      <c r="B9" s="833" t="s">
        <v>669</v>
      </c>
      <c r="C9" s="834">
        <v>43737.590277777781</v>
      </c>
      <c r="D9" s="835" t="s">
        <v>670</v>
      </c>
      <c r="E9" s="836">
        <v>22.81</v>
      </c>
      <c r="F9" s="836"/>
    </row>
    <row r="10" spans="1:9" ht="87" customHeight="1">
      <c r="A10" s="833" t="s">
        <v>428</v>
      </c>
      <c r="B10" s="833" t="s">
        <v>716</v>
      </c>
      <c r="C10" s="834">
        <v>43738.474305555559</v>
      </c>
      <c r="D10" s="835" t="s">
        <v>671</v>
      </c>
      <c r="E10" s="836">
        <v>34.700000000000003</v>
      </c>
      <c r="F10" s="836"/>
    </row>
    <row r="11" spans="1:9" ht="96" customHeight="1">
      <c r="A11" s="833" t="s">
        <v>428</v>
      </c>
      <c r="B11" s="833" t="s">
        <v>717</v>
      </c>
      <c r="C11" s="834">
        <v>43738.736111111109</v>
      </c>
      <c r="D11" s="835" t="s">
        <v>672</v>
      </c>
      <c r="E11" s="836">
        <v>131.16</v>
      </c>
      <c r="F11" s="836"/>
    </row>
    <row r="12" spans="1:9" ht="60" customHeight="1">
      <c r="A12" s="297" t="s">
        <v>673</v>
      </c>
      <c r="B12" s="297" t="s">
        <v>674</v>
      </c>
      <c r="C12" s="298">
        <v>43738.870138888888</v>
      </c>
      <c r="D12" s="387" t="s">
        <v>675</v>
      </c>
      <c r="E12" s="299">
        <v>12</v>
      </c>
      <c r="F12" s="299"/>
    </row>
    <row r="13" spans="1:9">
      <c r="A13" s="712"/>
      <c r="B13" s="712"/>
      <c r="C13" s="788"/>
      <c r="D13" s="789"/>
      <c r="E13" s="790"/>
      <c r="F13" s="790"/>
    </row>
    <row r="14" spans="1:9">
      <c r="E14" s="296"/>
      <c r="F14" s="296"/>
    </row>
    <row r="15" spans="1:9">
      <c r="E15" s="296"/>
      <c r="F15" s="296"/>
    </row>
    <row r="16" spans="1:9">
      <c r="E16" s="296"/>
      <c r="F16" s="296"/>
    </row>
    <row r="17" spans="5:6">
      <c r="E17" s="296"/>
      <c r="F17" s="296"/>
    </row>
    <row r="18" spans="5:6">
      <c r="E18" s="296"/>
      <c r="F18" s="296"/>
    </row>
    <row r="19" spans="5:6">
      <c r="E19" s="296"/>
      <c r="F19" s="296"/>
    </row>
    <row r="20" spans="5:6">
      <c r="E20" s="296"/>
      <c r="F20" s="296"/>
    </row>
    <row r="21" spans="5:6">
      <c r="E21" s="296"/>
      <c r="F21" s="296"/>
    </row>
    <row r="22" spans="5:6">
      <c r="E22" s="296"/>
      <c r="F22" s="296"/>
    </row>
    <row r="23" spans="5:6">
      <c r="E23" s="296"/>
      <c r="F23" s="296"/>
    </row>
    <row r="24" spans="5:6">
      <c r="E24" s="296"/>
      <c r="F24" s="296"/>
    </row>
    <row r="25" spans="5:6">
      <c r="E25" s="296"/>
      <c r="F25" s="296"/>
    </row>
    <row r="26" spans="5:6">
      <c r="E26" s="296"/>
      <c r="F26" s="296"/>
    </row>
    <row r="27" spans="5:6">
      <c r="E27" s="296"/>
      <c r="F27" s="296"/>
    </row>
    <row r="28" spans="5:6">
      <c r="E28" s="296"/>
      <c r="F28" s="296"/>
    </row>
    <row r="29" spans="5:6">
      <c r="E29" s="296"/>
      <c r="F29" s="296"/>
    </row>
    <row r="30" spans="5:6">
      <c r="E30" s="296"/>
      <c r="F30" s="296"/>
    </row>
    <row r="31" spans="5:6">
      <c r="E31" s="296"/>
      <c r="F31" s="296"/>
    </row>
    <row r="32" spans="5:6">
      <c r="E32" s="296"/>
      <c r="F32" s="296"/>
    </row>
    <row r="33" spans="5:6">
      <c r="E33" s="296"/>
      <c r="F33" s="296"/>
    </row>
    <row r="34" spans="5:6">
      <c r="E34" s="296"/>
      <c r="F34" s="296"/>
    </row>
    <row r="35" spans="5:6">
      <c r="E35" s="296"/>
      <c r="F35" s="296"/>
    </row>
    <row r="36" spans="5:6">
      <c r="E36" s="296"/>
      <c r="F36" s="296"/>
    </row>
    <row r="37" spans="5:6">
      <c r="E37" s="296"/>
      <c r="F37" s="296"/>
    </row>
    <row r="38" spans="5:6">
      <c r="E38" s="296"/>
      <c r="F38" s="296"/>
    </row>
    <row r="39" spans="5:6">
      <c r="E39" s="296"/>
      <c r="F39" s="296"/>
    </row>
    <row r="40" spans="5:6">
      <c r="E40" s="296"/>
      <c r="F40" s="296"/>
    </row>
    <row r="41" spans="5:6">
      <c r="E41" s="296"/>
      <c r="F41" s="296"/>
    </row>
    <row r="42" spans="5:6">
      <c r="E42" s="296"/>
      <c r="F42" s="296"/>
    </row>
    <row r="43" spans="5:6">
      <c r="E43" s="296"/>
      <c r="F43" s="296"/>
    </row>
    <row r="44" spans="5:6">
      <c r="E44" s="296"/>
      <c r="F44" s="296"/>
    </row>
    <row r="45" spans="5:6">
      <c r="E45" s="296"/>
      <c r="F45" s="296"/>
    </row>
    <row r="46" spans="5:6">
      <c r="E46" s="296"/>
      <c r="F46" s="296"/>
    </row>
    <row r="47" spans="5:6">
      <c r="E47" s="296"/>
      <c r="F47" s="296"/>
    </row>
    <row r="48" spans="5:6">
      <c r="E48" s="296"/>
      <c r="F48" s="296"/>
    </row>
    <row r="49" spans="5:6">
      <c r="E49" s="296"/>
      <c r="F49" s="296"/>
    </row>
    <row r="50" spans="5:6">
      <c r="E50" s="296"/>
      <c r="F50" s="296"/>
    </row>
    <row r="51" spans="5:6">
      <c r="E51" s="296"/>
      <c r="F51" s="296"/>
    </row>
    <row r="52" spans="5:6">
      <c r="E52" s="296"/>
      <c r="F52" s="296"/>
    </row>
    <row r="53" spans="5:6">
      <c r="E53" s="296"/>
      <c r="F53" s="296"/>
    </row>
    <row r="54" spans="5:6">
      <c r="E54" s="296"/>
      <c r="F54" s="296"/>
    </row>
    <row r="55" spans="5:6">
      <c r="E55" s="296"/>
      <c r="F55" s="296"/>
    </row>
    <row r="56" spans="5:6">
      <c r="E56" s="296"/>
      <c r="F56" s="296"/>
    </row>
    <row r="57" spans="5:6">
      <c r="E57" s="296"/>
      <c r="F57" s="296"/>
    </row>
    <row r="58" spans="5:6">
      <c r="E58" s="296"/>
      <c r="F58" s="296"/>
    </row>
    <row r="59" spans="5:6">
      <c r="E59" s="296"/>
      <c r="F59" s="296"/>
    </row>
    <row r="60" spans="5:6">
      <c r="E60" s="296"/>
      <c r="F60" s="296"/>
    </row>
    <row r="61" spans="5:6">
      <c r="E61" s="296"/>
      <c r="F61" s="296"/>
    </row>
    <row r="62" spans="5:6">
      <c r="E62" s="296"/>
      <c r="F62" s="296"/>
    </row>
    <row r="63" spans="5:6">
      <c r="E63" s="296"/>
      <c r="F63" s="296"/>
    </row>
    <row r="64" spans="5:6">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row r="112" spans="5:6">
      <c r="E112" s="296"/>
      <c r="F112" s="296"/>
    </row>
    <row r="113" spans="5:6">
      <c r="E113" s="296"/>
      <c r="F113" s="296"/>
    </row>
  </sheetData>
  <pageMargins left="0.70866141732283472" right="0.51181102362204722"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7"/>
  <sheetViews>
    <sheetView showGridLines="0" view="pageBreakPreview" zoomScaleNormal="100" zoomScaleSheetLayoutView="100" zoomScalePageLayoutView="115" workbookViewId="0">
      <selection activeCell="P22" sqref="P22"/>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02"/>
    <col min="15" max="16" width="10.1640625" style="328" bestFit="1" customWidth="1"/>
    <col min="17" max="17" width="11.5" style="328" customWidth="1"/>
    <col min="18" max="23" width="9.33203125" style="328"/>
    <col min="24" max="16384" width="9.33203125" style="46"/>
  </cols>
  <sheetData>
    <row r="1" spans="1:17" ht="27.75" customHeight="1">
      <c r="A1" s="869" t="s">
        <v>22</v>
      </c>
      <c r="B1" s="869"/>
      <c r="C1" s="869"/>
      <c r="D1" s="869"/>
      <c r="E1" s="869"/>
      <c r="F1" s="869"/>
      <c r="G1" s="869"/>
      <c r="H1" s="869"/>
      <c r="I1" s="869"/>
      <c r="J1" s="869"/>
      <c r="K1" s="869"/>
      <c r="L1" s="869"/>
      <c r="M1" s="869"/>
      <c r="N1" s="301"/>
      <c r="O1" s="327"/>
      <c r="P1" s="327"/>
      <c r="Q1" s="327"/>
    </row>
    <row r="2" spans="1:17" ht="11.25" customHeight="1">
      <c r="A2" s="41"/>
      <c r="B2" s="40"/>
      <c r="C2" s="65"/>
      <c r="D2" s="65"/>
      <c r="E2" s="65"/>
      <c r="F2" s="65"/>
      <c r="G2" s="65"/>
      <c r="H2" s="65"/>
      <c r="I2" s="65"/>
      <c r="J2" s="65"/>
      <c r="K2" s="40"/>
      <c r="L2" s="40"/>
      <c r="M2" s="40"/>
      <c r="N2" s="301"/>
      <c r="O2" s="327"/>
      <c r="P2" s="327"/>
      <c r="Q2" s="327"/>
    </row>
    <row r="3" spans="1:17" ht="21.75" customHeight="1">
      <c r="A3" s="40"/>
      <c r="B3" s="42"/>
      <c r="C3" s="876" t="str">
        <f>+UPPER(Q4)&amp;" "&amp;Q5</f>
        <v>SETIEMBRE 2019</v>
      </c>
      <c r="D3" s="869"/>
      <c r="E3" s="869"/>
      <c r="F3" s="869"/>
      <c r="G3" s="869"/>
      <c r="H3" s="869"/>
      <c r="I3" s="869"/>
      <c r="J3" s="869"/>
      <c r="K3" s="40"/>
      <c r="L3" s="40"/>
      <c r="M3" s="40"/>
      <c r="N3" s="301"/>
      <c r="O3" s="327"/>
      <c r="P3" s="327"/>
      <c r="Q3" s="327"/>
    </row>
    <row r="4" spans="1:17" ht="11.25" customHeight="1">
      <c r="A4" s="40"/>
      <c r="B4" s="42"/>
      <c r="C4" s="40"/>
      <c r="D4" s="40"/>
      <c r="E4" s="40"/>
      <c r="F4" s="40"/>
      <c r="G4" s="40"/>
      <c r="H4" s="40"/>
      <c r="I4" s="40"/>
      <c r="J4" s="40"/>
      <c r="K4" s="40"/>
      <c r="L4" s="40"/>
      <c r="M4" s="40"/>
      <c r="N4" s="303"/>
      <c r="O4" s="329"/>
      <c r="P4" s="327" t="s">
        <v>214</v>
      </c>
      <c r="Q4" s="330" t="s">
        <v>610</v>
      </c>
    </row>
    <row r="5" spans="1:17" ht="11.25" customHeight="1">
      <c r="A5" s="47"/>
      <c r="B5" s="48"/>
      <c r="C5" s="49"/>
      <c r="D5" s="49"/>
      <c r="E5" s="49"/>
      <c r="F5" s="49"/>
      <c r="G5" s="49"/>
      <c r="H5" s="49"/>
      <c r="I5" s="49"/>
      <c r="J5" s="49"/>
      <c r="K5" s="49"/>
      <c r="L5" s="49"/>
      <c r="M5" s="40"/>
      <c r="N5" s="303"/>
      <c r="O5" s="329"/>
      <c r="P5" s="327" t="s">
        <v>215</v>
      </c>
      <c r="Q5" s="329">
        <v>2019</v>
      </c>
    </row>
    <row r="6" spans="1:17" ht="17.25" customHeight="1">
      <c r="A6" s="60" t="s">
        <v>461</v>
      </c>
      <c r="B6" s="40"/>
      <c r="C6" s="40"/>
      <c r="D6" s="40"/>
      <c r="E6" s="40"/>
      <c r="F6" s="40"/>
      <c r="G6" s="40"/>
      <c r="H6" s="40"/>
      <c r="I6" s="40"/>
      <c r="J6" s="40"/>
      <c r="K6" s="40"/>
      <c r="L6" s="40"/>
      <c r="M6" s="40"/>
      <c r="N6" s="301"/>
      <c r="O6" s="327"/>
      <c r="P6" s="327"/>
      <c r="Q6" s="336">
        <v>43709</v>
      </c>
    </row>
    <row r="7" spans="1:17" ht="11.25" customHeight="1">
      <c r="A7" s="40"/>
      <c r="B7" s="40"/>
      <c r="C7" s="40"/>
      <c r="D7" s="40"/>
      <c r="E7" s="40"/>
      <c r="F7" s="40"/>
      <c r="G7" s="40"/>
      <c r="H7" s="40"/>
      <c r="I7" s="40"/>
      <c r="J7" s="40"/>
      <c r="K7" s="40"/>
      <c r="L7" s="40"/>
      <c r="M7" s="40"/>
      <c r="N7" s="301"/>
      <c r="O7" s="327"/>
      <c r="P7" s="327"/>
      <c r="Q7" s="327">
        <v>30</v>
      </c>
    </row>
    <row r="8" spans="1:17" ht="11.25" customHeight="1">
      <c r="A8" s="43"/>
      <c r="B8" s="43"/>
      <c r="C8" s="43"/>
      <c r="D8" s="43"/>
      <c r="E8" s="43"/>
      <c r="F8" s="43"/>
      <c r="G8" s="43"/>
      <c r="H8" s="43"/>
      <c r="I8" s="43"/>
      <c r="J8" s="43"/>
      <c r="K8" s="43"/>
      <c r="L8" s="43"/>
      <c r="M8" s="43"/>
      <c r="N8" s="304"/>
      <c r="O8" s="331"/>
      <c r="P8" s="331"/>
      <c r="Q8" s="331"/>
    </row>
    <row r="9" spans="1:17" ht="14.25" customHeight="1">
      <c r="A9" s="40" t="str">
        <f>"1.1. Producción de energía eléctrica en "&amp;LOWER(Q4)&amp;" "&amp;Q5&amp;" en comparación al mismo mes del año anterior"</f>
        <v>1.1. Producción de energía eléctrica en setiembre 2019 en comparación al mismo mes del año anterior</v>
      </c>
      <c r="B9" s="40"/>
      <c r="C9" s="40"/>
      <c r="D9" s="40"/>
      <c r="E9" s="40"/>
      <c r="F9" s="40"/>
      <c r="G9" s="40"/>
      <c r="H9" s="40"/>
      <c r="I9" s="40"/>
      <c r="J9" s="40"/>
      <c r="K9" s="40"/>
      <c r="L9" s="40"/>
      <c r="M9" s="40"/>
      <c r="N9" s="301"/>
      <c r="O9" s="327"/>
      <c r="P9" s="327"/>
      <c r="Q9" s="327"/>
    </row>
    <row r="10" spans="1:17" ht="11.25" customHeight="1">
      <c r="A10" s="47"/>
      <c r="B10" s="44"/>
      <c r="C10" s="44"/>
      <c r="D10" s="44"/>
      <c r="E10" s="44"/>
      <c r="F10" s="44"/>
      <c r="G10" s="44"/>
      <c r="H10" s="44"/>
      <c r="I10" s="44"/>
      <c r="J10" s="44"/>
      <c r="K10" s="44"/>
      <c r="L10" s="44"/>
      <c r="M10" s="44"/>
      <c r="N10" s="303"/>
      <c r="O10" s="329"/>
      <c r="P10" s="329"/>
      <c r="Q10" s="329"/>
    </row>
    <row r="11" spans="1:17" ht="11.25" customHeight="1">
      <c r="A11" s="50"/>
      <c r="B11" s="50"/>
      <c r="C11" s="50"/>
      <c r="D11" s="50"/>
      <c r="E11" s="50"/>
      <c r="F11" s="50"/>
      <c r="G11" s="50"/>
      <c r="H11" s="50"/>
      <c r="I11" s="50"/>
      <c r="J11" s="50"/>
      <c r="K11" s="50"/>
      <c r="L11" s="50"/>
      <c r="M11" s="50"/>
      <c r="N11" s="305"/>
      <c r="O11" s="332"/>
      <c r="P11" s="332"/>
      <c r="Q11" s="332"/>
    </row>
    <row r="12" spans="1:17" ht="26.25" customHeight="1">
      <c r="A12" s="62" t="s">
        <v>23</v>
      </c>
      <c r="B12" s="875" t="s">
        <v>725</v>
      </c>
      <c r="C12" s="875"/>
      <c r="D12" s="875"/>
      <c r="E12" s="875"/>
      <c r="F12" s="875"/>
      <c r="G12" s="875"/>
      <c r="H12" s="875"/>
      <c r="I12" s="875"/>
      <c r="J12" s="875"/>
      <c r="K12" s="875"/>
      <c r="L12" s="875"/>
      <c r="M12" s="875"/>
      <c r="N12" s="303"/>
      <c r="O12" s="329"/>
      <c r="P12" s="329"/>
      <c r="Q12" s="329"/>
    </row>
    <row r="13" spans="1:17" ht="12.75" customHeight="1">
      <c r="A13" s="40"/>
      <c r="B13" s="64"/>
      <c r="C13" s="64"/>
      <c r="D13" s="64"/>
      <c r="E13" s="64"/>
      <c r="F13" s="64"/>
      <c r="G13" s="64"/>
      <c r="H13" s="64"/>
      <c r="I13" s="64"/>
      <c r="J13" s="64"/>
      <c r="K13" s="64"/>
      <c r="L13" s="64"/>
      <c r="M13" s="44"/>
      <c r="N13" s="303"/>
      <c r="O13" s="329"/>
      <c r="P13" s="329"/>
      <c r="Q13" s="329"/>
    </row>
    <row r="14" spans="1:17" ht="28.5" customHeight="1">
      <c r="A14" s="62" t="s">
        <v>23</v>
      </c>
      <c r="B14" s="875" t="s">
        <v>726</v>
      </c>
      <c r="C14" s="875"/>
      <c r="D14" s="875"/>
      <c r="E14" s="875"/>
      <c r="F14" s="875"/>
      <c r="G14" s="875"/>
      <c r="H14" s="875"/>
      <c r="I14" s="875"/>
      <c r="J14" s="875"/>
      <c r="K14" s="875"/>
      <c r="L14" s="875"/>
      <c r="M14" s="875"/>
      <c r="N14" s="303"/>
      <c r="O14" s="329"/>
      <c r="P14" s="329"/>
      <c r="Q14" s="329"/>
    </row>
    <row r="15" spans="1:17" ht="15" customHeight="1">
      <c r="A15" s="63"/>
      <c r="B15" s="64"/>
      <c r="C15" s="64"/>
      <c r="D15" s="64"/>
      <c r="E15" s="64"/>
      <c r="F15" s="64"/>
      <c r="G15" s="64"/>
      <c r="H15" s="64"/>
      <c r="I15" s="64"/>
      <c r="J15" s="64"/>
      <c r="K15" s="64"/>
      <c r="L15" s="64"/>
      <c r="M15" s="44"/>
      <c r="N15" s="303"/>
      <c r="O15" s="329"/>
      <c r="P15" s="329"/>
      <c r="Q15" s="329"/>
    </row>
    <row r="16" spans="1:17" ht="59.25" customHeight="1">
      <c r="A16" s="62" t="s">
        <v>23</v>
      </c>
      <c r="B16" s="875" t="s">
        <v>727</v>
      </c>
      <c r="C16" s="875"/>
      <c r="D16" s="875"/>
      <c r="E16" s="875"/>
      <c r="F16" s="875"/>
      <c r="G16" s="875"/>
      <c r="H16" s="875"/>
      <c r="I16" s="875"/>
      <c r="J16" s="875"/>
      <c r="K16" s="875"/>
      <c r="L16" s="875"/>
      <c r="M16" s="875"/>
      <c r="N16" s="303"/>
      <c r="O16" s="329"/>
      <c r="P16" s="329"/>
      <c r="Q16" s="329"/>
    </row>
    <row r="17" spans="1:18" ht="17.25" customHeight="1">
      <c r="A17" s="44"/>
      <c r="B17" s="44"/>
      <c r="C17" s="44"/>
      <c r="D17" s="44"/>
      <c r="E17" s="44"/>
      <c r="F17" s="44"/>
      <c r="G17" s="44"/>
      <c r="H17" s="44"/>
      <c r="I17" s="44"/>
      <c r="J17" s="44"/>
      <c r="K17" s="44"/>
      <c r="L17" s="44"/>
      <c r="M17" s="44"/>
      <c r="N17" s="303"/>
      <c r="O17" s="329"/>
      <c r="P17" s="329"/>
      <c r="Q17" s="329"/>
    </row>
    <row r="18" spans="1:18" ht="25.5" customHeight="1">
      <c r="A18" s="61" t="s">
        <v>23</v>
      </c>
      <c r="B18" s="874" t="s">
        <v>728</v>
      </c>
      <c r="C18" s="874"/>
      <c r="D18" s="874"/>
      <c r="E18" s="874"/>
      <c r="F18" s="874"/>
      <c r="G18" s="874"/>
      <c r="H18" s="874"/>
      <c r="I18" s="874"/>
      <c r="J18" s="874"/>
      <c r="K18" s="874"/>
      <c r="L18" s="874"/>
      <c r="M18" s="874"/>
      <c r="N18" s="303"/>
      <c r="O18" s="329"/>
      <c r="P18" s="329"/>
      <c r="Q18" s="329"/>
    </row>
    <row r="19" spans="1:18" ht="11.25" customHeight="1">
      <c r="A19" s="44"/>
      <c r="B19" s="44"/>
      <c r="C19" s="44"/>
      <c r="D19" s="44"/>
      <c r="E19" s="44"/>
      <c r="F19" s="44"/>
      <c r="G19" s="44"/>
      <c r="H19" s="44"/>
      <c r="I19" s="44"/>
      <c r="J19" s="44"/>
      <c r="K19" s="44"/>
      <c r="L19" s="44"/>
      <c r="M19" s="44"/>
      <c r="N19" s="303"/>
      <c r="O19" s="329"/>
      <c r="P19" s="329"/>
      <c r="Q19" s="329"/>
    </row>
    <row r="20" spans="1:18" ht="15.75" customHeight="1">
      <c r="A20" s="44"/>
      <c r="B20" s="44"/>
      <c r="C20" s="873" t="str">
        <f>+UPPER(Q4)&amp;" "&amp;Q5</f>
        <v>SETIEMBRE 2019</v>
      </c>
      <c r="D20" s="873"/>
      <c r="E20" s="873"/>
      <c r="F20" s="40"/>
      <c r="G20" s="40"/>
      <c r="H20" s="40"/>
      <c r="I20" s="873" t="str">
        <f>+UPPER(Q4)&amp;" "&amp;Q5-1</f>
        <v>SETIEMBRE 2018</v>
      </c>
      <c r="J20" s="873"/>
      <c r="K20" s="873"/>
      <c r="L20" s="44"/>
      <c r="M20" s="44"/>
      <c r="Q20" s="329"/>
    </row>
    <row r="21" spans="1:18" ht="11.25" customHeight="1">
      <c r="A21" s="44"/>
      <c r="B21" s="44"/>
      <c r="C21" s="44"/>
      <c r="D21" s="44"/>
      <c r="E21" s="44"/>
      <c r="F21" s="44"/>
      <c r="G21" s="44"/>
      <c r="H21" s="44"/>
      <c r="I21" s="44"/>
      <c r="J21" s="44"/>
      <c r="K21" s="44"/>
      <c r="L21" s="44"/>
      <c r="M21" s="44"/>
      <c r="Q21" s="329"/>
    </row>
    <row r="22" spans="1:18" ht="11.25" customHeight="1">
      <c r="A22" s="51"/>
      <c r="B22" s="52"/>
      <c r="C22" s="52"/>
      <c r="D22" s="52"/>
      <c r="E22" s="52"/>
      <c r="F22" s="52"/>
      <c r="G22" s="52"/>
      <c r="H22" s="52"/>
      <c r="I22" s="52"/>
      <c r="J22" s="52"/>
      <c r="K22" s="52"/>
      <c r="L22" s="52"/>
      <c r="M22" s="52"/>
      <c r="N22" s="362" t="s">
        <v>31</v>
      </c>
      <c r="O22" s="840"/>
      <c r="P22" s="840"/>
    </row>
    <row r="23" spans="1:18" ht="11.25" customHeight="1">
      <c r="A23" s="51"/>
      <c r="B23" s="52"/>
      <c r="C23" s="52"/>
      <c r="D23" s="52"/>
      <c r="E23" s="52"/>
      <c r="F23" s="52"/>
      <c r="G23" s="52"/>
      <c r="H23" s="52"/>
      <c r="I23" s="52"/>
      <c r="J23" s="52"/>
      <c r="K23" s="52"/>
      <c r="L23" s="52"/>
      <c r="M23" s="52"/>
      <c r="N23" s="362" t="s">
        <v>24</v>
      </c>
      <c r="O23" s="841">
        <v>1817.6479766325006</v>
      </c>
      <c r="P23" s="841">
        <v>1656.4380512150008</v>
      </c>
      <c r="Q23" s="334"/>
    </row>
    <row r="24" spans="1:18" ht="11.25" customHeight="1">
      <c r="A24" s="44"/>
      <c r="B24" s="44"/>
      <c r="C24" s="44"/>
      <c r="D24" s="44"/>
      <c r="E24" s="43"/>
      <c r="F24" s="44"/>
      <c r="G24" s="44"/>
      <c r="H24" s="44"/>
      <c r="I24" s="44"/>
      <c r="J24" s="44"/>
      <c r="K24" s="44"/>
      <c r="L24" s="44"/>
      <c r="M24" s="43"/>
      <c r="N24" s="363" t="s">
        <v>25</v>
      </c>
      <c r="O24" s="842">
        <v>2209.7942776950003</v>
      </c>
      <c r="P24" s="842">
        <v>2253.6528189324995</v>
      </c>
      <c r="Q24" s="333"/>
      <c r="R24" s="333"/>
    </row>
    <row r="25" spans="1:18" ht="11.25" customHeight="1">
      <c r="A25" s="44"/>
      <c r="B25" s="44"/>
      <c r="C25" s="44"/>
      <c r="D25" s="44"/>
      <c r="E25" s="44"/>
      <c r="F25" s="44"/>
      <c r="G25" s="44"/>
      <c r="H25" s="44"/>
      <c r="I25" s="44"/>
      <c r="J25" s="53"/>
      <c r="K25" s="53"/>
      <c r="L25" s="44"/>
      <c r="M25" s="44"/>
      <c r="N25" s="363" t="s">
        <v>26</v>
      </c>
      <c r="O25" s="842">
        <v>5.1607714649999998</v>
      </c>
      <c r="P25" s="842">
        <v>0</v>
      </c>
      <c r="Q25" s="335"/>
    </row>
    <row r="26" spans="1:18" ht="11.25" customHeight="1">
      <c r="A26" s="44"/>
      <c r="B26" s="44"/>
      <c r="C26" s="44"/>
      <c r="D26" s="44"/>
      <c r="E26" s="44"/>
      <c r="F26" s="44"/>
      <c r="G26" s="44"/>
      <c r="H26" s="44"/>
      <c r="I26" s="44"/>
      <c r="J26" s="53"/>
      <c r="K26" s="53"/>
      <c r="L26" s="44"/>
      <c r="M26" s="44"/>
      <c r="N26" s="362" t="s">
        <v>27</v>
      </c>
      <c r="O26" s="841">
        <v>2.3218834200000003</v>
      </c>
      <c r="P26" s="841">
        <v>6.3454784125000003</v>
      </c>
      <c r="Q26" s="335"/>
    </row>
    <row r="27" spans="1:18" ht="11.25" customHeight="1">
      <c r="A27" s="44"/>
      <c r="B27" s="44"/>
      <c r="C27" s="44"/>
      <c r="D27" s="44"/>
      <c r="E27" s="44"/>
      <c r="F27" s="44"/>
      <c r="G27" s="44"/>
      <c r="H27" s="44"/>
      <c r="I27" s="44"/>
      <c r="J27" s="53"/>
      <c r="K27" s="44"/>
      <c r="L27" s="44"/>
      <c r="M27" s="44"/>
      <c r="N27" s="362" t="s">
        <v>28</v>
      </c>
      <c r="O27" s="841">
        <v>20.0795798075</v>
      </c>
      <c r="P27" s="841">
        <v>13.548058922500001</v>
      </c>
      <c r="Q27" s="335"/>
    </row>
    <row r="28" spans="1:18" ht="11.25" customHeight="1">
      <c r="A28" s="44"/>
      <c r="B28" s="44"/>
      <c r="C28" s="53"/>
      <c r="D28" s="53"/>
      <c r="E28" s="53"/>
      <c r="F28" s="53"/>
      <c r="G28" s="53"/>
      <c r="H28" s="53"/>
      <c r="I28" s="53"/>
      <c r="J28" s="53"/>
      <c r="K28" s="53"/>
      <c r="L28" s="44"/>
      <c r="M28" s="44"/>
      <c r="N28" s="362" t="s">
        <v>29</v>
      </c>
      <c r="O28" s="841">
        <v>147.70153075500002</v>
      </c>
      <c r="P28" s="841">
        <v>141.62182448750002</v>
      </c>
      <c r="Q28" s="335"/>
    </row>
    <row r="29" spans="1:18" ht="11.25" customHeight="1">
      <c r="A29" s="44"/>
      <c r="B29" s="44"/>
      <c r="C29" s="53"/>
      <c r="D29" s="53"/>
      <c r="E29" s="53"/>
      <c r="F29" s="53"/>
      <c r="G29" s="53"/>
      <c r="H29" s="53"/>
      <c r="I29" s="53"/>
      <c r="J29" s="53"/>
      <c r="K29" s="53"/>
      <c r="L29" s="44"/>
      <c r="M29" s="44"/>
      <c r="N29" s="362" t="s">
        <v>30</v>
      </c>
      <c r="O29" s="841">
        <v>67.23456245749999</v>
      </c>
      <c r="P29" s="841">
        <v>71.752520337500002</v>
      </c>
      <c r="Q29" s="335"/>
    </row>
    <row r="30" spans="1:18" ht="11.25" customHeight="1">
      <c r="A30" s="44"/>
      <c r="B30" s="44"/>
      <c r="C30" s="53"/>
      <c r="D30" s="53"/>
      <c r="E30" s="53"/>
      <c r="F30" s="53"/>
      <c r="G30" s="53"/>
      <c r="H30" s="53"/>
      <c r="I30" s="53"/>
      <c r="J30" s="53"/>
      <c r="K30" s="53"/>
      <c r="L30" s="44"/>
      <c r="M30" s="44"/>
      <c r="N30" s="362"/>
      <c r="O30" s="335"/>
      <c r="P30" s="335"/>
      <c r="Q30" s="335"/>
    </row>
    <row r="31" spans="1:18" ht="11.25" customHeight="1">
      <c r="A31" s="44"/>
      <c r="B31" s="44"/>
      <c r="C31" s="53"/>
      <c r="D31" s="53"/>
      <c r="E31" s="53"/>
      <c r="F31" s="53"/>
      <c r="G31" s="53"/>
      <c r="H31" s="53"/>
      <c r="I31" s="53"/>
      <c r="J31" s="53"/>
      <c r="K31" s="53"/>
      <c r="L31" s="44"/>
      <c r="M31" s="44"/>
      <c r="O31" s="384"/>
      <c r="P31" s="384"/>
      <c r="Q31" s="385"/>
    </row>
    <row r="32" spans="1:18" ht="11.25" customHeight="1">
      <c r="A32" s="44"/>
      <c r="B32" s="44"/>
      <c r="C32" s="53"/>
      <c r="D32" s="53"/>
      <c r="E32" s="53"/>
      <c r="F32" s="53"/>
      <c r="G32" s="53"/>
      <c r="H32" s="53"/>
      <c r="I32" s="53"/>
      <c r="J32" s="53"/>
      <c r="K32" s="53"/>
      <c r="L32" s="44"/>
      <c r="M32" s="44"/>
      <c r="Q32" s="329"/>
    </row>
    <row r="33" spans="1:17" ht="11.25" customHeight="1">
      <c r="A33" s="44"/>
      <c r="B33" s="44"/>
      <c r="C33" s="53"/>
      <c r="D33" s="53"/>
      <c r="E33" s="53"/>
      <c r="F33" s="53"/>
      <c r="G33" s="53"/>
      <c r="H33" s="53"/>
      <c r="I33" s="53"/>
      <c r="J33" s="53"/>
      <c r="K33" s="53"/>
      <c r="L33" s="44"/>
      <c r="M33" s="44"/>
      <c r="Q33" s="329"/>
    </row>
    <row r="34" spans="1:17" ht="11.25" customHeight="1">
      <c r="A34" s="44"/>
      <c r="B34" s="44"/>
      <c r="C34" s="53"/>
      <c r="D34" s="53"/>
      <c r="E34" s="53"/>
      <c r="F34" s="53"/>
      <c r="G34" s="53"/>
      <c r="H34" s="53"/>
      <c r="I34" s="53"/>
      <c r="J34" s="53"/>
      <c r="K34" s="53"/>
      <c r="L34" s="44"/>
      <c r="M34" s="44"/>
      <c r="Q34" s="329"/>
    </row>
    <row r="35" spans="1:17" ht="11.25" customHeight="1">
      <c r="A35" s="54"/>
      <c r="B35" s="54"/>
      <c r="C35" s="55"/>
      <c r="D35" s="55"/>
      <c r="E35" s="55"/>
      <c r="F35" s="55"/>
      <c r="G35" s="55"/>
      <c r="H35" s="55"/>
      <c r="I35" s="55"/>
      <c r="J35" s="54"/>
      <c r="K35" s="54"/>
      <c r="L35" s="54"/>
      <c r="M35" s="54"/>
      <c r="Q35" s="329"/>
    </row>
    <row r="36" spans="1:17" ht="11.25" customHeight="1">
      <c r="A36" s="54"/>
      <c r="B36" s="54"/>
      <c r="C36" s="55"/>
      <c r="D36" s="55"/>
      <c r="E36" s="55"/>
      <c r="F36" s="55"/>
      <c r="G36" s="55"/>
      <c r="H36" s="55"/>
      <c r="I36" s="55"/>
      <c r="J36" s="54"/>
      <c r="K36" s="54"/>
      <c r="L36" s="54"/>
      <c r="M36" s="54"/>
      <c r="Q36" s="329"/>
    </row>
    <row r="37" spans="1:17" ht="11.25" customHeight="1">
      <c r="A37" s="54"/>
      <c r="B37" s="54"/>
      <c r="C37" s="55"/>
      <c r="D37" s="55"/>
      <c r="E37" s="55"/>
      <c r="F37" s="55"/>
      <c r="G37" s="55"/>
      <c r="H37" s="55"/>
      <c r="I37" s="55"/>
      <c r="J37" s="54"/>
      <c r="K37" s="54"/>
      <c r="L37" s="54"/>
      <c r="M37" s="54"/>
      <c r="N37" s="303"/>
      <c r="O37" s="329"/>
      <c r="P37" s="329"/>
      <c r="Q37" s="329"/>
    </row>
    <row r="38" spans="1:17" ht="11.25" customHeight="1">
      <c r="A38" s="54"/>
      <c r="B38" s="54"/>
      <c r="C38" s="55"/>
      <c r="D38" s="55"/>
      <c r="E38" s="55"/>
      <c r="F38" s="55"/>
      <c r="G38" s="55"/>
      <c r="H38" s="55"/>
      <c r="I38" s="55"/>
      <c r="J38" s="54"/>
      <c r="K38" s="54"/>
      <c r="L38" s="54"/>
      <c r="M38" s="54"/>
      <c r="N38" s="303"/>
      <c r="O38" s="329"/>
      <c r="P38" s="329"/>
      <c r="Q38" s="329"/>
    </row>
    <row r="39" spans="1:17" ht="11.25" customHeight="1">
      <c r="A39" s="54"/>
      <c r="B39" s="54"/>
      <c r="C39" s="55"/>
      <c r="D39" s="55"/>
      <c r="E39" s="55"/>
      <c r="F39" s="55"/>
      <c r="G39" s="55"/>
      <c r="H39" s="55"/>
      <c r="I39" s="55"/>
      <c r="J39" s="54"/>
      <c r="K39" s="54"/>
      <c r="L39" s="54"/>
      <c r="M39" s="54"/>
      <c r="N39" s="303"/>
      <c r="O39" s="329"/>
      <c r="P39" s="329"/>
      <c r="Q39" s="329"/>
    </row>
    <row r="40" spans="1:17" ht="11.25" customHeight="1">
      <c r="A40" s="54"/>
      <c r="B40" s="54"/>
      <c r="C40" s="55"/>
      <c r="D40" s="55"/>
      <c r="E40" s="55"/>
      <c r="F40" s="55"/>
      <c r="G40" s="55"/>
      <c r="H40" s="55"/>
      <c r="I40" s="55"/>
      <c r="J40" s="54"/>
      <c r="K40" s="54"/>
      <c r="L40" s="54"/>
      <c r="M40" s="54"/>
      <c r="N40" s="303"/>
      <c r="O40" s="329"/>
      <c r="P40" s="329"/>
      <c r="Q40" s="329"/>
    </row>
    <row r="41" spans="1:17" ht="11.25" customHeight="1">
      <c r="A41" s="54"/>
      <c r="B41" s="54"/>
      <c r="C41" s="54"/>
      <c r="D41" s="55"/>
      <c r="E41" s="55"/>
      <c r="F41" s="55"/>
      <c r="G41" s="55"/>
      <c r="H41" s="54"/>
      <c r="I41" s="54"/>
      <c r="J41" s="54"/>
      <c r="K41" s="54"/>
      <c r="L41" s="54"/>
      <c r="M41" s="54"/>
      <c r="N41" s="303"/>
      <c r="O41" s="329"/>
      <c r="P41" s="329"/>
      <c r="Q41" s="329"/>
    </row>
    <row r="42" spans="1:17" ht="11.25" customHeight="1">
      <c r="A42" s="54"/>
      <c r="B42" s="54"/>
      <c r="C42" s="55"/>
      <c r="D42" s="55"/>
      <c r="E42" s="55"/>
      <c r="F42" s="55"/>
      <c r="G42" s="55"/>
      <c r="H42" s="55"/>
      <c r="I42" s="55"/>
      <c r="J42" s="54"/>
      <c r="K42" s="54"/>
      <c r="L42" s="54"/>
      <c r="M42" s="54"/>
      <c r="N42" s="303"/>
      <c r="O42" s="329"/>
      <c r="P42" s="329"/>
      <c r="Q42" s="329"/>
    </row>
    <row r="43" spans="1:17" ht="11.25" customHeight="1">
      <c r="A43" s="54"/>
      <c r="B43" s="54"/>
      <c r="C43" s="55"/>
      <c r="D43" s="55"/>
      <c r="E43" s="55"/>
      <c r="F43" s="55"/>
      <c r="G43" s="55"/>
      <c r="H43" s="55"/>
      <c r="I43" s="55"/>
      <c r="J43" s="54"/>
      <c r="K43" s="54"/>
      <c r="L43" s="54"/>
      <c r="M43" s="54"/>
      <c r="N43" s="303"/>
      <c r="O43" s="329"/>
      <c r="P43" s="329"/>
      <c r="Q43" s="329"/>
    </row>
    <row r="44" spans="1:17" ht="11.25" customHeight="1">
      <c r="A44" s="54"/>
      <c r="B44" s="54"/>
      <c r="C44" s="55"/>
      <c r="D44" s="55"/>
      <c r="E44" s="55"/>
      <c r="F44" s="55"/>
      <c r="G44" s="55"/>
      <c r="H44" s="55"/>
      <c r="I44" s="55"/>
      <c r="J44" s="54"/>
      <c r="K44" s="54"/>
      <c r="L44" s="54"/>
      <c r="M44" s="54"/>
      <c r="N44" s="303"/>
      <c r="O44" s="329"/>
      <c r="P44" s="329"/>
      <c r="Q44" s="329"/>
    </row>
    <row r="45" spans="1:17" ht="11.25" customHeight="1">
      <c r="A45" s="54"/>
      <c r="B45" s="54"/>
      <c r="C45" s="55"/>
      <c r="D45" s="55"/>
      <c r="E45" s="55"/>
      <c r="F45" s="55"/>
      <c r="G45" s="55"/>
      <c r="H45" s="55"/>
      <c r="I45" s="55"/>
      <c r="J45" s="54"/>
      <c r="K45" s="54"/>
      <c r="L45" s="54"/>
      <c r="M45" s="54"/>
      <c r="N45" s="303"/>
      <c r="O45" s="329"/>
      <c r="P45" s="329"/>
      <c r="Q45" s="329"/>
    </row>
    <row r="46" spans="1:17" ht="11.25" customHeight="1">
      <c r="A46" s="54"/>
      <c r="B46" s="54"/>
      <c r="C46" s="54"/>
      <c r="D46" s="54"/>
      <c r="E46" s="54"/>
      <c r="F46" s="54"/>
      <c r="G46" s="54"/>
      <c r="H46" s="54"/>
      <c r="I46" s="54"/>
      <c r="J46" s="54"/>
      <c r="K46" s="54"/>
      <c r="L46" s="54"/>
      <c r="M46" s="54"/>
      <c r="N46" s="303"/>
      <c r="O46" s="329"/>
      <c r="P46" s="329"/>
      <c r="Q46" s="329"/>
    </row>
    <row r="47" spans="1:17" ht="16.5" customHeight="1">
      <c r="A47" s="54"/>
      <c r="B47" s="872" t="str">
        <f>"Total = "&amp;TEXT(ROUND(SUM(O23:O29),2),"0 000,00")&amp;" GWh"</f>
        <v>Total = 4 269,94 GWh</v>
      </c>
      <c r="C47" s="872"/>
      <c r="D47" s="872"/>
      <c r="E47" s="872"/>
      <c r="F47" s="54"/>
      <c r="G47" s="54"/>
      <c r="H47" s="871" t="str">
        <f>"Total = "&amp;TEXT(ROUND(SUM(P23:P29),2),"0 000,00")&amp;" GWh"</f>
        <v>Total = 4 143,36 GWh</v>
      </c>
      <c r="I47" s="871"/>
      <c r="J47" s="871"/>
      <c r="K47" s="871"/>
      <c r="L47" s="54"/>
      <c r="M47" s="54"/>
      <c r="N47" s="303"/>
      <c r="O47" s="329"/>
      <c r="P47" s="329"/>
      <c r="Q47" s="329"/>
    </row>
    <row r="48" spans="1:17" ht="11.25" customHeight="1">
      <c r="H48" s="54"/>
      <c r="I48" s="54"/>
      <c r="J48" s="54"/>
      <c r="K48" s="54"/>
      <c r="L48" s="54"/>
      <c r="M48" s="54"/>
      <c r="N48" s="303"/>
      <c r="O48" s="329"/>
      <c r="P48" s="329"/>
      <c r="Q48" s="329"/>
    </row>
    <row r="49" spans="1:17" ht="11.25" customHeight="1">
      <c r="B49" s="870" t="str">
        <f>"Gráfico 1: Comparación de producción mensual de electricidad en "&amp;Q4&amp;" por tipo de recurso energético."</f>
        <v>Gráfico 1: Comparación de producción mensual de electricidad en setiembre por tipo de recurso energético.</v>
      </c>
      <c r="C49" s="870"/>
      <c r="D49" s="870"/>
      <c r="E49" s="870"/>
      <c r="F49" s="870"/>
      <c r="G49" s="870"/>
      <c r="H49" s="870"/>
      <c r="I49" s="870"/>
      <c r="J49" s="870"/>
      <c r="K49" s="870"/>
      <c r="L49" s="870"/>
      <c r="M49" s="237"/>
      <c r="N49" s="306"/>
      <c r="O49" s="329"/>
      <c r="P49" s="329"/>
      <c r="Q49" s="329"/>
    </row>
    <row r="50" spans="1:17" ht="11.25" customHeight="1">
      <c r="A50" s="54"/>
      <c r="B50" s="54"/>
      <c r="C50" s="45"/>
      <c r="D50" s="45"/>
      <c r="E50" s="54"/>
      <c r="F50" s="54"/>
      <c r="G50" s="54"/>
      <c r="H50" s="54"/>
      <c r="I50" s="54"/>
      <c r="J50" s="54"/>
      <c r="K50" s="54"/>
      <c r="L50" s="54"/>
      <c r="M50" s="54"/>
      <c r="N50" s="303"/>
      <c r="O50" s="329"/>
      <c r="P50" s="329"/>
      <c r="Q50" s="329"/>
    </row>
    <row r="51" spans="1:17" ht="11.25" customHeight="1">
      <c r="A51" s="54"/>
      <c r="B51" s="54"/>
      <c r="C51" s="54"/>
      <c r="D51" s="54"/>
      <c r="E51" s="54"/>
      <c r="F51" s="54"/>
      <c r="G51" s="54"/>
      <c r="H51" s="54"/>
      <c r="I51" s="54"/>
      <c r="J51" s="54"/>
      <c r="K51" s="54"/>
      <c r="L51" s="54"/>
      <c r="M51" s="54"/>
      <c r="N51" s="303"/>
      <c r="O51" s="329"/>
      <c r="P51" s="329"/>
      <c r="Q51" s="329"/>
    </row>
    <row r="52" spans="1:17" ht="11.25" customHeight="1">
      <c r="A52" s="54"/>
      <c r="B52" s="54"/>
      <c r="C52" s="54"/>
      <c r="D52" s="54"/>
      <c r="E52" s="54"/>
      <c r="F52" s="54"/>
      <c r="G52" s="54"/>
      <c r="H52" s="54"/>
      <c r="I52" s="54"/>
      <c r="J52" s="54"/>
      <c r="K52" s="54"/>
      <c r="L52" s="54"/>
      <c r="M52" s="54"/>
      <c r="N52" s="303"/>
      <c r="O52" s="329"/>
      <c r="P52" s="329"/>
      <c r="Q52" s="329"/>
    </row>
    <row r="53" spans="1:17" ht="11.25" customHeight="1">
      <c r="A53" s="54"/>
      <c r="B53" s="54"/>
      <c r="C53" s="54"/>
      <c r="D53" s="54"/>
      <c r="E53" s="54"/>
      <c r="F53" s="54"/>
      <c r="G53" s="54"/>
      <c r="H53" s="54"/>
      <c r="I53" s="54"/>
      <c r="J53" s="54"/>
      <c r="K53" s="54"/>
      <c r="L53" s="54"/>
      <c r="M53" s="54"/>
      <c r="N53" s="303"/>
      <c r="O53" s="329"/>
      <c r="P53" s="329"/>
      <c r="Q53" s="329"/>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Mensual-Setiembre 2019
INFSGI-MES-09-2019
11/10/2019
Versión: 01</oddHeader>
    <oddFooter>&amp;LCOES, 2019&amp;C1&amp;RDirección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130" zoomScaleNormal="100" zoomScaleSheetLayoutView="130" workbookViewId="0"/>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300"/>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57"/>
  <sheetViews>
    <sheetView showGridLines="0" view="pageBreakPreview" zoomScale="130" zoomScaleNormal="100" zoomScaleSheetLayoutView="130" zoomScalePageLayoutView="85" workbookViewId="0">
      <selection activeCell="M18" sqref="M18"/>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2" ht="16.5" customHeight="1">
      <c r="A2" s="882" t="s">
        <v>506</v>
      </c>
      <c r="B2" s="882"/>
      <c r="C2" s="882"/>
      <c r="D2" s="882"/>
      <c r="E2" s="882"/>
      <c r="F2" s="882"/>
      <c r="G2" s="882"/>
      <c r="H2" s="882"/>
      <c r="I2" s="882"/>
      <c r="J2" s="882"/>
      <c r="K2" s="573"/>
    </row>
    <row r="3" spans="1:12" ht="12" customHeight="1">
      <c r="A3" s="137"/>
      <c r="B3" s="209"/>
      <c r="C3" s="220"/>
      <c r="D3" s="221"/>
      <c r="E3" s="221"/>
      <c r="F3" s="222"/>
      <c r="G3" s="223"/>
      <c r="H3" s="223"/>
      <c r="I3" s="172"/>
      <c r="J3" s="222"/>
    </row>
    <row r="4" spans="1:12" ht="11.25" customHeight="1">
      <c r="A4" s="187" t="s">
        <v>570</v>
      </c>
      <c r="B4" s="209"/>
      <c r="C4" s="220"/>
      <c r="D4" s="221"/>
      <c r="E4" s="221"/>
      <c r="F4" s="222"/>
      <c r="G4" s="223"/>
      <c r="H4" s="223"/>
      <c r="I4" s="172"/>
      <c r="J4" s="222"/>
      <c r="K4" s="351"/>
    </row>
    <row r="5" spans="1:12" ht="11.25" customHeight="1">
      <c r="A5" s="187"/>
      <c r="B5" s="209"/>
      <c r="C5" s="220"/>
      <c r="D5" s="221"/>
      <c r="E5" s="221"/>
      <c r="F5" s="222"/>
      <c r="G5" s="223"/>
      <c r="H5" s="223"/>
      <c r="I5" s="172"/>
      <c r="J5" s="222"/>
      <c r="K5" s="351"/>
    </row>
    <row r="6" spans="1:12" ht="15" hidden="1" customHeight="1">
      <c r="A6" s="137"/>
      <c r="B6" s="209"/>
      <c r="C6" s="220"/>
      <c r="D6" s="221"/>
      <c r="E6" s="221"/>
      <c r="F6" s="222"/>
      <c r="G6" s="223"/>
      <c r="H6" s="223"/>
      <c r="I6" s="172"/>
      <c r="J6" s="222"/>
      <c r="K6" s="351"/>
    </row>
    <row r="7" spans="1:12" ht="20.25" customHeight="1">
      <c r="A7" s="501" t="s">
        <v>216</v>
      </c>
      <c r="B7" s="502" t="s">
        <v>217</v>
      </c>
      <c r="C7" s="502" t="s">
        <v>218</v>
      </c>
      <c r="D7" s="502" t="s">
        <v>219</v>
      </c>
      <c r="E7" s="502" t="s">
        <v>220</v>
      </c>
      <c r="F7" s="503" t="s">
        <v>221</v>
      </c>
      <c r="G7" s="504" t="s">
        <v>225</v>
      </c>
      <c r="H7" s="503" t="s">
        <v>229</v>
      </c>
      <c r="I7" s="504" t="s">
        <v>475</v>
      </c>
      <c r="J7" s="505" t="s">
        <v>226</v>
      </c>
      <c r="K7" s="574"/>
    </row>
    <row r="8" spans="1:12" s="224" customFormat="1" ht="21" customHeight="1">
      <c r="A8" s="794" t="s">
        <v>495</v>
      </c>
      <c r="B8" s="480" t="s">
        <v>36</v>
      </c>
      <c r="C8" s="480" t="s">
        <v>45</v>
      </c>
      <c r="D8" s="480" t="s">
        <v>493</v>
      </c>
      <c r="E8" s="480" t="s">
        <v>498</v>
      </c>
      <c r="F8" s="481" t="s">
        <v>471</v>
      </c>
      <c r="G8" s="482">
        <v>6.9</v>
      </c>
      <c r="H8" s="483">
        <v>7.5</v>
      </c>
      <c r="I8" s="483">
        <v>6.6</v>
      </c>
      <c r="J8" s="484" t="s">
        <v>532</v>
      </c>
      <c r="K8" s="575"/>
    </row>
    <row r="9" spans="1:12" s="224" customFormat="1" ht="21" customHeight="1">
      <c r="A9" s="794" t="s">
        <v>533</v>
      </c>
      <c r="B9" s="480" t="s">
        <v>36</v>
      </c>
      <c r="C9" s="480" t="s">
        <v>45</v>
      </c>
      <c r="D9" s="480" t="s">
        <v>535</v>
      </c>
      <c r="E9" s="480" t="s">
        <v>536</v>
      </c>
      <c r="F9" s="481" t="s">
        <v>471</v>
      </c>
      <c r="G9" s="482">
        <v>0.4</v>
      </c>
      <c r="H9" s="483">
        <v>1</v>
      </c>
      <c r="I9" s="483">
        <v>1</v>
      </c>
      <c r="J9" s="484" t="s">
        <v>534</v>
      </c>
      <c r="K9" s="575"/>
    </row>
    <row r="10" spans="1:12" s="224" customFormat="1" ht="28.5" customHeight="1">
      <c r="A10" s="794" t="s">
        <v>544</v>
      </c>
      <c r="B10" s="480" t="s">
        <v>36</v>
      </c>
      <c r="C10" s="480" t="s">
        <v>45</v>
      </c>
      <c r="D10" s="480" t="s">
        <v>548</v>
      </c>
      <c r="E10" s="480" t="s">
        <v>546</v>
      </c>
      <c r="F10" s="481" t="s">
        <v>547</v>
      </c>
      <c r="G10" s="482">
        <v>10</v>
      </c>
      <c r="H10" s="483">
        <v>86.2</v>
      </c>
      <c r="I10" s="483">
        <v>84.1</v>
      </c>
      <c r="J10" s="484" t="s">
        <v>545</v>
      </c>
      <c r="K10" s="575"/>
    </row>
    <row r="11" spans="1:12" s="224" customFormat="1" ht="28.5" customHeight="1">
      <c r="A11" s="794" t="s">
        <v>556</v>
      </c>
      <c r="B11" s="480" t="s">
        <v>37</v>
      </c>
      <c r="C11" s="480" t="s">
        <v>49</v>
      </c>
      <c r="D11" s="480" t="s">
        <v>557</v>
      </c>
      <c r="E11" s="480" t="s">
        <v>558</v>
      </c>
      <c r="F11" s="481" t="s">
        <v>559</v>
      </c>
      <c r="G11" s="482">
        <v>13.8</v>
      </c>
      <c r="H11" s="483">
        <v>21.71</v>
      </c>
      <c r="I11" s="483">
        <v>7.48</v>
      </c>
      <c r="J11" s="484" t="s">
        <v>560</v>
      </c>
      <c r="K11" s="575"/>
    </row>
    <row r="12" spans="1:12" s="224" customFormat="1" ht="36.75" customHeight="1">
      <c r="A12" s="794" t="s">
        <v>577</v>
      </c>
      <c r="B12" s="480" t="s">
        <v>36</v>
      </c>
      <c r="C12" s="480" t="s">
        <v>45</v>
      </c>
      <c r="D12" s="480" t="s">
        <v>548</v>
      </c>
      <c r="E12" s="480" t="s">
        <v>578</v>
      </c>
      <c r="F12" s="481" t="s">
        <v>580</v>
      </c>
      <c r="G12" s="482">
        <v>13.8</v>
      </c>
      <c r="H12" s="483">
        <v>20</v>
      </c>
      <c r="I12" s="483">
        <v>20</v>
      </c>
      <c r="J12" s="484" t="s">
        <v>579</v>
      </c>
      <c r="K12" s="575"/>
    </row>
    <row r="13" spans="1:12" s="224" customFormat="1" ht="36.75" customHeight="1">
      <c r="A13" s="794" t="s">
        <v>581</v>
      </c>
      <c r="B13" s="480" t="s">
        <v>36</v>
      </c>
      <c r="C13" s="480" t="s">
        <v>45</v>
      </c>
      <c r="D13" s="480" t="s">
        <v>548</v>
      </c>
      <c r="E13" s="480" t="s">
        <v>582</v>
      </c>
      <c r="F13" s="481" t="s">
        <v>580</v>
      </c>
      <c r="G13" s="482">
        <v>13.8</v>
      </c>
      <c r="H13" s="483">
        <v>20</v>
      </c>
      <c r="I13" s="483">
        <v>20</v>
      </c>
      <c r="J13" s="484" t="s">
        <v>583</v>
      </c>
      <c r="K13" s="575"/>
    </row>
    <row r="14" spans="1:12" ht="11.25" customHeight="1">
      <c r="A14" s="506" t="s">
        <v>43</v>
      </c>
      <c r="B14" s="507"/>
      <c r="C14" s="507"/>
      <c r="D14" s="507"/>
      <c r="E14" s="508"/>
      <c r="F14" s="509"/>
      <c r="G14" s="510"/>
      <c r="H14" s="511">
        <f>+H8+H9+H10+H11+H12+H13</f>
        <v>156.41</v>
      </c>
      <c r="I14" s="511">
        <f>+I8+I9+I10+I11+I12+I13</f>
        <v>139.18</v>
      </c>
      <c r="J14" s="512"/>
      <c r="K14" s="576"/>
      <c r="L14" s="577"/>
    </row>
    <row r="15" spans="1:12" ht="13.5" customHeight="1">
      <c r="A15" s="720" t="s">
        <v>561</v>
      </c>
      <c r="B15" s="132"/>
      <c r="C15" s="132"/>
      <c r="D15" s="132"/>
      <c r="E15" s="132"/>
      <c r="F15" s="132"/>
      <c r="G15" s="132"/>
      <c r="H15" s="132"/>
      <c r="I15" s="132"/>
      <c r="J15" s="132"/>
      <c r="K15" s="576"/>
    </row>
    <row r="16" spans="1:12" ht="11.25" customHeight="1">
      <c r="A16" s="891"/>
      <c r="B16" s="891"/>
      <c r="C16" s="891"/>
      <c r="D16" s="891"/>
      <c r="E16" s="891"/>
      <c r="F16" s="891"/>
      <c r="G16" s="891"/>
      <c r="H16" s="891"/>
      <c r="I16" s="891"/>
      <c r="J16" s="891"/>
      <c r="K16" s="576"/>
    </row>
    <row r="17" spans="1:13" ht="11.25" customHeight="1">
      <c r="A17" s="427"/>
      <c r="B17" s="427"/>
      <c r="C17" s="427"/>
      <c r="D17" s="427"/>
      <c r="E17" s="427"/>
      <c r="F17" s="427"/>
      <c r="G17" s="427"/>
      <c r="H17" s="427"/>
      <c r="I17" s="427"/>
      <c r="J17" s="427"/>
      <c r="K17" s="576"/>
      <c r="L17" s="46" t="s">
        <v>227</v>
      </c>
      <c r="M17" s="577"/>
    </row>
    <row r="18" spans="1:13" ht="12.75" customHeight="1">
      <c r="A18" s="892"/>
      <c r="B18" s="892"/>
      <c r="C18" s="892"/>
      <c r="D18" s="892"/>
      <c r="E18" s="892"/>
      <c r="F18" s="892"/>
      <c r="G18" s="892"/>
      <c r="H18" s="892"/>
      <c r="I18" s="892"/>
      <c r="J18" s="892"/>
      <c r="K18" s="576"/>
      <c r="L18" s="46" t="s">
        <v>472</v>
      </c>
      <c r="M18" s="577">
        <f>+I8+I9+I10+I12+I13</f>
        <v>131.69999999999999</v>
      </c>
    </row>
    <row r="19" spans="1:13" ht="11.25" customHeight="1">
      <c r="A19" s="892"/>
      <c r="B19" s="892"/>
      <c r="C19" s="892"/>
      <c r="D19" s="892"/>
      <c r="E19" s="892"/>
      <c r="F19" s="892"/>
      <c r="G19" s="892"/>
      <c r="H19" s="892"/>
      <c r="I19" s="892"/>
      <c r="J19" s="892"/>
      <c r="K19" s="576"/>
      <c r="L19" s="46" t="s">
        <v>557</v>
      </c>
      <c r="M19" s="577">
        <f>I11</f>
        <v>7.48</v>
      </c>
    </row>
    <row r="20" spans="1:13" ht="15" customHeight="1">
      <c r="A20" s="229"/>
      <c r="B20" s="225"/>
      <c r="C20" s="225"/>
      <c r="D20" s="225"/>
      <c r="E20" s="225"/>
      <c r="F20" s="225"/>
      <c r="G20" s="225"/>
      <c r="H20" s="230"/>
      <c r="I20" s="230"/>
      <c r="J20" s="230"/>
      <c r="K20" s="576"/>
      <c r="L20" s="46" t="s">
        <v>477</v>
      </c>
      <c r="M20" s="46">
        <v>0</v>
      </c>
    </row>
    <row r="21" spans="1:13" ht="11.25" customHeight="1">
      <c r="A21" s="229"/>
      <c r="B21" s="225"/>
      <c r="C21" s="225"/>
      <c r="D21" s="225"/>
      <c r="E21" s="225"/>
      <c r="F21" s="225"/>
      <c r="G21" s="225"/>
      <c r="H21" s="228"/>
      <c r="I21" s="228" t="s">
        <v>8</v>
      </c>
      <c r="J21" s="228"/>
      <c r="K21" s="576"/>
      <c r="L21" s="46" t="s">
        <v>489</v>
      </c>
      <c r="M21" s="46">
        <v>0</v>
      </c>
    </row>
    <row r="22" spans="1:13" ht="11.25" customHeight="1">
      <c r="A22" s="229"/>
      <c r="B22" s="225"/>
      <c r="C22" s="225"/>
      <c r="D22" s="225"/>
      <c r="E22" s="225"/>
      <c r="F22" s="225"/>
      <c r="G22" s="225"/>
      <c r="H22" s="228"/>
      <c r="I22" s="228"/>
      <c r="J22" s="228"/>
      <c r="K22" s="576"/>
    </row>
    <row r="23" spans="1:13" ht="11.25" customHeight="1">
      <c r="A23" s="229"/>
      <c r="B23" s="225"/>
      <c r="C23" s="225"/>
      <c r="D23" s="225"/>
      <c r="E23" s="225"/>
      <c r="F23" s="225"/>
      <c r="G23" s="225"/>
      <c r="H23" s="228"/>
      <c r="I23" s="228"/>
      <c r="J23" s="228"/>
      <c r="K23" s="576"/>
    </row>
    <row r="24" spans="1:13" ht="9" customHeight="1">
      <c r="A24" s="231"/>
      <c r="B24" s="152"/>
      <c r="C24" s="152"/>
      <c r="D24" s="152"/>
      <c r="E24" s="152"/>
      <c r="F24" s="152"/>
      <c r="G24" s="152"/>
      <c r="H24" s="232"/>
      <c r="I24" s="232"/>
      <c r="J24" s="232"/>
      <c r="K24" s="576"/>
    </row>
    <row r="25" spans="1:13" ht="9" customHeight="1">
      <c r="A25" s="233"/>
      <c r="B25" s="175"/>
      <c r="C25" s="175"/>
      <c r="D25" s="138"/>
      <c r="E25" s="138"/>
      <c r="F25" s="138"/>
      <c r="G25" s="138"/>
      <c r="H25" s="225"/>
      <c r="I25" s="225"/>
      <c r="J25" s="225"/>
      <c r="K25" s="576"/>
    </row>
    <row r="26" spans="1:13" ht="9" customHeight="1">
      <c r="A26" s="214"/>
      <c r="B26" s="138"/>
      <c r="C26" s="138"/>
      <c r="D26" s="138"/>
      <c r="E26" s="138"/>
      <c r="F26" s="138"/>
      <c r="G26" s="138"/>
      <c r="H26" s="225"/>
      <c r="I26" s="225"/>
      <c r="J26" s="225"/>
      <c r="K26" s="576"/>
    </row>
    <row r="27" spans="1:13" ht="11.25" customHeight="1">
      <c r="A27" s="214"/>
      <c r="B27" s="138"/>
      <c r="C27" s="138"/>
      <c r="D27" s="138"/>
      <c r="E27" s="138"/>
      <c r="F27" s="138"/>
      <c r="G27" s="138"/>
      <c r="H27" s="225"/>
      <c r="I27" s="225"/>
      <c r="J27" s="225"/>
      <c r="K27" s="576"/>
    </row>
    <row r="28" spans="1:13" ht="11.25" customHeight="1">
      <c r="A28" s="214"/>
      <c r="B28" s="138"/>
      <c r="C28" s="138"/>
      <c r="D28" s="138"/>
      <c r="E28" s="138"/>
      <c r="F28" s="138"/>
      <c r="G28" s="138"/>
      <c r="H28" s="153"/>
      <c r="I28" s="153"/>
      <c r="J28" s="153"/>
      <c r="K28" s="576"/>
    </row>
    <row r="29" spans="1:13" ht="11.25" customHeight="1">
      <c r="A29" s="226"/>
      <c r="B29" s="158"/>
      <c r="C29" s="158"/>
      <c r="D29" s="158"/>
      <c r="E29" s="158"/>
      <c r="F29" s="158"/>
      <c r="G29" s="158"/>
      <c r="H29" s="158"/>
      <c r="I29" s="158"/>
      <c r="J29" s="158"/>
      <c r="K29" s="576"/>
    </row>
    <row r="30" spans="1:13" ht="11.25" customHeight="1">
      <c r="A30" s="225"/>
      <c r="B30" s="138"/>
      <c r="C30" s="138"/>
      <c r="D30" s="138"/>
      <c r="E30" s="138"/>
      <c r="F30" s="138"/>
      <c r="G30" s="138"/>
      <c r="H30" s="138"/>
      <c r="I30" s="138"/>
      <c r="J30" s="138"/>
      <c r="K30" s="576"/>
    </row>
    <row r="31" spans="1:13" ht="11.25" customHeight="1">
      <c r="A31" s="17"/>
      <c r="B31" s="881" t="str">
        <f>"Gráfico 2: Ingreso de Potencia Efectiva por tipo de Recurso Energético y Tecnología en "&amp;'1. Resumen'!Q4&amp;" "&amp;'1. Resumen'!Q5&amp;" (MW)"</f>
        <v>Gráfico 2: Ingreso de Potencia Efectiva por tipo de Recurso Energético y Tecnología en setiembre 2019 (MW)</v>
      </c>
      <c r="C31" s="881"/>
      <c r="D31" s="881"/>
      <c r="E31" s="881"/>
      <c r="F31" s="881"/>
      <c r="G31" s="881"/>
      <c r="H31" s="881"/>
      <c r="I31" s="881"/>
      <c r="J31" s="881"/>
      <c r="K31" s="881"/>
    </row>
    <row r="32" spans="1:13" ht="27" hidden="1" customHeight="1">
      <c r="B32" s="893"/>
      <c r="C32" s="893"/>
      <c r="D32" s="893"/>
      <c r="E32" s="893"/>
      <c r="F32" s="893"/>
      <c r="G32" s="893"/>
      <c r="H32" s="893"/>
    </row>
    <row r="33" spans="1:15" ht="22.5" customHeight="1">
      <c r="A33" s="17"/>
      <c r="B33" s="17"/>
      <c r="C33" s="17"/>
      <c r="D33" s="17"/>
      <c r="E33" s="17"/>
      <c r="F33" s="17"/>
      <c r="G33" s="17"/>
      <c r="H33" s="17"/>
      <c r="I33" s="17"/>
      <c r="J33" s="17"/>
      <c r="K33" s="576"/>
    </row>
    <row r="34" spans="1:15" ht="11.25" customHeight="1">
      <c r="A34" s="176" t="s">
        <v>441</v>
      </c>
      <c r="B34" s="132"/>
      <c r="C34" s="227"/>
      <c r="D34" s="132"/>
      <c r="E34" s="132"/>
      <c r="F34" s="132"/>
      <c r="G34" s="132"/>
      <c r="H34" s="132"/>
      <c r="I34" s="132"/>
      <c r="J34" s="132"/>
      <c r="K34" s="576"/>
    </row>
    <row r="35" spans="1:15" ht="11.25" customHeight="1">
      <c r="B35" s="132"/>
      <c r="C35" s="227"/>
      <c r="D35" s="132"/>
      <c r="E35" s="132"/>
      <c r="F35" s="132"/>
      <c r="G35" s="132"/>
      <c r="H35" s="132"/>
      <c r="I35" s="132"/>
      <c r="J35" s="132"/>
      <c r="K35" s="576"/>
    </row>
    <row r="36" spans="1:15" ht="21" customHeight="1">
      <c r="B36" s="879" t="s">
        <v>228</v>
      </c>
      <c r="C36" s="880"/>
      <c r="D36" s="513" t="str">
        <f>UPPER('1. Resumen'!Q4)&amp;" "&amp;'1. Resumen'!Q5</f>
        <v>SETIEMBRE 2019</v>
      </c>
      <c r="E36" s="513" t="str">
        <f>UPPER('1. Resumen'!Q4)&amp;" "&amp;'1. Resumen'!Q5-1</f>
        <v>SETIEMBRE 2018</v>
      </c>
      <c r="F36" s="514" t="s">
        <v>230</v>
      </c>
      <c r="G36" s="234"/>
      <c r="H36" s="234"/>
      <c r="I36" s="132"/>
      <c r="J36" s="132"/>
    </row>
    <row r="37" spans="1:15" ht="9.75" customHeight="1">
      <c r="B37" s="883" t="s">
        <v>222</v>
      </c>
      <c r="C37" s="884"/>
      <c r="D37" s="485">
        <f>4996.1492475+86.2+20+20</f>
        <v>5122.3492474999994</v>
      </c>
      <c r="E37" s="486">
        <v>4904.5012475000012</v>
      </c>
      <c r="F37" s="487">
        <f>+D37/E37-1</f>
        <v>4.441797218647725E-2</v>
      </c>
      <c r="G37" s="234"/>
      <c r="H37" s="234"/>
      <c r="I37" s="132"/>
      <c r="J37" s="132"/>
      <c r="K37" s="576"/>
    </row>
    <row r="38" spans="1:15" ht="9.75" customHeight="1">
      <c r="B38" s="885" t="s">
        <v>223</v>
      </c>
      <c r="C38" s="886"/>
      <c r="D38" s="488">
        <f>7395.9645+H11</f>
        <v>7417.6745000000001</v>
      </c>
      <c r="E38" s="489">
        <v>7393.5644999999995</v>
      </c>
      <c r="F38" s="490">
        <f>+D38/E38-1</f>
        <v>3.2609440277420187E-3</v>
      </c>
      <c r="G38" s="235"/>
      <c r="H38" s="235"/>
      <c r="M38" s="578"/>
      <c r="N38" s="578"/>
      <c r="O38" s="579"/>
    </row>
    <row r="39" spans="1:15" ht="9.75" customHeight="1">
      <c r="B39" s="887" t="s">
        <v>224</v>
      </c>
      <c r="C39" s="888"/>
      <c r="D39" s="491">
        <v>375.46</v>
      </c>
      <c r="E39" s="492">
        <v>375.46</v>
      </c>
      <c r="F39" s="493">
        <f>+D39/E39-1</f>
        <v>0</v>
      </c>
      <c r="G39" s="235"/>
      <c r="H39" s="235"/>
    </row>
    <row r="40" spans="1:15" ht="9.75" customHeight="1">
      <c r="B40" s="889" t="s">
        <v>81</v>
      </c>
      <c r="C40" s="890"/>
      <c r="D40" s="494">
        <v>285.02</v>
      </c>
      <c r="E40" s="495">
        <v>285.02</v>
      </c>
      <c r="F40" s="496">
        <f>+D40/E40-1</f>
        <v>0</v>
      </c>
      <c r="G40" s="235"/>
      <c r="H40" s="235"/>
    </row>
    <row r="41" spans="1:15" ht="10.5" customHeight="1">
      <c r="B41" s="877" t="s">
        <v>201</v>
      </c>
      <c r="C41" s="878"/>
      <c r="D41" s="497">
        <f>+D37+D38+D39+D40</f>
        <v>13200.503747499999</v>
      </c>
      <c r="E41" s="498">
        <v>12958.5457475</v>
      </c>
      <c r="F41" s="499">
        <f>+D41/E41-1</f>
        <v>1.8671693931911815E-2</v>
      </c>
      <c r="G41" s="426"/>
      <c r="H41" s="235"/>
    </row>
    <row r="42" spans="1:15" ht="11.25" customHeight="1">
      <c r="B42" s="277" t="str">
        <f>"Cuadro N° 2: Comparación de la potencia instalada en el SEIN al término de "&amp;'1. Resumen'!Q4&amp;" "&amp;'1. Resumen'!Q5-1&amp;" y "&amp;'1. Resumen'!Q4&amp;" "&amp;'1. Resumen'!Q5</f>
        <v>Cuadro N° 2: Comparación de la potencia instalada en el SEIN al término de setiembre 2018 y setiembre 2019</v>
      </c>
      <c r="C42" s="234"/>
      <c r="D42" s="234"/>
      <c r="E42" s="234"/>
      <c r="F42" s="234"/>
      <c r="G42" s="234"/>
      <c r="H42" s="234"/>
      <c r="I42" s="132"/>
      <c r="J42" s="132"/>
      <c r="K42" s="576"/>
    </row>
    <row r="43" spans="1:15" ht="14.25" customHeight="1">
      <c r="B43" s="277"/>
      <c r="C43" s="234"/>
      <c r="D43" s="234"/>
      <c r="E43" s="234"/>
      <c r="F43" s="234"/>
      <c r="G43" s="234"/>
      <c r="H43" s="234"/>
      <c r="I43" s="132"/>
      <c r="J43" s="132"/>
      <c r="K43" s="576"/>
    </row>
    <row r="44" spans="1:15" ht="9" customHeight="1">
      <c r="B44" s="277"/>
      <c r="C44" s="234"/>
      <c r="D44" s="234"/>
      <c r="E44" s="234"/>
      <c r="F44" s="234"/>
      <c r="G44" s="234"/>
      <c r="H44" s="234"/>
      <c r="I44" s="132"/>
      <c r="J44" s="132"/>
      <c r="K44" s="576"/>
    </row>
    <row r="45" spans="1:15" ht="25.5" customHeight="1">
      <c r="B45" s="277"/>
      <c r="C45" s="234"/>
      <c r="D45" s="234"/>
      <c r="E45" s="234"/>
      <c r="F45" s="234"/>
      <c r="G45" s="234"/>
      <c r="H45" s="234"/>
      <c r="I45" s="132"/>
      <c r="J45" s="132"/>
      <c r="K45" s="576"/>
    </row>
    <row r="46" spans="1:15" ht="11.25" customHeight="1">
      <c r="B46" s="277"/>
      <c r="C46" s="234"/>
      <c r="D46" s="234"/>
      <c r="E46" s="234"/>
      <c r="F46" s="234"/>
      <c r="G46" s="234"/>
      <c r="H46" s="234"/>
      <c r="I46" s="132"/>
      <c r="J46" s="132"/>
      <c r="K46" s="576"/>
    </row>
    <row r="47" spans="1:15" ht="11.25" customHeight="1">
      <c r="A47" s="132"/>
      <c r="C47" s="235"/>
      <c r="D47" s="234"/>
      <c r="E47" s="234"/>
      <c r="F47" s="234"/>
      <c r="G47" s="234"/>
      <c r="H47" s="234"/>
      <c r="I47" s="132"/>
      <c r="J47" s="132"/>
      <c r="K47" s="576"/>
    </row>
    <row r="48" spans="1:15" ht="11.25" customHeight="1">
      <c r="A48" s="132"/>
      <c r="B48" s="132"/>
      <c r="C48" s="132"/>
      <c r="D48" s="132"/>
      <c r="E48" s="132"/>
      <c r="F48" s="132"/>
      <c r="G48" s="132"/>
      <c r="H48" s="132"/>
      <c r="I48" s="132"/>
      <c r="J48" s="132"/>
      <c r="K48" s="576"/>
    </row>
    <row r="49" spans="1:11" ht="11.25" customHeight="1">
      <c r="A49" s="132"/>
      <c r="B49" s="132"/>
      <c r="C49" s="132"/>
      <c r="D49" s="132"/>
      <c r="E49" s="132"/>
      <c r="F49" s="132"/>
      <c r="G49" s="132"/>
      <c r="H49" s="132"/>
      <c r="I49" s="132"/>
      <c r="J49" s="132"/>
      <c r="K49" s="576"/>
    </row>
    <row r="50" spans="1:11">
      <c r="A50" s="137"/>
      <c r="B50" s="132"/>
      <c r="C50" s="132"/>
      <c r="D50" s="132"/>
      <c r="E50" s="132"/>
      <c r="F50" s="132"/>
      <c r="G50" s="132"/>
      <c r="H50" s="132"/>
      <c r="I50" s="132"/>
      <c r="J50" s="132"/>
    </row>
    <row r="51" spans="1:11">
      <c r="A51" s="132"/>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ht="13.5" customHeight="1">
      <c r="A55" s="132"/>
      <c r="B55" s="132"/>
      <c r="C55" s="132"/>
      <c r="D55" s="132"/>
      <c r="E55" s="132"/>
      <c r="F55" s="132"/>
      <c r="G55" s="132"/>
      <c r="H55" s="132"/>
      <c r="I55" s="132"/>
      <c r="J55" s="132"/>
    </row>
    <row r="56" spans="1:11" ht="19.5" customHeight="1">
      <c r="A56" s="132"/>
      <c r="B56" s="132"/>
      <c r="C56" s="132"/>
      <c r="D56" s="132"/>
      <c r="E56" s="132"/>
      <c r="F56" s="132"/>
      <c r="G56" s="132"/>
      <c r="H56" s="132"/>
      <c r="I56" s="132"/>
      <c r="J56" s="132"/>
    </row>
    <row r="57" spans="1:11" ht="35.25" customHeight="1">
      <c r="A57" s="425" t="str">
        <f>"Gráfico N° 3: Comparación de la potencia instalada en el SEIN al término de "&amp;'1. Resumen'!Q4&amp;" "&amp;'1. Resumen'!Q5-1&amp;" y "&amp;'1. Resumen'!Q4&amp;" "&amp;'1. Resumen'!Q5</f>
        <v>Gráfico N° 3: Comparación de la potencia instalada en el SEIN al término de setiembre 2018 y setiembre 2019</v>
      </c>
      <c r="C57" s="132"/>
      <c r="D57" s="132"/>
      <c r="E57" s="132"/>
      <c r="F57" s="132"/>
      <c r="G57" s="132"/>
      <c r="H57" s="132"/>
      <c r="I57" s="132"/>
      <c r="J57" s="132"/>
    </row>
  </sheetData>
  <mergeCells count="12">
    <mergeCell ref="B41:C41"/>
    <mergeCell ref="B36:C36"/>
    <mergeCell ref="B31:K31"/>
    <mergeCell ref="A2:J2"/>
    <mergeCell ref="B37:C37"/>
    <mergeCell ref="B38:C38"/>
    <mergeCell ref="B39:C39"/>
    <mergeCell ref="B40:C40"/>
    <mergeCell ref="A16:J16"/>
    <mergeCell ref="A18:J18"/>
    <mergeCell ref="B32:H32"/>
    <mergeCell ref="A19:J19"/>
  </mergeCells>
  <conditionalFormatting sqref="A22:A24">
    <cfRule type="containsText" dxfId="5" priority="5" stopIfTrue="1" operator="containsText" text=" 0%">
      <formula>NOT(ISERROR(SEARCH(" 0%",A22)))</formula>
    </cfRule>
    <cfRule type="containsText" dxfId="4" priority="6" stopIfTrue="1" operator="containsText" text="0.0%">
      <formula>NOT(ISERROR(SEARCH("0.0%",A22)))</formula>
    </cfRule>
  </conditionalFormatting>
  <conditionalFormatting sqref="A20">
    <cfRule type="containsText" dxfId="3" priority="3" stopIfTrue="1" operator="containsText" text=" 0%">
      <formula>NOT(ISERROR(SEARCH(" 0%",A20)))</formula>
    </cfRule>
    <cfRule type="containsText" dxfId="2" priority="4" stopIfTrue="1" operator="containsText" text="0.0%">
      <formula>NOT(ISERROR(SEARCH("0.0%",A20)))</formula>
    </cfRule>
  </conditionalFormatting>
  <conditionalFormatting sqref="A21">
    <cfRule type="containsText" dxfId="1" priority="1" stopIfTrue="1" operator="containsText" text=" 0%">
      <formula>NOT(ISERROR(SEARCH(" 0%",A21)))</formula>
    </cfRule>
    <cfRule type="containsText" dxfId="0" priority="2" stopIfTrue="1" operator="containsText" text="0.0%">
      <formula>NOT(ISERROR(SEARCH("0.0%",A21)))</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115" zoomScaleNormal="100" zoomScaleSheetLayoutView="115" zoomScalePageLayoutView="85" workbookViewId="0"/>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98" t="s">
        <v>232</v>
      </c>
      <c r="B2" s="898"/>
      <c r="C2" s="898"/>
      <c r="D2" s="898"/>
      <c r="E2" s="898"/>
      <c r="F2" s="898"/>
      <c r="G2" s="898"/>
      <c r="H2" s="898"/>
      <c r="I2" s="898"/>
      <c r="J2" s="898"/>
      <c r="K2" s="898"/>
    </row>
    <row r="3" spans="1:11" ht="11.25" customHeight="1">
      <c r="A3" s="83"/>
      <c r="B3" s="84"/>
      <c r="C3" s="85"/>
      <c r="D3" s="86"/>
      <c r="E3" s="86"/>
      <c r="F3" s="86"/>
      <c r="G3" s="86"/>
      <c r="H3" s="83"/>
      <c r="I3" s="83"/>
      <c r="J3" s="83"/>
      <c r="K3" s="87"/>
    </row>
    <row r="4" spans="1:11" ht="11.25" customHeight="1">
      <c r="A4" s="899" t="str">
        <f>+"3.1. PRODUCCIÓN POR TIPO DE GENERACIÓN (GWh)"</f>
        <v>3.1. PRODUCCIÓN POR TIPO DE GENERACIÓN (GWh)</v>
      </c>
      <c r="B4" s="899"/>
      <c r="C4" s="899"/>
      <c r="D4" s="899"/>
      <c r="E4" s="899"/>
      <c r="F4" s="899"/>
      <c r="G4" s="899"/>
      <c r="H4" s="899"/>
      <c r="I4" s="899"/>
      <c r="J4" s="899"/>
      <c r="K4" s="899"/>
    </row>
    <row r="5" spans="1:11" ht="11.25" customHeight="1">
      <c r="A5" s="54"/>
      <c r="B5" s="88"/>
      <c r="C5" s="89"/>
      <c r="D5" s="90"/>
      <c r="E5" s="90"/>
      <c r="F5" s="90"/>
      <c r="G5" s="90"/>
      <c r="H5" s="91"/>
      <c r="I5" s="83"/>
      <c r="J5" s="83"/>
      <c r="K5" s="92"/>
    </row>
    <row r="6" spans="1:11" ht="18" customHeight="1">
      <c r="A6" s="896" t="s">
        <v>32</v>
      </c>
      <c r="B6" s="900" t="s">
        <v>33</v>
      </c>
      <c r="C6" s="901"/>
      <c r="D6" s="901"/>
      <c r="E6" s="901" t="s">
        <v>34</v>
      </c>
      <c r="F6" s="901"/>
      <c r="G6" s="902" t="str">
        <f>"Generación Acumulada a "&amp;'1. Resumen'!Q4</f>
        <v>Generación Acumulada a setiembre</v>
      </c>
      <c r="H6" s="902"/>
      <c r="I6" s="902"/>
      <c r="J6" s="902"/>
      <c r="K6" s="903"/>
    </row>
    <row r="7" spans="1:11" ht="32.25" customHeight="1">
      <c r="A7" s="897"/>
      <c r="B7" s="515">
        <f>+C7-30</f>
        <v>43651</v>
      </c>
      <c r="C7" s="515">
        <f>+D7-28</f>
        <v>43681</v>
      </c>
      <c r="D7" s="515">
        <f>+'1. Resumen'!Q6</f>
        <v>43709</v>
      </c>
      <c r="E7" s="515">
        <f>+D7-365</f>
        <v>43344</v>
      </c>
      <c r="F7" s="516" t="s">
        <v>35</v>
      </c>
      <c r="G7" s="517">
        <v>2019</v>
      </c>
      <c r="H7" s="517">
        <v>2018</v>
      </c>
      <c r="I7" s="516" t="s">
        <v>500</v>
      </c>
      <c r="J7" s="517">
        <v>2017</v>
      </c>
      <c r="K7" s="518" t="s">
        <v>42</v>
      </c>
    </row>
    <row r="8" spans="1:11" ht="15" customHeight="1">
      <c r="A8" s="116" t="s">
        <v>36</v>
      </c>
      <c r="B8" s="368">
        <v>2070.9468782574995</v>
      </c>
      <c r="C8" s="364">
        <v>1894.8579691774999</v>
      </c>
      <c r="D8" s="369">
        <v>1817.6479766325006</v>
      </c>
      <c r="E8" s="368">
        <v>1656.4380512150008</v>
      </c>
      <c r="F8" s="243">
        <f>IF(E8=0,"",D8/E8-1)</f>
        <v>9.7323244475850945E-2</v>
      </c>
      <c r="G8" s="376">
        <v>22376.531456530007</v>
      </c>
      <c r="H8" s="364">
        <v>21956.429081425005</v>
      </c>
      <c r="I8" s="247">
        <f>IF(H8=0,"",G8/H8-1)</f>
        <v>1.9133456244048608E-2</v>
      </c>
      <c r="J8" s="368">
        <v>20893.304815372703</v>
      </c>
      <c r="K8" s="243">
        <f t="shared" ref="K8:K15" si="0">IF(J8=0,"",H8/J8-1)</f>
        <v>5.0883489971872864E-2</v>
      </c>
    </row>
    <row r="9" spans="1:11" ht="15" customHeight="1">
      <c r="A9" s="117" t="s">
        <v>37</v>
      </c>
      <c r="B9" s="370">
        <v>2112.5234429574994</v>
      </c>
      <c r="C9" s="253">
        <v>2316.0212788399999</v>
      </c>
      <c r="D9" s="371">
        <v>2237.3565123875001</v>
      </c>
      <c r="E9" s="370">
        <v>2273.546356267499</v>
      </c>
      <c r="F9" s="244">
        <f t="shared" ref="F9:F15" si="1">IF(E9=0,"",D9/E9-1)</f>
        <v>-1.5917794585641132E-2</v>
      </c>
      <c r="G9" s="377">
        <v>15284.4833201</v>
      </c>
      <c r="H9" s="253">
        <v>14148.390674712502</v>
      </c>
      <c r="I9" s="248">
        <f t="shared" ref="I9:I15" si="2">IF(H9=0,"",G9/H9-1)</f>
        <v>8.0298365482516898E-2</v>
      </c>
      <c r="J9" s="370">
        <v>14768.310769117192</v>
      </c>
      <c r="K9" s="244">
        <f t="shared" si="0"/>
        <v>-4.1976371170427851E-2</v>
      </c>
    </row>
    <row r="10" spans="1:11" ht="15" customHeight="1">
      <c r="A10" s="118" t="s">
        <v>38</v>
      </c>
      <c r="B10" s="372">
        <v>157.13154374249999</v>
      </c>
      <c r="C10" s="254">
        <v>124.6546490225</v>
      </c>
      <c r="D10" s="373">
        <v>147.70153075500002</v>
      </c>
      <c r="E10" s="372">
        <v>141.62182448750002</v>
      </c>
      <c r="F10" s="245">
        <f>IF(E10=0,"",D10/E10-1)</f>
        <v>4.2929162150686873E-2</v>
      </c>
      <c r="G10" s="378">
        <v>1224.6081709649998</v>
      </c>
      <c r="H10" s="254">
        <v>1064.91893714</v>
      </c>
      <c r="I10" s="249">
        <f t="shared" si="2"/>
        <v>0.14995435638873067</v>
      </c>
      <c r="J10" s="372">
        <v>765.53162926478979</v>
      </c>
      <c r="K10" s="245">
        <f t="shared" si="0"/>
        <v>0.39108417788398797</v>
      </c>
    </row>
    <row r="11" spans="1:11" ht="15" customHeight="1">
      <c r="A11" s="117" t="s">
        <v>30</v>
      </c>
      <c r="B11" s="370">
        <v>57.339797814999997</v>
      </c>
      <c r="C11" s="253">
        <v>66.063445387499982</v>
      </c>
      <c r="D11" s="371">
        <v>67.23456245749999</v>
      </c>
      <c r="E11" s="370">
        <v>71.752520337500002</v>
      </c>
      <c r="F11" s="244">
        <f>IF(E11=0,"",D11/E11-1)</f>
        <v>-6.2965842297232788E-2</v>
      </c>
      <c r="G11" s="377">
        <v>531.99980355999992</v>
      </c>
      <c r="H11" s="253">
        <v>516.96294117500008</v>
      </c>
      <c r="I11" s="248">
        <f t="shared" si="2"/>
        <v>2.9086925168799738E-2</v>
      </c>
      <c r="J11" s="370">
        <v>160.64373730200052</v>
      </c>
      <c r="K11" s="244">
        <f t="shared" si="0"/>
        <v>2.2180709304785471</v>
      </c>
    </row>
    <row r="12" spans="1:11" ht="15" customHeight="1">
      <c r="A12" s="145" t="s">
        <v>43</v>
      </c>
      <c r="B12" s="374">
        <f>+SUM(B8:B11)</f>
        <v>4397.9416627724986</v>
      </c>
      <c r="C12" s="365">
        <f t="shared" ref="C12:E12" si="3">+SUM(C8:C11)</f>
        <v>4401.5973424274998</v>
      </c>
      <c r="D12" s="375">
        <f t="shared" si="3"/>
        <v>4269.9405822325007</v>
      </c>
      <c r="E12" s="374">
        <f t="shared" si="3"/>
        <v>4143.3587523074993</v>
      </c>
      <c r="F12" s="246">
        <f>IF(E12=0,"",D12/E12-1)</f>
        <v>3.0550535807334134E-2</v>
      </c>
      <c r="G12" s="374">
        <f t="shared" ref="G12:J12" si="4">+SUM(G8:G11)</f>
        <v>39417.62275115501</v>
      </c>
      <c r="H12" s="365">
        <f t="shared" si="4"/>
        <v>37686.701634452504</v>
      </c>
      <c r="I12" s="250">
        <f>IF(H12=0,"",G12/H12-1)</f>
        <v>4.5929228126457389E-2</v>
      </c>
      <c r="J12" s="374">
        <f t="shared" si="4"/>
        <v>36587.79095105669</v>
      </c>
      <c r="K12" s="246">
        <f t="shared" si="0"/>
        <v>3.0034901119496915E-2</v>
      </c>
    </row>
    <row r="13" spans="1:11" ht="15" customHeight="1">
      <c r="A13" s="112"/>
      <c r="B13" s="112"/>
      <c r="C13" s="112"/>
      <c r="D13" s="112"/>
      <c r="E13" s="112"/>
      <c r="F13" s="114"/>
      <c r="G13" s="112"/>
      <c r="H13" s="112"/>
      <c r="I13" s="114"/>
      <c r="J13" s="113"/>
      <c r="K13" s="114" t="str">
        <f t="shared" si="0"/>
        <v/>
      </c>
    </row>
    <row r="14" spans="1:11" ht="15" customHeight="1">
      <c r="A14" s="119" t="s">
        <v>39</v>
      </c>
      <c r="B14" s="241">
        <v>8.3070756200000098</v>
      </c>
      <c r="C14" s="242">
        <v>19.613563159999973</v>
      </c>
      <c r="D14" s="367">
        <v>0</v>
      </c>
      <c r="E14" s="241">
        <v>6.9169657400000002</v>
      </c>
      <c r="F14" s="120">
        <f t="shared" si="1"/>
        <v>-1</v>
      </c>
      <c r="G14" s="241">
        <v>57.917815239999996</v>
      </c>
      <c r="H14" s="242">
        <v>21.20075765</v>
      </c>
      <c r="I14" s="123">
        <f t="shared" si="2"/>
        <v>1.7318747846730842</v>
      </c>
      <c r="J14" s="241">
        <v>16.595158999999999</v>
      </c>
      <c r="K14" s="120">
        <f t="shared" si="0"/>
        <v>0.27752663593039406</v>
      </c>
    </row>
    <row r="15" spans="1:11" ht="15" customHeight="1">
      <c r="A15" s="118" t="s">
        <v>40</v>
      </c>
      <c r="B15" s="238">
        <v>0</v>
      </c>
      <c r="C15" s="239">
        <v>0</v>
      </c>
      <c r="D15" s="240">
        <v>0</v>
      </c>
      <c r="E15" s="238">
        <v>0</v>
      </c>
      <c r="F15" s="121" t="str">
        <f t="shared" si="1"/>
        <v/>
      </c>
      <c r="G15" s="238">
        <v>0</v>
      </c>
      <c r="H15" s="239">
        <v>0</v>
      </c>
      <c r="I15" s="115" t="str">
        <f t="shared" si="2"/>
        <v/>
      </c>
      <c r="J15" s="238">
        <v>0</v>
      </c>
      <c r="K15" s="121" t="str">
        <f t="shared" si="0"/>
        <v/>
      </c>
    </row>
    <row r="16" spans="1:11" ht="23.25" customHeight="1">
      <c r="A16" s="125" t="s">
        <v>41</v>
      </c>
      <c r="B16" s="251">
        <v>0</v>
      </c>
      <c r="C16" s="252">
        <v>0</v>
      </c>
      <c r="D16" s="431">
        <v>0</v>
      </c>
      <c r="E16" s="251">
        <v>0</v>
      </c>
      <c r="F16" s="122"/>
      <c r="G16" s="251">
        <v>0</v>
      </c>
      <c r="H16" s="252">
        <v>0</v>
      </c>
      <c r="I16" s="124"/>
      <c r="J16" s="251">
        <v>0</v>
      </c>
      <c r="K16" s="122"/>
    </row>
    <row r="17" spans="1:11" ht="11.25" customHeight="1">
      <c r="A17" s="237" t="s">
        <v>231</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94"/>
      <c r="C42" s="894"/>
      <c r="D42" s="894"/>
      <c r="E42" s="93"/>
      <c r="F42" s="93"/>
      <c r="G42" s="895"/>
      <c r="H42" s="895"/>
      <c r="I42" s="895"/>
      <c r="J42" s="895"/>
      <c r="K42" s="895"/>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7" t="str">
        <f>"Gráfico N° 4: Comparación de la producción de energía eléctrica por tipo de generación acumulada a "&amp;'1. Resumen'!Q4</f>
        <v>Gráfico N° 4: Comparación de la producción de energía eléctrica por tipo de generación acumulada a setiembre</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Mensual-Setiembre 2019
INFSGI-MES-09-2019
11/10/2019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5" zoomScaleNormal="100" zoomScaleSheetLayoutView="115" zoomScalePageLayoutView="145" workbookViewId="0">
      <selection activeCell="O11" sqref="O11"/>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5" bestFit="1" customWidth="1"/>
    <col min="10" max="10" width="12.33203125" customWidth="1"/>
    <col min="11" max="11" width="9.33203125" customWidth="1"/>
  </cols>
  <sheetData>
    <row r="1" spans="1:12" ht="11.25" customHeight="1"/>
    <row r="2" spans="1:12" ht="11.25" customHeight="1">
      <c r="A2" s="904" t="str">
        <f>+"3.2. PRODUCCIÓN POR TIPO DE RECURSO ENERGÉTICO (GWh)"</f>
        <v>3.2. PRODUCCIÓN POR TIPO DE RECURSO ENERGÉTICO (GWh)</v>
      </c>
      <c r="B2" s="904"/>
      <c r="C2" s="904"/>
      <c r="D2" s="904"/>
      <c r="E2" s="904"/>
      <c r="F2" s="904"/>
      <c r="G2" s="904"/>
      <c r="H2" s="904"/>
      <c r="I2" s="904"/>
      <c r="J2" s="904"/>
      <c r="K2" s="904"/>
    </row>
    <row r="3" spans="1:12" ht="18.75" customHeight="1">
      <c r="A3" s="126"/>
      <c r="B3" s="127"/>
      <c r="C3" s="128"/>
      <c r="D3" s="129"/>
      <c r="E3" s="129"/>
      <c r="F3" s="129"/>
      <c r="G3" s="130"/>
      <c r="H3" s="130"/>
      <c r="I3" s="130"/>
      <c r="J3" s="126"/>
      <c r="K3" s="126"/>
      <c r="L3" s="36"/>
    </row>
    <row r="4" spans="1:12" ht="14.25" customHeight="1">
      <c r="A4" s="908" t="s">
        <v>44</v>
      </c>
      <c r="B4" s="905" t="s">
        <v>33</v>
      </c>
      <c r="C4" s="906"/>
      <c r="D4" s="906"/>
      <c r="E4" s="906" t="s">
        <v>34</v>
      </c>
      <c r="F4" s="906"/>
      <c r="G4" s="907" t="str">
        <f>+'3. Tipo Generación'!G6:K6</f>
        <v>Generación Acumulada a setiembre</v>
      </c>
      <c r="H4" s="907"/>
      <c r="I4" s="907"/>
      <c r="J4" s="907"/>
      <c r="K4" s="907"/>
      <c r="L4" s="131"/>
    </row>
    <row r="5" spans="1:12" ht="26.25" customHeight="1">
      <c r="A5" s="908"/>
      <c r="B5" s="519">
        <f>+'3. Tipo Generación'!B7</f>
        <v>43651</v>
      </c>
      <c r="C5" s="519">
        <f>+'3. Tipo Generación'!C7</f>
        <v>43681</v>
      </c>
      <c r="D5" s="519">
        <f>+'3. Tipo Generación'!D7</f>
        <v>43709</v>
      </c>
      <c r="E5" s="519">
        <f>+'3. Tipo Generación'!E7</f>
        <v>43344</v>
      </c>
      <c r="F5" s="520" t="s">
        <v>35</v>
      </c>
      <c r="G5" s="521">
        <v>2019</v>
      </c>
      <c r="H5" s="521">
        <v>2018</v>
      </c>
      <c r="I5" s="520" t="s">
        <v>500</v>
      </c>
      <c r="J5" s="521">
        <v>2017</v>
      </c>
      <c r="K5" s="520" t="s">
        <v>42</v>
      </c>
      <c r="L5" s="19"/>
    </row>
    <row r="6" spans="1:12" ht="11.25" customHeight="1">
      <c r="A6" s="139" t="s">
        <v>45</v>
      </c>
      <c r="B6" s="308">
        <v>2070.9468782574995</v>
      </c>
      <c r="C6" s="309">
        <v>1894.8579691774999</v>
      </c>
      <c r="D6" s="310">
        <v>1817.6479766325006</v>
      </c>
      <c r="E6" s="308">
        <v>1656.4380512150008</v>
      </c>
      <c r="F6" s="258">
        <f>IF(E6=0,"",D6/E6-1)</f>
        <v>9.7323244475850945E-2</v>
      </c>
      <c r="G6" s="308">
        <v>22376.531456530007</v>
      </c>
      <c r="H6" s="309">
        <v>21956.429081425005</v>
      </c>
      <c r="I6" s="258">
        <f t="shared" ref="I6:I16" si="0">IF(H6=0,"",G6/H6-1)</f>
        <v>1.9133456244048608E-2</v>
      </c>
      <c r="J6" s="308">
        <v>20893.304815372703</v>
      </c>
      <c r="K6" s="258">
        <f>IF(J6=0,"",H6/J6-1)</f>
        <v>5.0883489971872864E-2</v>
      </c>
      <c r="L6" s="24"/>
    </row>
    <row r="7" spans="1:12" ht="11.25" customHeight="1">
      <c r="A7" s="140" t="s">
        <v>51</v>
      </c>
      <c r="B7" s="311">
        <v>1990.5337986899995</v>
      </c>
      <c r="C7" s="253">
        <v>2158.4746670975001</v>
      </c>
      <c r="D7" s="312">
        <v>2095.97545975</v>
      </c>
      <c r="E7" s="311">
        <v>2095.2852496499995</v>
      </c>
      <c r="F7" s="259">
        <f t="shared" ref="F7:F18" si="1">IF(E7=0,"",D7/E7-1)</f>
        <v>3.29411043253236E-4</v>
      </c>
      <c r="G7" s="311">
        <v>14241.072474732033</v>
      </c>
      <c r="H7" s="253">
        <v>13134.590879654999</v>
      </c>
      <c r="I7" s="259">
        <f t="shared" si="0"/>
        <v>8.4241801302767039E-2</v>
      </c>
      <c r="J7" s="311">
        <v>12711.04542937821</v>
      </c>
      <c r="K7" s="259">
        <f t="shared" ref="K7:K19" si="2">IF(J7=0,"",H7/J7-1)</f>
        <v>3.3321055504834884E-2</v>
      </c>
      <c r="L7" s="22"/>
    </row>
    <row r="8" spans="1:12" ht="11.25" customHeight="1">
      <c r="A8" s="141" t="s">
        <v>52</v>
      </c>
      <c r="B8" s="313">
        <v>64.338034285000006</v>
      </c>
      <c r="C8" s="254">
        <v>61.765361412499999</v>
      </c>
      <c r="D8" s="314">
        <v>63.313720462500001</v>
      </c>
      <c r="E8" s="313">
        <v>64.839849642499999</v>
      </c>
      <c r="F8" s="429">
        <f t="shared" si="1"/>
        <v>-2.3536901896201834E-2</v>
      </c>
      <c r="G8" s="313">
        <v>440.25991847499995</v>
      </c>
      <c r="H8" s="254">
        <v>424.75720211999999</v>
      </c>
      <c r="I8" s="429">
        <f t="shared" si="0"/>
        <v>3.6497830472619563E-2</v>
      </c>
      <c r="J8" s="313">
        <v>359.50202991758681</v>
      </c>
      <c r="K8" s="429">
        <f t="shared" si="2"/>
        <v>0.18151544851463686</v>
      </c>
      <c r="L8" s="22"/>
    </row>
    <row r="9" spans="1:12" ht="11.25" customHeight="1">
      <c r="A9" s="140" t="s">
        <v>53</v>
      </c>
      <c r="B9" s="311">
        <v>27.007340322499999</v>
      </c>
      <c r="C9" s="253">
        <v>72.701413130000006</v>
      </c>
      <c r="D9" s="312">
        <v>50.505097482499998</v>
      </c>
      <c r="E9" s="311">
        <v>93.527719640000001</v>
      </c>
      <c r="F9" s="259">
        <f t="shared" si="1"/>
        <v>-0.45999862204595077</v>
      </c>
      <c r="G9" s="311">
        <v>257.29133480000002</v>
      </c>
      <c r="H9" s="253">
        <v>334.13843624499998</v>
      </c>
      <c r="I9" s="259">
        <f t="shared" si="0"/>
        <v>-0.22998581758087067</v>
      </c>
      <c r="J9" s="311">
        <v>93.662222908517805</v>
      </c>
      <c r="K9" s="259">
        <f t="shared" si="2"/>
        <v>2.5674835154335511</v>
      </c>
      <c r="L9" s="22"/>
    </row>
    <row r="10" spans="1:12" ht="11.25" customHeight="1">
      <c r="A10" s="141" t="s">
        <v>54</v>
      </c>
      <c r="B10" s="313">
        <v>0</v>
      </c>
      <c r="C10" s="254">
        <v>0</v>
      </c>
      <c r="D10" s="314">
        <v>0</v>
      </c>
      <c r="E10" s="313">
        <v>0</v>
      </c>
      <c r="F10" s="429" t="str">
        <f t="shared" si="1"/>
        <v/>
      </c>
      <c r="G10" s="313">
        <v>0</v>
      </c>
      <c r="H10" s="254">
        <v>0</v>
      </c>
      <c r="I10" s="429" t="str">
        <f t="shared" si="0"/>
        <v/>
      </c>
      <c r="J10" s="313">
        <v>9.7034091828799998</v>
      </c>
      <c r="K10" s="429">
        <f t="shared" si="2"/>
        <v>-1</v>
      </c>
      <c r="L10" s="22"/>
    </row>
    <row r="11" spans="1:12" ht="11.25" customHeight="1">
      <c r="A11" s="140" t="s">
        <v>26</v>
      </c>
      <c r="B11" s="311">
        <v>4.104278055</v>
      </c>
      <c r="C11" s="253">
        <v>0</v>
      </c>
      <c r="D11" s="312">
        <v>5.1607714649999998</v>
      </c>
      <c r="E11" s="311">
        <v>0</v>
      </c>
      <c r="F11" s="259" t="str">
        <f t="shared" si="1"/>
        <v/>
      </c>
      <c r="G11" s="311">
        <v>27.548306129999997</v>
      </c>
      <c r="H11" s="253">
        <v>43.120710160000002</v>
      </c>
      <c r="I11" s="259">
        <f t="shared" si="0"/>
        <v>-0.36113514764062049</v>
      </c>
      <c r="J11" s="311">
        <v>650.66309742779697</v>
      </c>
      <c r="K11" s="259">
        <f t="shared" si="2"/>
        <v>-0.93372805322683139</v>
      </c>
      <c r="L11" s="24"/>
    </row>
    <row r="12" spans="1:12" ht="11.25" customHeight="1">
      <c r="A12" s="141" t="s">
        <v>46</v>
      </c>
      <c r="B12" s="313">
        <v>7.51934925E-2</v>
      </c>
      <c r="C12" s="254">
        <v>0.18967064750000001</v>
      </c>
      <c r="D12" s="314">
        <v>0</v>
      </c>
      <c r="E12" s="313">
        <v>1.3090175000000001E-2</v>
      </c>
      <c r="F12" s="429">
        <f t="shared" si="1"/>
        <v>-1</v>
      </c>
      <c r="G12" s="313">
        <v>42.214006862499993</v>
      </c>
      <c r="H12" s="254">
        <v>5.0606056925000003</v>
      </c>
      <c r="I12" s="429">
        <f t="shared" si="0"/>
        <v>7.3416905855879406</v>
      </c>
      <c r="J12" s="313">
        <v>119.67878300010726</v>
      </c>
      <c r="K12" s="429">
        <f t="shared" si="2"/>
        <v>-0.95771509731599236</v>
      </c>
      <c r="L12" s="22"/>
    </row>
    <row r="13" spans="1:12" ht="11.25" customHeight="1">
      <c r="A13" s="140" t="s">
        <v>47</v>
      </c>
      <c r="B13" s="311">
        <v>0.13735237749999998</v>
      </c>
      <c r="C13" s="253">
        <v>0</v>
      </c>
      <c r="D13" s="312">
        <v>0</v>
      </c>
      <c r="E13" s="311">
        <v>0</v>
      </c>
      <c r="F13" s="259" t="str">
        <f>IF(E13=0,"",D13/E13-1)</f>
        <v/>
      </c>
      <c r="G13" s="311">
        <v>0.226881735</v>
      </c>
      <c r="H13" s="253">
        <v>2.4329590024999996</v>
      </c>
      <c r="I13" s="259">
        <f t="shared" si="0"/>
        <v>-0.90674658522117857</v>
      </c>
      <c r="J13" s="311">
        <v>1.5090185460960002</v>
      </c>
      <c r="K13" s="259">
        <f t="shared" si="2"/>
        <v>0.61227905965392981</v>
      </c>
      <c r="L13" s="22"/>
    </row>
    <row r="14" spans="1:12" ht="11.25" customHeight="1">
      <c r="A14" s="141" t="s">
        <v>48</v>
      </c>
      <c r="B14" s="313">
        <v>0.84243127000000007</v>
      </c>
      <c r="C14" s="254">
        <v>0.98148405750000012</v>
      </c>
      <c r="D14" s="314">
        <v>2.3218834200000003</v>
      </c>
      <c r="E14" s="313">
        <v>6.3323882375</v>
      </c>
      <c r="F14" s="429">
        <f>IF(E14=0,"",D14/E14-1)</f>
        <v>-0.63333211216426144</v>
      </c>
      <c r="G14" s="313">
        <v>100.31500909296878</v>
      </c>
      <c r="H14" s="254">
        <v>104.31544209499999</v>
      </c>
      <c r="I14" s="429">
        <f t="shared" si="0"/>
        <v>-3.8349384536836117E-2</v>
      </c>
      <c r="J14" s="313">
        <v>730.52436019047695</v>
      </c>
      <c r="K14" s="429">
        <f t="shared" si="2"/>
        <v>-0.85720470421027328</v>
      </c>
      <c r="L14" s="22"/>
    </row>
    <row r="15" spans="1:12" ht="11.25" customHeight="1">
      <c r="A15" s="140" t="s">
        <v>49</v>
      </c>
      <c r="B15" s="311">
        <v>19.2527546725</v>
      </c>
      <c r="C15" s="253">
        <v>16.094884632500001</v>
      </c>
      <c r="D15" s="312">
        <v>14.513486125</v>
      </c>
      <c r="E15" s="311">
        <v>8.4465523725000011</v>
      </c>
      <c r="F15" s="259">
        <f t="shared" si="1"/>
        <v>0.71827338361773685</v>
      </c>
      <c r="G15" s="311">
        <v>126.3251826175</v>
      </c>
      <c r="H15" s="253">
        <v>66.387170037499999</v>
      </c>
      <c r="I15" s="259">
        <f>IF(H15=0,"",G15/H15-1)</f>
        <v>0.90285536416363188</v>
      </c>
      <c r="J15" s="311">
        <v>62.207928659824432</v>
      </c>
      <c r="K15" s="259">
        <f t="shared" si="2"/>
        <v>6.7181812153386034E-2</v>
      </c>
      <c r="L15" s="22"/>
    </row>
    <row r="16" spans="1:12" ht="11.25" customHeight="1">
      <c r="A16" s="141" t="s">
        <v>50</v>
      </c>
      <c r="B16" s="313">
        <v>6.2322597924999998</v>
      </c>
      <c r="C16" s="254">
        <v>5.8137978624999995</v>
      </c>
      <c r="D16" s="314">
        <v>5.5660936825</v>
      </c>
      <c r="E16" s="313">
        <v>5.1015065499999999</v>
      </c>
      <c r="F16" s="429">
        <f t="shared" si="1"/>
        <v>9.1068614329231856E-2</v>
      </c>
      <c r="G16" s="313">
        <v>49.230205655000006</v>
      </c>
      <c r="H16" s="254">
        <v>33.587269704999997</v>
      </c>
      <c r="I16" s="429">
        <f t="shared" si="0"/>
        <v>0.46574002851060303</v>
      </c>
      <c r="J16" s="313">
        <v>29.814489905696625</v>
      </c>
      <c r="K16" s="429">
        <f t="shared" si="2"/>
        <v>0.12654181947223297</v>
      </c>
      <c r="L16" s="22"/>
    </row>
    <row r="17" spans="1:12" ht="11.25" customHeight="1">
      <c r="A17" s="140" t="s">
        <v>30</v>
      </c>
      <c r="B17" s="311">
        <v>57.339797814999997</v>
      </c>
      <c r="C17" s="253">
        <v>66.063445387499982</v>
      </c>
      <c r="D17" s="312">
        <v>67.23456245749999</v>
      </c>
      <c r="E17" s="311">
        <v>71.752520337500002</v>
      </c>
      <c r="F17" s="259">
        <f t="shared" si="1"/>
        <v>-6.2965842297232788E-2</v>
      </c>
      <c r="G17" s="311">
        <v>531.99980355999992</v>
      </c>
      <c r="H17" s="253">
        <v>516.96294117500008</v>
      </c>
      <c r="I17" s="259">
        <f>IF(H17=0,"",G17/H17-1)</f>
        <v>2.9086925168799738E-2</v>
      </c>
      <c r="J17" s="311">
        <v>160.64373730200052</v>
      </c>
      <c r="K17" s="259">
        <f t="shared" si="2"/>
        <v>2.2180709304785471</v>
      </c>
      <c r="L17" s="22"/>
    </row>
    <row r="18" spans="1:12" ht="11.25" customHeight="1">
      <c r="A18" s="141" t="s">
        <v>29</v>
      </c>
      <c r="B18" s="313">
        <v>157.13154374249999</v>
      </c>
      <c r="C18" s="254">
        <v>124.6546490225</v>
      </c>
      <c r="D18" s="314">
        <v>147.70153075500002</v>
      </c>
      <c r="E18" s="313">
        <v>141.62182448750002</v>
      </c>
      <c r="F18" s="429">
        <f t="shared" si="1"/>
        <v>4.2929162150686873E-2</v>
      </c>
      <c r="G18" s="313">
        <v>1224.6081709649998</v>
      </c>
      <c r="H18" s="254">
        <v>1064.91893714</v>
      </c>
      <c r="I18" s="429">
        <f>IF(H18=0,"",G18/H18-1)</f>
        <v>0.14995435638873067</v>
      </c>
      <c r="J18" s="313">
        <v>765.53162926478979</v>
      </c>
      <c r="K18" s="429">
        <f t="shared" si="2"/>
        <v>0.39108417788398797</v>
      </c>
      <c r="L18" s="22"/>
    </row>
    <row r="19" spans="1:12" ht="11.25" customHeight="1">
      <c r="A19" s="146" t="s">
        <v>43</v>
      </c>
      <c r="B19" s="315">
        <f>SUM(B6:B18)</f>
        <v>4397.9416627724977</v>
      </c>
      <c r="C19" s="316">
        <f>SUM(C6:C18)</f>
        <v>4401.5973424274998</v>
      </c>
      <c r="D19" s="844">
        <f>SUM(D6:D18)</f>
        <v>4269.9405822325007</v>
      </c>
      <c r="E19" s="315">
        <f>SUM(E6:E18)</f>
        <v>4143.3587523075003</v>
      </c>
      <c r="F19" s="430">
        <f>IF(E19=0,"",D19/E19-1)</f>
        <v>3.0550535807333912E-2</v>
      </c>
      <c r="G19" s="315">
        <f>SUM(G6:G18)</f>
        <v>39417.62275115501</v>
      </c>
      <c r="H19" s="316">
        <f>SUM(H6:H18)</f>
        <v>37686.701634452511</v>
      </c>
      <c r="I19" s="430">
        <f>IF(H19=0,"",G19/H19-1)</f>
        <v>4.5929228126457167E-2</v>
      </c>
      <c r="J19" s="315">
        <f>SUM(J6:J18)</f>
        <v>36587.790951056682</v>
      </c>
      <c r="K19" s="430">
        <f t="shared" si="2"/>
        <v>3.0034901119497359E-2</v>
      </c>
      <c r="L19" s="30"/>
    </row>
    <row r="20" spans="1:12" ht="11.25" customHeight="1">
      <c r="A20" s="22"/>
      <c r="B20" s="22"/>
      <c r="C20" s="22"/>
      <c r="D20" s="22"/>
      <c r="E20" s="22"/>
      <c r="F20" s="22"/>
      <c r="G20" s="22"/>
      <c r="H20" s="22"/>
      <c r="I20" s="22"/>
      <c r="J20" s="22"/>
      <c r="K20" s="22"/>
      <c r="L20" s="22"/>
    </row>
    <row r="21" spans="1:12" ht="11.25" customHeight="1">
      <c r="A21" s="142" t="s">
        <v>39</v>
      </c>
      <c r="B21" s="241">
        <v>8.3070756200000098</v>
      </c>
      <c r="C21" s="242">
        <v>19.613563159999973</v>
      </c>
      <c r="D21" s="367">
        <v>0</v>
      </c>
      <c r="E21" s="767">
        <v>6.7408331799999992</v>
      </c>
      <c r="F21" s="120">
        <f>IF(E21=0,"",D21/E21-1)</f>
        <v>-1</v>
      </c>
      <c r="G21" s="241">
        <v>57.917815239999996</v>
      </c>
      <c r="H21" s="366">
        <v>21.20075765</v>
      </c>
      <c r="I21" s="123">
        <f>IF(H21=0,"",G21/H21-1)</f>
        <v>1.7318747846730842</v>
      </c>
      <c r="J21" s="241">
        <v>16.595158999999999</v>
      </c>
      <c r="K21" s="120">
        <f>IF(J21=0,"",H21/J21-1)</f>
        <v>0.27752663593039406</v>
      </c>
      <c r="L21" s="22"/>
    </row>
    <row r="22" spans="1:12" ht="11.25" customHeight="1">
      <c r="A22" s="143" t="s">
        <v>40</v>
      </c>
      <c r="B22" s="238">
        <v>0</v>
      </c>
      <c r="C22" s="239">
        <v>0</v>
      </c>
      <c r="D22" s="240">
        <v>0</v>
      </c>
      <c r="E22" s="768">
        <v>0</v>
      </c>
      <c r="F22" s="766" t="str">
        <f>IF(E22=0,"",D22/E22-1)</f>
        <v/>
      </c>
      <c r="G22" s="238">
        <v>0</v>
      </c>
      <c r="H22" s="239">
        <v>0</v>
      </c>
      <c r="I22" s="115" t="str">
        <f>IF(H22=0,"",G22/H22-1)</f>
        <v/>
      </c>
      <c r="J22" s="238">
        <v>0</v>
      </c>
      <c r="K22" s="121" t="str">
        <f>IF(J22=0,"",H22/J22-1)</f>
        <v/>
      </c>
      <c r="L22" s="22"/>
    </row>
    <row r="23" spans="1:12" ht="23.25" customHeight="1">
      <c r="A23" s="144" t="s">
        <v>41</v>
      </c>
      <c r="B23" s="251">
        <f>+B22-B21</f>
        <v>-8.3070756200000098</v>
      </c>
      <c r="C23" s="252">
        <f>+C22-C21</f>
        <v>-19.613563159999973</v>
      </c>
      <c r="D23" s="431">
        <f>+D22-D21</f>
        <v>0</v>
      </c>
      <c r="E23" s="769">
        <f>+E22-E21</f>
        <v>-6.7408331799999992</v>
      </c>
      <c r="F23" s="252"/>
      <c r="G23" s="251">
        <f>+G22-G21</f>
        <v>-57.917815239999996</v>
      </c>
      <c r="H23" s="252">
        <f>+H22-H21</f>
        <v>-21.20075765</v>
      </c>
      <c r="I23" s="124"/>
      <c r="J23" s="251">
        <f>+J22-J21</f>
        <v>-16.595158999999999</v>
      </c>
      <c r="K23" s="122"/>
      <c r="L23" s="30"/>
    </row>
    <row r="24" spans="1:12" ht="11.25" customHeight="1">
      <c r="A24" s="236" t="s">
        <v>233</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6" t="str">
        <f>"Gráfico N° 5: Comparación de la producción de energía eléctrica (GWh) por tipo de recurso energético acumulado a "&amp;'1. Resumen'!Q4&amp;"."</f>
        <v>Gráfico N° 5: Comparación de la producción de energía eléctrica (GWh) por tipo de recurso energético acumulado a setiembre.</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Mensual-Setiembre 2019
INFSGI-MES-09-2019
11/10/2019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115" zoomScaleNormal="100" zoomScaleSheetLayoutView="115" zoomScalePageLayoutView="145" workbookViewId="0"/>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613"/>
  </cols>
  <sheetData>
    <row r="1" spans="1:12" ht="11.25" customHeight="1"/>
    <row r="2" spans="1:12" ht="11.25" customHeight="1">
      <c r="A2" s="910" t="s">
        <v>241</v>
      </c>
      <c r="B2" s="910"/>
      <c r="C2" s="910"/>
      <c r="D2" s="910"/>
      <c r="E2" s="910"/>
      <c r="F2" s="910"/>
      <c r="G2" s="910"/>
      <c r="H2" s="910"/>
      <c r="I2" s="910"/>
      <c r="J2" s="910"/>
      <c r="K2" s="910"/>
      <c r="L2" s="614"/>
    </row>
    <row r="3" spans="1:12" ht="11.25" customHeight="1">
      <c r="A3" s="74"/>
      <c r="B3" s="73"/>
      <c r="C3" s="73"/>
      <c r="D3" s="73"/>
      <c r="E3" s="73"/>
      <c r="F3" s="73"/>
      <c r="G3" s="73"/>
      <c r="H3" s="73"/>
      <c r="I3" s="73"/>
      <c r="J3" s="73"/>
      <c r="K3" s="73"/>
      <c r="L3" s="614"/>
    </row>
    <row r="4" spans="1:12" ht="15.75" customHeight="1">
      <c r="A4" s="908" t="s">
        <v>237</v>
      </c>
      <c r="B4" s="905" t="s">
        <v>33</v>
      </c>
      <c r="C4" s="906"/>
      <c r="D4" s="906"/>
      <c r="E4" s="906" t="s">
        <v>34</v>
      </c>
      <c r="F4" s="906"/>
      <c r="G4" s="907" t="str">
        <f>+'4. Tipo Recurso'!G4:K4</f>
        <v>Generación Acumulada a setiembre</v>
      </c>
      <c r="H4" s="907"/>
      <c r="I4" s="907"/>
      <c r="J4" s="907"/>
      <c r="K4" s="907"/>
      <c r="L4" s="615"/>
    </row>
    <row r="5" spans="1:12" ht="29.25" customHeight="1">
      <c r="A5" s="908"/>
      <c r="B5" s="519">
        <f>+'4. Tipo Recurso'!B5</f>
        <v>43651</v>
      </c>
      <c r="C5" s="519">
        <f>+'4. Tipo Recurso'!C5</f>
        <v>43681</v>
      </c>
      <c r="D5" s="519">
        <f>+'4. Tipo Recurso'!D5</f>
        <v>43709</v>
      </c>
      <c r="E5" s="519">
        <f>+'4. Tipo Recurso'!E5</f>
        <v>43344</v>
      </c>
      <c r="F5" s="519" t="s">
        <v>35</v>
      </c>
      <c r="G5" s="521">
        <v>2019</v>
      </c>
      <c r="H5" s="521">
        <v>2018</v>
      </c>
      <c r="I5" s="520" t="s">
        <v>42</v>
      </c>
      <c r="J5" s="521">
        <v>2017</v>
      </c>
      <c r="K5" s="520" t="s">
        <v>42</v>
      </c>
      <c r="L5" s="616"/>
    </row>
    <row r="6" spans="1:12" ht="11.25" customHeight="1">
      <c r="A6" s="139" t="s">
        <v>45</v>
      </c>
      <c r="B6" s="308">
        <v>121.25612798000002</v>
      </c>
      <c r="C6" s="309">
        <v>104.39979135499998</v>
      </c>
      <c r="D6" s="310">
        <v>104.46456157750002</v>
      </c>
      <c r="E6" s="308">
        <v>75.896690332499986</v>
      </c>
      <c r="F6" s="258">
        <f t="shared" ref="F6:F11" si="0">IF(E6=0,"",D6/E6-1)</f>
        <v>0.37640470381311064</v>
      </c>
      <c r="G6" s="308">
        <v>1288.4318964000001</v>
      </c>
      <c r="H6" s="309">
        <v>904.48681586000009</v>
      </c>
      <c r="I6" s="262">
        <f t="shared" ref="I6:I11" si="1">IF(H6=0,"",G6/H6-1)</f>
        <v>0.42448941632713466</v>
      </c>
      <c r="J6" s="308">
        <v>768.31012750653929</v>
      </c>
      <c r="K6" s="258">
        <f t="shared" ref="K6:K11" si="2">IF(J6=0,"",H6/J6-1)</f>
        <v>0.17724182394342036</v>
      </c>
      <c r="L6" s="617"/>
    </row>
    <row r="7" spans="1:12" ht="11.25" customHeight="1">
      <c r="A7" s="140" t="s">
        <v>38</v>
      </c>
      <c r="B7" s="311">
        <v>157.13154374249999</v>
      </c>
      <c r="C7" s="253">
        <v>124.6546490225</v>
      </c>
      <c r="D7" s="312">
        <v>147.70153075500002</v>
      </c>
      <c r="E7" s="311">
        <v>141.62182448750002</v>
      </c>
      <c r="F7" s="259">
        <f t="shared" si="0"/>
        <v>4.2929162150686873E-2</v>
      </c>
      <c r="G7" s="311">
        <v>1224.6081709649998</v>
      </c>
      <c r="H7" s="253">
        <v>1064.91893714</v>
      </c>
      <c r="I7" s="248">
        <f t="shared" si="1"/>
        <v>0.14995435638873067</v>
      </c>
      <c r="J7" s="311">
        <v>765.53162926478979</v>
      </c>
      <c r="K7" s="259">
        <f t="shared" si="2"/>
        <v>0.39108417788398797</v>
      </c>
      <c r="L7" s="617"/>
    </row>
    <row r="8" spans="1:12" ht="11.25" customHeight="1">
      <c r="A8" s="256" t="s">
        <v>30</v>
      </c>
      <c r="B8" s="442">
        <v>57.339797814999997</v>
      </c>
      <c r="C8" s="317">
        <v>66.063445387499982</v>
      </c>
      <c r="D8" s="443">
        <v>67.23456245749999</v>
      </c>
      <c r="E8" s="442">
        <v>71.752520337500002</v>
      </c>
      <c r="F8" s="260">
        <f t="shared" si="0"/>
        <v>-6.2965842297232788E-2</v>
      </c>
      <c r="G8" s="442">
        <v>531.99980355999992</v>
      </c>
      <c r="H8" s="317">
        <v>516.96294117500008</v>
      </c>
      <c r="I8" s="255">
        <f t="shared" si="1"/>
        <v>2.9086925168799738E-2</v>
      </c>
      <c r="J8" s="442">
        <v>160.64373730200052</v>
      </c>
      <c r="K8" s="260">
        <f t="shared" si="2"/>
        <v>2.2180709304785471</v>
      </c>
      <c r="L8" s="617"/>
    </row>
    <row r="9" spans="1:12" ht="11.25" customHeight="1">
      <c r="A9" s="140" t="s">
        <v>49</v>
      </c>
      <c r="B9" s="311">
        <v>19.2527546725</v>
      </c>
      <c r="C9" s="253">
        <v>16.094884632500001</v>
      </c>
      <c r="D9" s="312">
        <v>14.513486125</v>
      </c>
      <c r="E9" s="311">
        <v>8.4465523725000011</v>
      </c>
      <c r="F9" s="259">
        <f t="shared" si="0"/>
        <v>0.71827338361773685</v>
      </c>
      <c r="G9" s="311">
        <v>126.3251826175</v>
      </c>
      <c r="H9" s="253">
        <v>66.387170037499999</v>
      </c>
      <c r="I9" s="248">
        <f t="shared" si="1"/>
        <v>0.90285536416363188</v>
      </c>
      <c r="J9" s="311">
        <v>62.207928659824432</v>
      </c>
      <c r="K9" s="259">
        <f t="shared" si="2"/>
        <v>6.7181812153386034E-2</v>
      </c>
      <c r="L9" s="618"/>
    </row>
    <row r="10" spans="1:12" ht="11.25" customHeight="1">
      <c r="A10" s="257" t="s">
        <v>50</v>
      </c>
      <c r="B10" s="444">
        <v>6.2322597924999998</v>
      </c>
      <c r="C10" s="445">
        <v>5.8137978624999995</v>
      </c>
      <c r="D10" s="446">
        <v>5.5660936825</v>
      </c>
      <c r="E10" s="444">
        <v>5.1015065499999999</v>
      </c>
      <c r="F10" s="261">
        <f t="shared" si="0"/>
        <v>9.1068614329231856E-2</v>
      </c>
      <c r="G10" s="444">
        <v>49.230205655000006</v>
      </c>
      <c r="H10" s="445">
        <v>33.587269704999997</v>
      </c>
      <c r="I10" s="263">
        <f t="shared" si="1"/>
        <v>0.46574002851060303</v>
      </c>
      <c r="J10" s="444">
        <v>29.814489905696625</v>
      </c>
      <c r="K10" s="261">
        <f t="shared" si="2"/>
        <v>0.12654181947223297</v>
      </c>
      <c r="L10" s="617"/>
    </row>
    <row r="11" spans="1:12" ht="11.25" customHeight="1">
      <c r="A11" s="264" t="s">
        <v>234</v>
      </c>
      <c r="B11" s="379">
        <f>+B6+B7+B8+B9+B10</f>
        <v>361.21248400249993</v>
      </c>
      <c r="C11" s="380">
        <f t="shared" ref="C11:D11" si="3">+C6+C7+C8+C9+C10</f>
        <v>317.02656825999998</v>
      </c>
      <c r="D11" s="381">
        <f t="shared" si="3"/>
        <v>339.48023459750004</v>
      </c>
      <c r="E11" s="382">
        <f>+E6+E7+E8+E9+E10</f>
        <v>302.81909408000001</v>
      </c>
      <c r="F11" s="265">
        <f t="shared" si="0"/>
        <v>0.12106614554435846</v>
      </c>
      <c r="G11" s="440">
        <f>+G6+G7+G8+G9+G10</f>
        <v>3220.5952591975006</v>
      </c>
      <c r="H11" s="441">
        <f>+H6+H7+H8+H9+H10</f>
        <v>2586.3431339174999</v>
      </c>
      <c r="I11" s="266">
        <f t="shared" si="1"/>
        <v>0.24523123670729152</v>
      </c>
      <c r="J11" s="440">
        <f>+J6+J7+J8+J9+J10</f>
        <v>1786.5079126388505</v>
      </c>
      <c r="K11" s="265">
        <f t="shared" si="2"/>
        <v>0.44770874823454498</v>
      </c>
      <c r="L11" s="615"/>
    </row>
    <row r="12" spans="1:12" ht="24.75" customHeight="1">
      <c r="A12" s="267" t="s">
        <v>235</v>
      </c>
      <c r="B12" s="268">
        <f>B11/'4. Tipo Recurso'!B19</f>
        <v>8.2132168114023754E-2</v>
      </c>
      <c r="C12" s="825">
        <f>C11/'4. Tipo Recurso'!C19</f>
        <v>7.2025345254583983E-2</v>
      </c>
      <c r="D12" s="623">
        <f>D11/'4. Tipo Recurso'!D19</f>
        <v>7.9504674142328646E-2</v>
      </c>
      <c r="E12" s="268">
        <f>E11/'4. Tipo Recurso'!E19</f>
        <v>7.3085415041928337E-2</v>
      </c>
      <c r="F12" s="269"/>
      <c r="G12" s="268">
        <f>G11/'4. Tipo Recurso'!G19</f>
        <v>8.1704451826769053E-2</v>
      </c>
      <c r="H12" s="266">
        <f>H11/'4. Tipo Recurso'!H19</f>
        <v>6.8627473929772378E-2</v>
      </c>
      <c r="I12" s="266"/>
      <c r="J12" s="268">
        <f>J11/'4. Tipo Recurso'!J19</f>
        <v>4.8827979667552319E-2</v>
      </c>
      <c r="K12" s="269"/>
      <c r="L12" s="615"/>
    </row>
    <row r="13" spans="1:12" ht="11.25" customHeight="1">
      <c r="A13" s="270" t="s">
        <v>236</v>
      </c>
      <c r="B13" s="134"/>
      <c r="C13" s="134"/>
      <c r="D13" s="134"/>
      <c r="E13" s="134"/>
      <c r="F13" s="134"/>
      <c r="G13" s="134"/>
      <c r="H13" s="134"/>
      <c r="I13" s="134"/>
      <c r="J13" s="134"/>
      <c r="K13" s="135"/>
      <c r="L13" s="615"/>
    </row>
    <row r="14" spans="1:12" ht="35.25" customHeight="1">
      <c r="A14" s="911" t="s">
        <v>539</v>
      </c>
      <c r="B14" s="911"/>
      <c r="C14" s="911"/>
      <c r="D14" s="911"/>
      <c r="E14" s="911"/>
      <c r="F14" s="911"/>
      <c r="G14" s="911"/>
      <c r="H14" s="911"/>
      <c r="I14" s="911"/>
      <c r="J14" s="911"/>
      <c r="K14" s="911"/>
      <c r="L14" s="615"/>
    </row>
    <row r="15" spans="1:12" ht="11.25" customHeight="1">
      <c r="A15" s="31"/>
      <c r="L15" s="615"/>
    </row>
    <row r="16" spans="1:12" ht="11.25" customHeight="1">
      <c r="A16" s="136"/>
      <c r="B16" s="147"/>
      <c r="C16" s="147"/>
      <c r="D16" s="147"/>
      <c r="E16" s="147"/>
      <c r="F16" s="147"/>
      <c r="G16" s="147"/>
      <c r="H16" s="147"/>
      <c r="I16" s="147"/>
      <c r="J16" s="147"/>
      <c r="K16" s="147"/>
      <c r="L16" s="615"/>
    </row>
    <row r="17" spans="1:12" ht="11.25" customHeight="1">
      <c r="A17" s="147"/>
      <c r="B17" s="147"/>
      <c r="C17" s="147"/>
      <c r="D17" s="147"/>
      <c r="E17" s="147"/>
      <c r="F17" s="147"/>
      <c r="G17" s="147"/>
      <c r="H17" s="147"/>
      <c r="I17" s="147"/>
      <c r="J17" s="147"/>
      <c r="K17" s="147"/>
      <c r="L17" s="615"/>
    </row>
    <row r="18" spans="1:12" ht="11.25" customHeight="1">
      <c r="A18" s="147"/>
      <c r="B18" s="147"/>
      <c r="C18" s="147"/>
      <c r="D18" s="147"/>
      <c r="E18" s="147"/>
      <c r="F18" s="147"/>
      <c r="G18" s="147"/>
      <c r="H18" s="147"/>
      <c r="I18" s="147"/>
      <c r="J18" s="147"/>
      <c r="K18" s="147"/>
      <c r="L18" s="619"/>
    </row>
    <row r="19" spans="1:12" ht="11.25" customHeight="1">
      <c r="A19" s="136"/>
      <c r="B19" s="138"/>
      <c r="C19" s="138"/>
      <c r="D19" s="138"/>
      <c r="E19" s="138"/>
      <c r="F19" s="138"/>
      <c r="G19" s="138"/>
      <c r="H19" s="138"/>
      <c r="I19" s="138"/>
      <c r="J19" s="138"/>
      <c r="K19" s="138"/>
      <c r="L19" s="615"/>
    </row>
    <row r="20" spans="1:12" ht="11.25" customHeight="1">
      <c r="A20" s="136"/>
      <c r="B20" s="138"/>
      <c r="C20" s="138"/>
      <c r="D20" s="138"/>
      <c r="E20" s="138"/>
      <c r="F20" s="138"/>
      <c r="G20" s="138"/>
      <c r="H20" s="138"/>
      <c r="I20" s="138"/>
      <c r="J20" s="138"/>
      <c r="K20" s="138"/>
      <c r="L20" s="615"/>
    </row>
    <row r="21" spans="1:12" ht="11.25" customHeight="1">
      <c r="A21" s="136"/>
      <c r="B21" s="138"/>
      <c r="C21" s="138"/>
      <c r="D21" s="138"/>
      <c r="E21" s="138"/>
      <c r="F21" s="138"/>
      <c r="G21" s="138"/>
      <c r="H21" s="138"/>
      <c r="I21" s="138"/>
      <c r="J21" s="138"/>
      <c r="K21" s="138"/>
      <c r="L21" s="615"/>
    </row>
    <row r="22" spans="1:12" ht="11.25" customHeight="1">
      <c r="A22" s="136"/>
      <c r="B22" s="138"/>
      <c r="C22" s="138"/>
      <c r="D22" s="138"/>
      <c r="E22" s="138"/>
      <c r="F22" s="138"/>
      <c r="G22" s="138"/>
      <c r="H22" s="138"/>
      <c r="I22" s="138"/>
      <c r="J22" s="138"/>
      <c r="K22" s="138"/>
      <c r="L22" s="619"/>
    </row>
    <row r="23" spans="1:12" ht="11.25" customHeight="1">
      <c r="A23" s="136"/>
      <c r="B23" s="138"/>
      <c r="C23" s="138"/>
      <c r="D23" s="138"/>
      <c r="E23" s="138"/>
      <c r="F23" s="138"/>
      <c r="G23" s="138"/>
      <c r="H23" s="138"/>
      <c r="I23" s="138"/>
      <c r="J23" s="138"/>
      <c r="K23" s="138"/>
      <c r="L23" s="615"/>
    </row>
    <row r="24" spans="1:12" ht="11.25" customHeight="1">
      <c r="A24" s="136"/>
      <c r="B24" s="138"/>
      <c r="C24" s="138"/>
      <c r="D24" s="138"/>
      <c r="E24" s="138"/>
      <c r="F24" s="138"/>
      <c r="G24" s="138"/>
      <c r="H24" s="138"/>
      <c r="I24" s="138"/>
      <c r="J24" s="138"/>
      <c r="K24" s="138"/>
      <c r="L24" s="615"/>
    </row>
    <row r="25" spans="1:12" ht="11.25" customHeight="1">
      <c r="A25" s="136"/>
      <c r="B25" s="138"/>
      <c r="C25" s="138"/>
      <c r="D25" s="138"/>
      <c r="E25" s="138"/>
      <c r="F25" s="138"/>
      <c r="G25" s="138"/>
      <c r="H25" s="138"/>
      <c r="I25" s="138"/>
      <c r="J25" s="138"/>
      <c r="K25" s="138"/>
      <c r="L25" s="615"/>
    </row>
    <row r="26" spans="1:12" ht="11.25" customHeight="1">
      <c r="A26" s="136"/>
      <c r="B26" s="138"/>
      <c r="C26" s="138"/>
      <c r="D26" s="138"/>
      <c r="E26" s="138"/>
      <c r="F26" s="138"/>
      <c r="G26" s="138"/>
      <c r="H26" s="138"/>
      <c r="I26" s="138"/>
      <c r="J26" s="138"/>
      <c r="K26" s="138"/>
      <c r="L26" s="615"/>
    </row>
    <row r="27" spans="1:12" ht="11.25" customHeight="1">
      <c r="A27" s="136"/>
      <c r="B27" s="138"/>
      <c r="C27" s="138"/>
      <c r="D27" s="138"/>
      <c r="E27" s="138"/>
      <c r="F27" s="138"/>
      <c r="G27" s="138"/>
      <c r="H27" s="138"/>
      <c r="I27" s="138"/>
      <c r="J27" s="138"/>
      <c r="K27" s="138"/>
      <c r="L27" s="615"/>
    </row>
    <row r="28" spans="1:12" ht="11.25" customHeight="1">
      <c r="A28" s="136"/>
      <c r="B28" s="138"/>
      <c r="C28" s="138"/>
      <c r="D28" s="138"/>
      <c r="E28" s="138"/>
      <c r="F28" s="138"/>
      <c r="G28" s="138"/>
      <c r="H28" s="138"/>
      <c r="I28" s="138"/>
      <c r="J28" s="138"/>
      <c r="K28" s="138"/>
      <c r="L28" s="615"/>
    </row>
    <row r="29" spans="1:12" ht="11.25" customHeight="1">
      <c r="A29" s="136"/>
      <c r="B29" s="138"/>
      <c r="C29" s="138"/>
      <c r="D29" s="138"/>
      <c r="E29" s="138"/>
      <c r="F29" s="138"/>
      <c r="G29" s="138"/>
      <c r="H29" s="138"/>
      <c r="I29" s="138"/>
      <c r="J29" s="138"/>
      <c r="K29" s="138"/>
      <c r="L29" s="615"/>
    </row>
    <row r="30" spans="1:12" ht="11.25" customHeight="1">
      <c r="A30" s="136"/>
      <c r="B30" s="138"/>
      <c r="C30" s="138"/>
      <c r="D30" s="138"/>
      <c r="E30" s="138"/>
      <c r="F30" s="138"/>
      <c r="G30" s="138"/>
      <c r="H30" s="138"/>
      <c r="I30" s="138"/>
      <c r="J30" s="138"/>
      <c r="K30" s="138"/>
      <c r="L30" s="615"/>
    </row>
    <row r="31" spans="1:12" ht="11.25" customHeight="1">
      <c r="A31" s="136"/>
      <c r="B31" s="138"/>
      <c r="C31" s="138"/>
      <c r="D31" s="138"/>
      <c r="E31" s="138"/>
      <c r="F31" s="138"/>
      <c r="G31" s="138"/>
      <c r="H31" s="138"/>
      <c r="I31" s="138"/>
      <c r="J31" s="138"/>
      <c r="K31" s="138"/>
      <c r="L31" s="615"/>
    </row>
    <row r="32" spans="1:12" ht="11.25" customHeight="1">
      <c r="A32" s="136"/>
      <c r="B32" s="138"/>
      <c r="C32" s="138"/>
      <c r="D32" s="138"/>
      <c r="E32" s="138"/>
      <c r="F32" s="138"/>
      <c r="G32" s="138"/>
      <c r="H32" s="138"/>
      <c r="I32" s="138"/>
      <c r="J32" s="138"/>
      <c r="K32" s="138"/>
      <c r="L32" s="615"/>
    </row>
    <row r="33" spans="1:16" ht="11.25" customHeight="1">
      <c r="A33" s="136"/>
      <c r="B33" s="138"/>
      <c r="C33" s="138"/>
      <c r="D33" s="138"/>
      <c r="E33" s="138"/>
      <c r="F33" s="138"/>
      <c r="G33" s="138"/>
      <c r="H33" s="138"/>
      <c r="I33" s="138"/>
      <c r="J33" s="138"/>
      <c r="K33" s="138"/>
      <c r="L33" s="615"/>
    </row>
    <row r="34" spans="1:16" ht="11.25" customHeight="1">
      <c r="A34" s="909" t="str">
        <f>"Gráfico N° 6: Comparación de la producción de energía eléctrica acumulada (GWh) con recursos energéticos renovables en "&amp;'1. Resumen'!Q4&amp;"."</f>
        <v>Gráfico N° 6: Comparación de la producción de energía eléctrica acumulada (GWh) con recursos energéticos renovables en setiembre.</v>
      </c>
      <c r="B34" s="909"/>
      <c r="C34" s="909"/>
      <c r="D34" s="909"/>
      <c r="E34" s="909"/>
      <c r="F34" s="909"/>
      <c r="G34" s="909"/>
      <c r="H34" s="909"/>
      <c r="I34" s="909"/>
      <c r="J34" s="909"/>
      <c r="K34" s="909"/>
      <c r="L34" s="615"/>
    </row>
    <row r="35" spans="1:16" ht="11.25" customHeight="1">
      <c r="L35" s="620"/>
    </row>
    <row r="36" spans="1:16" ht="11.25" customHeight="1">
      <c r="A36" s="136"/>
      <c r="B36" s="138"/>
      <c r="C36" s="138"/>
      <c r="D36" s="138"/>
      <c r="E36" s="138"/>
      <c r="F36" s="138"/>
      <c r="G36" s="138"/>
      <c r="H36" s="138"/>
      <c r="I36" s="138"/>
      <c r="J36" s="138"/>
      <c r="K36" s="138"/>
      <c r="L36" s="615"/>
    </row>
    <row r="37" spans="1:16" ht="11.25" customHeight="1">
      <c r="A37" s="136"/>
      <c r="B37" s="138"/>
      <c r="C37" s="138"/>
      <c r="D37" s="138"/>
      <c r="E37" s="138"/>
      <c r="F37" s="138"/>
      <c r="G37" s="138"/>
      <c r="H37" s="138"/>
      <c r="I37" s="138"/>
      <c r="J37" s="138"/>
      <c r="K37" s="138"/>
      <c r="L37" s="615"/>
    </row>
    <row r="38" spans="1:16" ht="11.25" customHeight="1">
      <c r="A38" s="136"/>
      <c r="B38" s="138"/>
      <c r="C38" s="138"/>
      <c r="D38" s="138"/>
      <c r="E38" s="138"/>
      <c r="F38" s="138"/>
      <c r="G38" s="138"/>
      <c r="H38" s="138"/>
      <c r="I38" s="138"/>
      <c r="J38" s="138"/>
      <c r="K38" s="138"/>
      <c r="L38" s="615"/>
    </row>
    <row r="39" spans="1:16" ht="11.25" customHeight="1">
      <c r="A39" s="136"/>
      <c r="B39" s="138"/>
      <c r="C39" s="271" t="s">
        <v>239</v>
      </c>
      <c r="D39" s="158"/>
      <c r="E39" s="158"/>
      <c r="F39" s="439">
        <f>+'4. Tipo Recurso'!D19</f>
        <v>4269.9405822325007</v>
      </c>
      <c r="G39" s="271" t="s">
        <v>238</v>
      </c>
      <c r="H39" s="138"/>
      <c r="I39" s="138"/>
      <c r="J39" s="138"/>
      <c r="K39" s="138"/>
      <c r="L39" s="615"/>
      <c r="M39" s="621">
        <f>+F39-F40</f>
        <v>3930.4605822325007</v>
      </c>
      <c r="P39" s="622"/>
    </row>
    <row r="40" spans="1:16" ht="11.25" customHeight="1">
      <c r="A40" s="136"/>
      <c r="B40" s="138"/>
      <c r="C40" s="271" t="s">
        <v>240</v>
      </c>
      <c r="D40" s="158"/>
      <c r="E40" s="158"/>
      <c r="F40" s="439">
        <f>ROUND(D11,2)</f>
        <v>339.48</v>
      </c>
      <c r="G40" s="271" t="s">
        <v>238</v>
      </c>
      <c r="H40" s="138"/>
      <c r="I40" s="138"/>
      <c r="J40" s="138"/>
      <c r="K40" s="138"/>
      <c r="L40" s="615"/>
      <c r="M40" s="622"/>
      <c r="P40" s="622"/>
    </row>
    <row r="41" spans="1:16" ht="11.25" customHeight="1">
      <c r="A41" s="136"/>
      <c r="B41" s="138"/>
      <c r="C41" s="138"/>
      <c r="D41" s="138"/>
      <c r="E41" s="138"/>
      <c r="F41" s="138"/>
      <c r="G41" s="138"/>
      <c r="H41" s="138"/>
      <c r="I41" s="138"/>
      <c r="J41" s="138"/>
      <c r="K41" s="138"/>
      <c r="L41" s="615"/>
      <c r="P41" s="622"/>
    </row>
    <row r="42" spans="1:16" ht="11.25" customHeight="1">
      <c r="A42" s="136"/>
      <c r="B42" s="138"/>
      <c r="C42" s="138"/>
      <c r="D42" s="138"/>
      <c r="E42" s="138"/>
      <c r="F42" s="138"/>
      <c r="G42" s="138"/>
      <c r="H42" s="138"/>
      <c r="I42" s="138"/>
      <c r="J42" s="138"/>
      <c r="K42" s="138"/>
      <c r="L42" s="615"/>
      <c r="P42" s="622"/>
    </row>
    <row r="43" spans="1:16" ht="11.25" customHeight="1">
      <c r="A43" s="136"/>
      <c r="B43" s="138"/>
      <c r="C43" s="138"/>
      <c r="D43" s="138"/>
      <c r="E43" s="138"/>
      <c r="F43" s="138"/>
      <c r="G43" s="138"/>
      <c r="H43" s="138"/>
      <c r="I43" s="138"/>
      <c r="J43" s="138"/>
      <c r="K43" s="138"/>
      <c r="L43" s="615"/>
      <c r="P43" s="622"/>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6" t="str">
        <f>"Gráfico N° 7: Participación de las RER en la Matriz de Generación del SEIN en "&amp;'1. Resumen'!Q4&amp;" "&amp;'1. Resumen'!Q5&amp;"."</f>
        <v>Gráfico N° 7: Participación de las RER en la Matriz de Generación del SEIN en setiembre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30" zoomScaleNormal="100" zoomScaleSheetLayoutView="130" zoomScalePageLayoutView="160" workbookViewId="0">
      <selection activeCell="P22" sqref="P22"/>
    </sheetView>
  </sheetViews>
  <sheetFormatPr defaultColWidth="9.33203125" defaultRowHeight="11.25"/>
  <cols>
    <col min="1" max="11" width="10.33203125" customWidth="1"/>
    <col min="12" max="12" width="21.1640625" style="806" bestFit="1" customWidth="1"/>
    <col min="13" max="14" width="9.33203125" style="806"/>
    <col min="15" max="15" width="11.83203125" style="806" customWidth="1"/>
    <col min="16" max="17" width="9.33203125" style="806"/>
    <col min="18" max="18" width="9.33203125" style="827"/>
    <col min="19" max="19" width="9.33203125" style="866"/>
    <col min="20" max="20" width="15" style="866" customWidth="1"/>
    <col min="21" max="22" width="9.33203125" style="866"/>
    <col min="23" max="24" width="9.33203125" style="613"/>
    <col min="25" max="25" width="17.83203125" style="613" bestFit="1" customWidth="1"/>
  </cols>
  <sheetData>
    <row r="2" spans="1:25" ht="11.25" customHeight="1">
      <c r="A2" s="912" t="s">
        <v>245</v>
      </c>
      <c r="B2" s="912"/>
      <c r="C2" s="912"/>
      <c r="D2" s="912"/>
      <c r="E2" s="912"/>
      <c r="F2" s="912"/>
      <c r="G2" s="912"/>
      <c r="H2" s="912"/>
      <c r="I2" s="912"/>
      <c r="J2" s="912"/>
      <c r="K2" s="912"/>
    </row>
    <row r="3" spans="1:25" ht="11.25" customHeight="1"/>
    <row r="4" spans="1:25" ht="11.25" customHeight="1">
      <c r="L4" s="807" t="s">
        <v>55</v>
      </c>
      <c r="M4" s="808" t="s">
        <v>31</v>
      </c>
      <c r="N4" s="807"/>
      <c r="O4" s="809"/>
      <c r="P4" s="810"/>
      <c r="Q4" s="810"/>
    </row>
    <row r="5" spans="1:25" ht="10.5" customHeight="1">
      <c r="A5" s="149"/>
      <c r="B5" s="138"/>
      <c r="C5" s="138"/>
      <c r="D5" s="138"/>
      <c r="E5" s="138"/>
      <c r="F5" s="138"/>
      <c r="G5" s="138"/>
      <c r="H5" s="138"/>
      <c r="I5" s="138"/>
      <c r="J5" s="138"/>
      <c r="K5" s="138"/>
      <c r="L5" s="807"/>
      <c r="M5" s="808"/>
      <c r="N5" s="807"/>
      <c r="O5" s="807" t="s">
        <v>56</v>
      </c>
      <c r="P5" s="807" t="s">
        <v>57</v>
      </c>
      <c r="Q5" s="807"/>
      <c r="U5" s="866">
        <v>2019</v>
      </c>
      <c r="V5" s="866">
        <v>2018</v>
      </c>
      <c r="W5" s="838"/>
    </row>
    <row r="6" spans="1:25" ht="10.5" customHeight="1">
      <c r="A6" s="111"/>
      <c r="B6" s="138"/>
      <c r="C6" s="138"/>
      <c r="D6" s="138"/>
      <c r="E6" s="138"/>
      <c r="F6" s="138"/>
      <c r="G6" s="138"/>
      <c r="H6" s="138"/>
      <c r="I6" s="138"/>
      <c r="J6" s="138"/>
      <c r="K6" s="138"/>
      <c r="L6" s="811" t="s">
        <v>470</v>
      </c>
      <c r="M6" s="811" t="s">
        <v>59</v>
      </c>
      <c r="N6" s="812">
        <v>19.605</v>
      </c>
      <c r="O6" s="813">
        <v>12.529277952500001</v>
      </c>
      <c r="P6" s="813">
        <v>0.8876192264232482</v>
      </c>
      <c r="Q6" s="813"/>
      <c r="S6" s="866" t="s">
        <v>584</v>
      </c>
      <c r="T6" s="866" t="s">
        <v>60</v>
      </c>
      <c r="U6" s="867">
        <v>1</v>
      </c>
      <c r="V6" s="867">
        <v>1.0030220009920636</v>
      </c>
      <c r="W6" s="839"/>
      <c r="X6" s="827"/>
      <c r="Y6" s="827"/>
    </row>
    <row r="7" spans="1:25" ht="10.5" customHeight="1">
      <c r="A7" s="136"/>
      <c r="B7" s="138"/>
      <c r="C7" s="138"/>
      <c r="D7" s="138"/>
      <c r="E7" s="138"/>
      <c r="F7" s="138"/>
      <c r="G7" s="138"/>
      <c r="H7" s="138"/>
      <c r="I7" s="138"/>
      <c r="J7" s="138"/>
      <c r="K7" s="138"/>
      <c r="L7" s="811" t="s">
        <v>60</v>
      </c>
      <c r="M7" s="811" t="s">
        <v>59</v>
      </c>
      <c r="N7" s="812">
        <v>15</v>
      </c>
      <c r="O7" s="813">
        <v>10.729280215000001</v>
      </c>
      <c r="P7" s="813">
        <v>0.99345187175925931</v>
      </c>
      <c r="Q7" s="813"/>
      <c r="T7" s="866" t="s">
        <v>470</v>
      </c>
      <c r="U7" s="867">
        <v>0.91969316766361509</v>
      </c>
      <c r="V7" s="867">
        <v>0.9274880959401709</v>
      </c>
      <c r="W7" s="839"/>
      <c r="X7" s="827"/>
      <c r="Y7" s="827"/>
    </row>
    <row r="8" spans="1:25" ht="10.5" customHeight="1">
      <c r="A8" s="136"/>
      <c r="B8" s="138"/>
      <c r="C8" s="138"/>
      <c r="D8" s="138"/>
      <c r="E8" s="138"/>
      <c r="F8" s="138"/>
      <c r="G8" s="138"/>
      <c r="H8" s="138"/>
      <c r="I8" s="138"/>
      <c r="J8" s="138"/>
      <c r="K8" s="138"/>
      <c r="L8" s="811" t="s">
        <v>494</v>
      </c>
      <c r="M8" s="811" t="s">
        <v>59</v>
      </c>
      <c r="N8" s="812">
        <v>20</v>
      </c>
      <c r="O8" s="813">
        <v>8.9863658925000003</v>
      </c>
      <c r="P8" s="813">
        <v>0.62405318697916667</v>
      </c>
      <c r="Q8" s="813"/>
      <c r="T8" s="866" t="s">
        <v>67</v>
      </c>
      <c r="U8" s="867">
        <v>0.83579030249930852</v>
      </c>
      <c r="V8" s="867">
        <v>0.79297419092904087</v>
      </c>
      <c r="W8" s="839"/>
      <c r="X8" s="827"/>
      <c r="Y8" s="827"/>
    </row>
    <row r="9" spans="1:25" ht="10.5" customHeight="1">
      <c r="A9" s="136"/>
      <c r="B9" s="138"/>
      <c r="C9" s="138"/>
      <c r="D9" s="138"/>
      <c r="E9" s="138"/>
      <c r="F9" s="138"/>
      <c r="G9" s="138"/>
      <c r="H9" s="138"/>
      <c r="I9" s="138"/>
      <c r="J9" s="138"/>
      <c r="K9" s="138"/>
      <c r="L9" s="811" t="s">
        <v>67</v>
      </c>
      <c r="M9" s="814" t="s">
        <v>59</v>
      </c>
      <c r="N9" s="812">
        <v>7.7450000000000001</v>
      </c>
      <c r="O9" s="813">
        <v>4.9090553774999997</v>
      </c>
      <c r="P9" s="813">
        <v>0.88032698111684959</v>
      </c>
      <c r="Q9" s="813"/>
      <c r="T9" s="866" t="s">
        <v>75</v>
      </c>
      <c r="U9" s="867">
        <v>0.81093085633953876</v>
      </c>
      <c r="V9" s="867">
        <v>0.71783875391342589</v>
      </c>
      <c r="W9" s="839"/>
      <c r="X9" s="827"/>
      <c r="Y9" s="827"/>
    </row>
    <row r="10" spans="1:25" ht="10.5" customHeight="1">
      <c r="A10" s="136"/>
      <c r="B10" s="138"/>
      <c r="C10" s="138"/>
      <c r="D10" s="138"/>
      <c r="E10" s="138"/>
      <c r="F10" s="138"/>
      <c r="G10" s="138"/>
      <c r="H10" s="138"/>
      <c r="I10" s="138"/>
      <c r="J10" s="138"/>
      <c r="K10" s="138"/>
      <c r="L10" s="811" t="s">
        <v>70</v>
      </c>
      <c r="M10" s="814" t="s">
        <v>59</v>
      </c>
      <c r="N10" s="812">
        <v>9.5660000000000007</v>
      </c>
      <c r="O10" s="813">
        <v>4.5629435200000001</v>
      </c>
      <c r="P10" s="813">
        <v>0.66249441308337387</v>
      </c>
      <c r="Q10" s="813"/>
      <c r="T10" s="866" t="s">
        <v>63</v>
      </c>
      <c r="U10" s="867">
        <v>0.80465221829491052</v>
      </c>
      <c r="V10" s="867">
        <v>0.8033628646492077</v>
      </c>
      <c r="W10" s="839"/>
      <c r="X10" s="827"/>
      <c r="Y10" s="827"/>
    </row>
    <row r="11" spans="1:25" ht="10.5" customHeight="1">
      <c r="A11" s="136"/>
      <c r="B11" s="138"/>
      <c r="C11" s="138"/>
      <c r="D11" s="138"/>
      <c r="E11" s="138"/>
      <c r="F11" s="138"/>
      <c r="G11" s="138"/>
      <c r="H11" s="138"/>
      <c r="I11" s="138"/>
      <c r="J11" s="138"/>
      <c r="K11" s="138"/>
      <c r="L11" s="811" t="s">
        <v>484</v>
      </c>
      <c r="M11" s="814" t="s">
        <v>59</v>
      </c>
      <c r="N11" s="812">
        <v>20.16</v>
      </c>
      <c r="O11" s="813">
        <v>3.7169529699999999</v>
      </c>
      <c r="P11" s="813">
        <v>0.2560731488370811</v>
      </c>
      <c r="Q11" s="813"/>
      <c r="T11" s="866" t="s">
        <v>71</v>
      </c>
      <c r="U11" s="867">
        <v>0.74806305732152467</v>
      </c>
      <c r="V11" s="867">
        <v>0.76831971200171956</v>
      </c>
      <c r="W11" s="839"/>
      <c r="X11" s="827"/>
      <c r="Y11" s="827"/>
    </row>
    <row r="12" spans="1:25" ht="10.5" customHeight="1">
      <c r="A12" s="136"/>
      <c r="B12" s="138"/>
      <c r="C12" s="138"/>
      <c r="D12" s="138"/>
      <c r="E12" s="138"/>
      <c r="F12" s="138"/>
      <c r="G12" s="138"/>
      <c r="H12" s="138"/>
      <c r="I12" s="138"/>
      <c r="J12" s="138"/>
      <c r="K12" s="138"/>
      <c r="L12" s="811" t="s">
        <v>483</v>
      </c>
      <c r="M12" s="811" t="s">
        <v>59</v>
      </c>
      <c r="N12" s="812">
        <v>20.16</v>
      </c>
      <c r="O12" s="813">
        <v>3.6790411575000004</v>
      </c>
      <c r="P12" s="813">
        <v>0.25346127903852511</v>
      </c>
      <c r="Q12" s="813"/>
      <c r="T12" s="866" t="s">
        <v>72</v>
      </c>
      <c r="U12" s="867">
        <v>0.67869229295469391</v>
      </c>
      <c r="V12" s="867">
        <v>0.58920329017567774</v>
      </c>
      <c r="W12" s="839"/>
      <c r="X12" s="827"/>
      <c r="Y12" s="827"/>
    </row>
    <row r="13" spans="1:25" ht="10.5" customHeight="1">
      <c r="A13" s="136"/>
      <c r="B13" s="138"/>
      <c r="C13" s="138"/>
      <c r="D13" s="138"/>
      <c r="E13" s="138"/>
      <c r="F13" s="138"/>
      <c r="G13" s="138"/>
      <c r="H13" s="138"/>
      <c r="I13" s="138"/>
      <c r="J13" s="138"/>
      <c r="K13" s="138"/>
      <c r="L13" s="811" t="s">
        <v>63</v>
      </c>
      <c r="M13" s="811" t="s">
        <v>59</v>
      </c>
      <c r="N13" s="812">
        <v>9.9830000000000005</v>
      </c>
      <c r="O13" s="813">
        <v>3.5155450049999999</v>
      </c>
      <c r="P13" s="813">
        <v>0.48910161232428462</v>
      </c>
      <c r="Q13" s="813"/>
      <c r="T13" s="866" t="s">
        <v>486</v>
      </c>
      <c r="U13" s="867">
        <v>0.67432120126896899</v>
      </c>
      <c r="V13" s="867">
        <v>0.60700272042410719</v>
      </c>
      <c r="W13" s="839"/>
      <c r="X13" s="827"/>
      <c r="Y13" s="827"/>
    </row>
    <row r="14" spans="1:25" ht="10.5" customHeight="1">
      <c r="A14" s="136"/>
      <c r="B14" s="138"/>
      <c r="C14" s="138"/>
      <c r="D14" s="138"/>
      <c r="E14" s="138"/>
      <c r="F14" s="138"/>
      <c r="G14" s="138"/>
      <c r="H14" s="138"/>
      <c r="I14" s="138"/>
      <c r="J14" s="138"/>
      <c r="K14" s="138"/>
      <c r="L14" s="811" t="s">
        <v>71</v>
      </c>
      <c r="M14" s="811" t="s">
        <v>59</v>
      </c>
      <c r="N14" s="812">
        <v>5.1890000000000001</v>
      </c>
      <c r="O14" s="813">
        <v>3.2224154575000004</v>
      </c>
      <c r="P14" s="813">
        <v>0.83468945305619624</v>
      </c>
      <c r="Q14" s="813"/>
      <c r="T14" s="866" t="s">
        <v>501</v>
      </c>
      <c r="U14" s="867">
        <v>0.66487948972323963</v>
      </c>
      <c r="V14" s="867"/>
      <c r="W14" s="839"/>
      <c r="X14" s="827"/>
      <c r="Y14" s="827"/>
    </row>
    <row r="15" spans="1:25" ht="11.25" customHeight="1">
      <c r="A15" s="136"/>
      <c r="B15" s="138"/>
      <c r="C15" s="138"/>
      <c r="D15" s="138"/>
      <c r="E15" s="138"/>
      <c r="F15" s="138"/>
      <c r="G15" s="138"/>
      <c r="H15" s="138"/>
      <c r="I15" s="138"/>
      <c r="J15" s="138"/>
      <c r="K15" s="138"/>
      <c r="L15" s="811" t="s">
        <v>58</v>
      </c>
      <c r="M15" s="811" t="s">
        <v>59</v>
      </c>
      <c r="N15" s="812">
        <v>19.966000000000001</v>
      </c>
      <c r="O15" s="813">
        <v>3.141397075</v>
      </c>
      <c r="P15" s="813">
        <v>0.21852406556423695</v>
      </c>
      <c r="Q15" s="813"/>
      <c r="T15" s="866" t="s">
        <v>494</v>
      </c>
      <c r="U15" s="867">
        <v>0.65770787955967636</v>
      </c>
      <c r="V15" s="867"/>
      <c r="W15" s="839"/>
      <c r="X15" s="827"/>
      <c r="Y15" s="827"/>
    </row>
    <row r="16" spans="1:25" ht="11.25" customHeight="1">
      <c r="A16" s="136"/>
      <c r="B16" s="138"/>
      <c r="C16" s="138"/>
      <c r="D16" s="138"/>
      <c r="E16" s="138"/>
      <c r="F16" s="138"/>
      <c r="G16" s="138"/>
      <c r="H16" s="138"/>
      <c r="I16" s="138"/>
      <c r="J16" s="138"/>
      <c r="K16" s="138"/>
      <c r="L16" s="811" t="s">
        <v>501</v>
      </c>
      <c r="M16" s="811" t="s">
        <v>59</v>
      </c>
      <c r="N16" s="812">
        <v>13.2</v>
      </c>
      <c r="O16" s="813">
        <v>2.99821523</v>
      </c>
      <c r="P16" s="813">
        <v>0.31546877420033675</v>
      </c>
      <c r="Q16" s="813"/>
      <c r="T16" s="866" t="s">
        <v>70</v>
      </c>
      <c r="U16" s="867">
        <v>0.65399430634468769</v>
      </c>
      <c r="V16" s="867">
        <v>0.64635739583102003</v>
      </c>
      <c r="W16" s="839"/>
      <c r="X16" s="827"/>
      <c r="Y16" s="827"/>
    </row>
    <row r="17" spans="1:25" ht="11.25" customHeight="1">
      <c r="A17" s="136"/>
      <c r="B17" s="138"/>
      <c r="C17" s="138"/>
      <c r="D17" s="138"/>
      <c r="E17" s="138"/>
      <c r="F17" s="138"/>
      <c r="G17" s="138"/>
      <c r="H17" s="138"/>
      <c r="I17" s="138"/>
      <c r="J17" s="138"/>
      <c r="K17" s="138"/>
      <c r="L17" s="811" t="s">
        <v>485</v>
      </c>
      <c r="M17" s="811" t="s">
        <v>59</v>
      </c>
      <c r="N17" s="812">
        <v>20.16</v>
      </c>
      <c r="O17" s="813">
        <v>2.7714883625000004</v>
      </c>
      <c r="P17" s="813">
        <v>0.19093697382743607</v>
      </c>
      <c r="Q17" s="813"/>
      <c r="T17" s="866" t="s">
        <v>74</v>
      </c>
      <c r="U17" s="867">
        <v>0.65338195887271067</v>
      </c>
      <c r="V17" s="867">
        <v>0.73506635754606375</v>
      </c>
      <c r="W17" s="839"/>
      <c r="X17" s="827"/>
      <c r="Y17" s="827"/>
    </row>
    <row r="18" spans="1:25">
      <c r="A18" s="136"/>
      <c r="B18" s="138"/>
      <c r="C18" s="138"/>
      <c r="D18" s="138"/>
      <c r="E18" s="138"/>
      <c r="F18" s="138"/>
      <c r="G18" s="138"/>
      <c r="H18" s="138"/>
      <c r="I18" s="138"/>
      <c r="J18" s="138"/>
      <c r="K18" s="138"/>
      <c r="L18" s="811" t="s">
        <v>75</v>
      </c>
      <c r="M18" s="811" t="s">
        <v>59</v>
      </c>
      <c r="N18" s="812">
        <v>3.964</v>
      </c>
      <c r="O18" s="813">
        <v>2.4851999999999999</v>
      </c>
      <c r="P18" s="813">
        <v>0.87075344769592999</v>
      </c>
      <c r="Q18" s="813"/>
      <c r="T18" s="866" t="s">
        <v>58</v>
      </c>
      <c r="U18" s="867">
        <v>0.63910913796891822</v>
      </c>
      <c r="V18" s="867">
        <v>0.72224786794525664</v>
      </c>
      <c r="W18" s="839"/>
      <c r="X18" s="827"/>
      <c r="Y18" s="827"/>
    </row>
    <row r="19" spans="1:25">
      <c r="A19" s="136"/>
      <c r="B19" s="138"/>
      <c r="C19" s="138"/>
      <c r="D19" s="138"/>
      <c r="E19" s="138"/>
      <c r="F19" s="138"/>
      <c r="G19" s="138"/>
      <c r="H19" s="138"/>
      <c r="I19" s="138"/>
      <c r="J19" s="138"/>
      <c r="K19" s="138"/>
      <c r="L19" s="811" t="s">
        <v>64</v>
      </c>
      <c r="M19" s="811" t="s">
        <v>59</v>
      </c>
      <c r="N19" s="812">
        <v>19.899999999999999</v>
      </c>
      <c r="O19" s="813">
        <v>2.2496731324999999</v>
      </c>
      <c r="P19" s="813">
        <v>0.1570123626814629</v>
      </c>
      <c r="Q19" s="813"/>
      <c r="T19" s="866" t="s">
        <v>64</v>
      </c>
      <c r="U19" s="867">
        <v>0.61293802701695299</v>
      </c>
      <c r="V19" s="867">
        <v>0.53640348328562837</v>
      </c>
      <c r="W19" s="839"/>
      <c r="X19" s="827"/>
      <c r="Y19" s="827"/>
    </row>
    <row r="20" spans="1:25">
      <c r="A20" s="136"/>
      <c r="B20" s="138"/>
      <c r="C20" s="138"/>
      <c r="D20" s="138"/>
      <c r="E20" s="138"/>
      <c r="F20" s="138"/>
      <c r="G20" s="138"/>
      <c r="H20" s="138"/>
      <c r="I20" s="138"/>
      <c r="J20" s="138"/>
      <c r="K20" s="138"/>
      <c r="L20" s="811" t="s">
        <v>61</v>
      </c>
      <c r="M20" s="811" t="s">
        <v>59</v>
      </c>
      <c r="N20" s="812">
        <v>19.966999999999999</v>
      </c>
      <c r="O20" s="813">
        <v>2.100285935</v>
      </c>
      <c r="P20" s="813">
        <v>0.14609424543552416</v>
      </c>
      <c r="Q20" s="813"/>
      <c r="T20" s="866" t="s">
        <v>62</v>
      </c>
      <c r="U20" s="867">
        <v>0.60566735279421491</v>
      </c>
      <c r="V20" s="867"/>
      <c r="W20" s="839"/>
      <c r="X20" s="827"/>
      <c r="Y20" s="827"/>
    </row>
    <row r="21" spans="1:25">
      <c r="A21" s="136"/>
      <c r="B21" s="138"/>
      <c r="C21" s="138"/>
      <c r="D21" s="138"/>
      <c r="E21" s="138"/>
      <c r="F21" s="138"/>
      <c r="G21" s="138"/>
      <c r="H21" s="138"/>
      <c r="I21" s="138"/>
      <c r="J21" s="138"/>
      <c r="K21" s="138"/>
      <c r="L21" s="811" t="s">
        <v>65</v>
      </c>
      <c r="M21" s="811" t="s">
        <v>59</v>
      </c>
      <c r="N21" s="812">
        <v>10.222</v>
      </c>
      <c r="O21" s="813">
        <v>1.98651402</v>
      </c>
      <c r="P21" s="813">
        <v>0.26991266386225793</v>
      </c>
      <c r="Q21" s="813"/>
      <c r="T21" s="866" t="s">
        <v>65</v>
      </c>
      <c r="U21" s="867">
        <v>0.58804063962719944</v>
      </c>
      <c r="V21" s="867">
        <v>0.64192518421625988</v>
      </c>
      <c r="W21" s="839"/>
      <c r="X21" s="827"/>
      <c r="Y21" s="827"/>
    </row>
    <row r="22" spans="1:25">
      <c r="A22" s="136"/>
      <c r="B22" s="138"/>
      <c r="C22" s="138"/>
      <c r="D22" s="138"/>
      <c r="E22" s="138"/>
      <c r="F22" s="138"/>
      <c r="G22" s="138"/>
      <c r="H22" s="138"/>
      <c r="I22" s="138"/>
      <c r="J22" s="138"/>
      <c r="K22" s="138"/>
      <c r="L22" s="811" t="s">
        <v>66</v>
      </c>
      <c r="M22" s="811" t="s">
        <v>59</v>
      </c>
      <c r="N22" s="812">
        <v>9.85</v>
      </c>
      <c r="O22" s="813">
        <v>1.961871685</v>
      </c>
      <c r="P22" s="813">
        <v>0.27663165327129163</v>
      </c>
      <c r="Q22" s="813"/>
      <c r="T22" s="866" t="s">
        <v>66</v>
      </c>
      <c r="U22" s="867">
        <v>0.57965833976373315</v>
      </c>
      <c r="V22" s="867">
        <v>0.63082701531054963</v>
      </c>
      <c r="W22" s="839"/>
      <c r="X22" s="827"/>
      <c r="Y22" s="827"/>
    </row>
    <row r="23" spans="1:25">
      <c r="A23" s="136"/>
      <c r="B23" s="138"/>
      <c r="C23" s="138"/>
      <c r="D23" s="138"/>
      <c r="E23" s="138"/>
      <c r="F23" s="138"/>
      <c r="G23" s="138"/>
      <c r="H23" s="138"/>
      <c r="I23" s="138"/>
      <c r="J23" s="138"/>
      <c r="K23" s="138"/>
      <c r="L23" s="811" t="s">
        <v>74</v>
      </c>
      <c r="M23" s="811" t="s">
        <v>59</v>
      </c>
      <c r="N23" s="812">
        <v>3.91621</v>
      </c>
      <c r="O23" s="813">
        <v>1.38822505</v>
      </c>
      <c r="P23" s="813">
        <v>0.49233579078298206</v>
      </c>
      <c r="Q23" s="813"/>
      <c r="T23" s="866" t="s">
        <v>68</v>
      </c>
      <c r="U23" s="867">
        <v>0.5459520451832125</v>
      </c>
      <c r="V23" s="867">
        <v>0.52568299519378792</v>
      </c>
      <c r="W23" s="839"/>
      <c r="X23" s="827"/>
      <c r="Y23" s="827"/>
    </row>
    <row r="24" spans="1:25">
      <c r="A24" s="136"/>
      <c r="B24" s="138"/>
      <c r="C24" s="138"/>
      <c r="D24" s="138"/>
      <c r="E24" s="138"/>
      <c r="F24" s="138"/>
      <c r="G24" s="138"/>
      <c r="H24" s="138"/>
      <c r="I24" s="138"/>
      <c r="J24" s="138"/>
      <c r="K24" s="138"/>
      <c r="L24" s="811" t="s">
        <v>68</v>
      </c>
      <c r="M24" s="811" t="s">
        <v>59</v>
      </c>
      <c r="N24" s="812">
        <v>7.4240000000000004</v>
      </c>
      <c r="O24" s="813">
        <v>1.2623287749999998</v>
      </c>
      <c r="P24" s="813">
        <v>0.23615765217163551</v>
      </c>
      <c r="Q24" s="813"/>
      <c r="T24" s="866" t="s">
        <v>69</v>
      </c>
      <c r="U24" s="867">
        <v>0.53318331825068643</v>
      </c>
      <c r="V24" s="867">
        <v>0.5044610853679552</v>
      </c>
      <c r="W24" s="839"/>
      <c r="X24" s="827"/>
      <c r="Y24" s="827"/>
    </row>
    <row r="25" spans="1:25">
      <c r="A25" s="136"/>
      <c r="B25" s="138"/>
      <c r="C25" s="138"/>
      <c r="D25" s="138"/>
      <c r="E25" s="138"/>
      <c r="F25" s="138"/>
      <c r="G25" s="138"/>
      <c r="H25" s="138"/>
      <c r="I25" s="138"/>
      <c r="J25" s="138"/>
      <c r="K25" s="138"/>
      <c r="L25" s="811" t="s">
        <v>69</v>
      </c>
      <c r="M25" s="811" t="s">
        <v>59</v>
      </c>
      <c r="N25" s="812">
        <v>6.9580000000000002</v>
      </c>
      <c r="O25" s="813">
        <v>1.0413036575000001</v>
      </c>
      <c r="P25" s="813">
        <v>0.20785499854284437</v>
      </c>
      <c r="Q25" s="813"/>
      <c r="T25" s="866" t="s">
        <v>61</v>
      </c>
      <c r="U25" s="867">
        <v>0.5184324384012623</v>
      </c>
      <c r="V25" s="867"/>
      <c r="W25" s="839"/>
      <c r="X25" s="827"/>
      <c r="Y25" s="827"/>
    </row>
    <row r="26" spans="1:25">
      <c r="A26" s="136"/>
      <c r="B26" s="138"/>
      <c r="C26" s="138"/>
      <c r="D26" s="138"/>
      <c r="E26" s="138"/>
      <c r="F26" s="138"/>
      <c r="G26" s="138"/>
      <c r="H26" s="138"/>
      <c r="I26" s="138"/>
      <c r="J26" s="138"/>
      <c r="K26" s="138"/>
      <c r="L26" s="811" t="s">
        <v>62</v>
      </c>
      <c r="M26" s="811" t="s">
        <v>59</v>
      </c>
      <c r="N26" s="812">
        <v>19.1995</v>
      </c>
      <c r="O26" s="813">
        <v>0.99366155749999996</v>
      </c>
      <c r="P26" s="813">
        <v>7.1881324853656489E-2</v>
      </c>
      <c r="Q26" s="813"/>
      <c r="T26" s="866" t="s">
        <v>73</v>
      </c>
      <c r="U26" s="867">
        <v>0.49498247190030614</v>
      </c>
      <c r="V26" s="867">
        <v>0.80489530188641167</v>
      </c>
      <c r="W26" s="839"/>
      <c r="X26" s="827"/>
      <c r="Y26" s="827"/>
    </row>
    <row r="27" spans="1:25">
      <c r="A27" s="136"/>
      <c r="B27" s="138"/>
      <c r="C27" s="138"/>
      <c r="D27" s="138"/>
      <c r="E27" s="138"/>
      <c r="F27" s="138"/>
      <c r="G27" s="138"/>
      <c r="H27" s="138"/>
      <c r="I27" s="138"/>
      <c r="J27" s="138"/>
      <c r="K27" s="138"/>
      <c r="L27" s="811" t="s">
        <v>73</v>
      </c>
      <c r="M27" s="811" t="s">
        <v>59</v>
      </c>
      <c r="N27" s="812">
        <v>3.48</v>
      </c>
      <c r="O27" s="813">
        <v>0.6625598425</v>
      </c>
      <c r="P27" s="813">
        <v>0.2644316101931673</v>
      </c>
      <c r="Q27" s="813"/>
      <c r="T27" s="866" t="s">
        <v>483</v>
      </c>
      <c r="U27" s="867">
        <v>0.42543033087634086</v>
      </c>
      <c r="V27" s="867">
        <v>0.31301159554940677</v>
      </c>
      <c r="W27" s="839"/>
      <c r="X27" s="827"/>
      <c r="Y27" s="827"/>
    </row>
    <row r="28" spans="1:25">
      <c r="A28" s="136"/>
      <c r="B28" s="138"/>
      <c r="C28" s="138"/>
      <c r="D28" s="138"/>
      <c r="E28" s="138"/>
      <c r="F28" s="138"/>
      <c r="G28" s="138"/>
      <c r="H28" s="138"/>
      <c r="I28" s="138"/>
      <c r="J28" s="138"/>
      <c r="K28" s="138"/>
      <c r="L28" s="811" t="s">
        <v>72</v>
      </c>
      <c r="M28" s="811" t="s">
        <v>59</v>
      </c>
      <c r="N28" s="812">
        <v>5.67</v>
      </c>
      <c r="O28" s="813">
        <v>0.61886973999999995</v>
      </c>
      <c r="P28" s="813">
        <v>0.15159458651773466</v>
      </c>
      <c r="Q28" s="813"/>
      <c r="T28" s="866" t="s">
        <v>484</v>
      </c>
      <c r="U28" s="867">
        <v>0.4213830456583898</v>
      </c>
      <c r="V28" s="867">
        <v>0.3107486497990038</v>
      </c>
      <c r="W28" s="839"/>
      <c r="X28" s="827"/>
      <c r="Y28" s="827"/>
    </row>
    <row r="29" spans="1:25">
      <c r="A29" s="136"/>
      <c r="B29" s="138"/>
      <c r="C29" s="138"/>
      <c r="D29" s="138"/>
      <c r="E29" s="138"/>
      <c r="F29" s="138"/>
      <c r="G29" s="138"/>
      <c r="H29" s="138"/>
      <c r="I29" s="138"/>
      <c r="J29" s="138"/>
      <c r="K29" s="138"/>
      <c r="L29" s="811" t="s">
        <v>486</v>
      </c>
      <c r="M29" s="811" t="s">
        <v>59</v>
      </c>
      <c r="N29" s="812">
        <v>0.7</v>
      </c>
      <c r="O29" s="813">
        <v>0.41806065749999999</v>
      </c>
      <c r="P29" s="813">
        <v>0.82948543154761922</v>
      </c>
      <c r="Q29" s="813"/>
      <c r="T29" s="866" t="s">
        <v>485</v>
      </c>
      <c r="U29" s="867">
        <v>0.37214025846494225</v>
      </c>
      <c r="V29" s="867">
        <v>0.24204189918154759</v>
      </c>
      <c r="W29" s="839"/>
      <c r="X29" s="827"/>
      <c r="Y29" s="827"/>
    </row>
    <row r="30" spans="1:25">
      <c r="A30" s="136"/>
      <c r="B30" s="138"/>
      <c r="C30" s="138"/>
      <c r="D30" s="138"/>
      <c r="E30" s="138"/>
      <c r="F30" s="138"/>
      <c r="G30" s="138"/>
      <c r="H30" s="138"/>
      <c r="I30" s="138"/>
      <c r="J30" s="138"/>
      <c r="K30" s="138"/>
      <c r="L30" s="811" t="s">
        <v>76</v>
      </c>
      <c r="M30" s="811" t="s">
        <v>59</v>
      </c>
      <c r="N30" s="812">
        <v>1.714</v>
      </c>
      <c r="O30" s="813">
        <v>0.15982693750000002</v>
      </c>
      <c r="P30" s="813">
        <v>0.12951100212303904</v>
      </c>
      <c r="Q30" s="813"/>
      <c r="T30" s="866" t="s">
        <v>76</v>
      </c>
      <c r="U30" s="867">
        <v>0.12770013640984329</v>
      </c>
      <c r="V30" s="867">
        <v>0.16512139710250859</v>
      </c>
      <c r="W30" s="839"/>
      <c r="X30" s="827"/>
      <c r="Y30" s="827"/>
    </row>
    <row r="31" spans="1:25">
      <c r="A31" s="136"/>
      <c r="B31" s="138"/>
      <c r="C31" s="138"/>
      <c r="D31" s="138"/>
      <c r="E31" s="138"/>
      <c r="F31" s="138"/>
      <c r="G31" s="138"/>
      <c r="H31" s="138"/>
      <c r="I31" s="138"/>
      <c r="J31" s="138"/>
      <c r="K31" s="138"/>
      <c r="L31" s="811" t="s">
        <v>516</v>
      </c>
      <c r="M31" s="811" t="s">
        <v>224</v>
      </c>
      <c r="N31" s="812">
        <v>132.30000000000001</v>
      </c>
      <c r="O31" s="813">
        <v>53.298124309999999</v>
      </c>
      <c r="P31" s="813">
        <v>0.55952511453346765</v>
      </c>
      <c r="Q31" s="813"/>
      <c r="S31" s="866" t="s">
        <v>555</v>
      </c>
      <c r="T31" s="866" t="s">
        <v>79</v>
      </c>
      <c r="U31" s="867">
        <v>0.57359810992826632</v>
      </c>
      <c r="V31" s="867">
        <v>0.16512139710250859</v>
      </c>
      <c r="W31" s="839"/>
      <c r="X31" s="827"/>
      <c r="Y31" s="827"/>
    </row>
    <row r="32" spans="1:25">
      <c r="A32" s="136"/>
      <c r="B32" s="138"/>
      <c r="C32" s="138"/>
      <c r="D32" s="138"/>
      <c r="E32" s="138"/>
      <c r="F32" s="138"/>
      <c r="G32" s="138"/>
      <c r="H32" s="138"/>
      <c r="I32" s="138"/>
      <c r="J32" s="138"/>
      <c r="K32" s="138"/>
      <c r="L32" s="811" t="s">
        <v>77</v>
      </c>
      <c r="M32" s="811" t="s">
        <v>224</v>
      </c>
      <c r="N32" s="812">
        <v>97.15</v>
      </c>
      <c r="O32" s="813">
        <v>40.208552394999998</v>
      </c>
      <c r="P32" s="813">
        <v>0.57483491157717148</v>
      </c>
      <c r="Q32" s="813"/>
      <c r="T32" s="866" t="s">
        <v>77</v>
      </c>
      <c r="U32" s="867">
        <v>0.55331145985526431</v>
      </c>
      <c r="V32" s="867">
        <v>0.54278751066726483</v>
      </c>
      <c r="W32" s="839"/>
      <c r="X32" s="827"/>
      <c r="Y32" s="827"/>
    </row>
    <row r="33" spans="1:25">
      <c r="A33" s="136"/>
      <c r="B33" s="138"/>
      <c r="C33" s="138"/>
      <c r="D33" s="138"/>
      <c r="E33" s="138"/>
      <c r="F33" s="138"/>
      <c r="G33" s="138"/>
      <c r="H33" s="138"/>
      <c r="I33" s="138"/>
      <c r="J33" s="138"/>
      <c r="K33" s="138"/>
      <c r="L33" s="811" t="s">
        <v>78</v>
      </c>
      <c r="M33" s="811" t="s">
        <v>224</v>
      </c>
      <c r="N33" s="812">
        <v>83.15</v>
      </c>
      <c r="O33" s="813">
        <v>28.167192072500001</v>
      </c>
      <c r="P33" s="813">
        <v>0.47048827541424465</v>
      </c>
      <c r="Q33" s="813"/>
      <c r="T33" s="866" t="s">
        <v>516</v>
      </c>
      <c r="U33" s="867">
        <v>0.49761876143535</v>
      </c>
      <c r="V33" s="867">
        <v>0.51381918585472586</v>
      </c>
      <c r="W33" s="839"/>
      <c r="X33" s="827"/>
      <c r="Y33" s="827"/>
    </row>
    <row r="34" spans="1:25">
      <c r="B34" s="138"/>
      <c r="C34" s="138"/>
      <c r="D34" s="138"/>
      <c r="E34" s="138"/>
      <c r="F34" s="138"/>
      <c r="G34" s="138"/>
      <c r="H34" s="138"/>
      <c r="I34" s="138"/>
      <c r="J34" s="138"/>
      <c r="K34" s="138"/>
      <c r="L34" s="811" t="s">
        <v>79</v>
      </c>
      <c r="M34" s="811" t="s">
        <v>224</v>
      </c>
      <c r="N34" s="812">
        <v>32</v>
      </c>
      <c r="O34" s="813">
        <v>13.998350742500001</v>
      </c>
      <c r="P34" s="813">
        <v>0.6075673065321181</v>
      </c>
      <c r="Q34" s="813"/>
      <c r="T34" s="866" t="s">
        <v>80</v>
      </c>
      <c r="U34" s="867">
        <v>0.43766154553887443</v>
      </c>
      <c r="V34" s="867">
        <v>0.43026682119839738</v>
      </c>
      <c r="W34" s="839"/>
      <c r="X34" s="827"/>
      <c r="Y34" s="827"/>
    </row>
    <row r="35" spans="1:25">
      <c r="A35" s="136"/>
      <c r="B35" s="138"/>
      <c r="C35" s="138"/>
      <c r="D35" s="138"/>
      <c r="E35" s="138"/>
      <c r="F35" s="138"/>
      <c r="G35" s="138"/>
      <c r="H35" s="138"/>
      <c r="I35" s="138"/>
      <c r="J35" s="138"/>
      <c r="K35" s="138"/>
      <c r="L35" s="811" t="s">
        <v>80</v>
      </c>
      <c r="M35" s="811" t="s">
        <v>224</v>
      </c>
      <c r="N35" s="812">
        <v>30.86</v>
      </c>
      <c r="O35" s="813">
        <v>12.029311235</v>
      </c>
      <c r="P35" s="813">
        <v>0.54139263497335632</v>
      </c>
      <c r="Q35" s="813"/>
      <c r="T35" s="866" t="s">
        <v>78</v>
      </c>
      <c r="U35" s="867">
        <v>0.42640365272004999</v>
      </c>
      <c r="V35" s="867">
        <v>0.37654029466474598</v>
      </c>
      <c r="W35" s="839"/>
      <c r="X35" s="827"/>
      <c r="Y35" s="827"/>
    </row>
    <row r="36" spans="1:25">
      <c r="A36" s="136"/>
      <c r="B36" s="138"/>
      <c r="C36" s="138"/>
      <c r="D36" s="138"/>
      <c r="E36" s="138"/>
      <c r="F36" s="138"/>
      <c r="G36" s="138"/>
      <c r="H36" s="138"/>
      <c r="I36" s="138"/>
      <c r="J36" s="138"/>
      <c r="K36" s="138"/>
      <c r="L36" s="811" t="s">
        <v>517</v>
      </c>
      <c r="M36" s="811" t="s">
        <v>81</v>
      </c>
      <c r="N36" s="812">
        <v>144.47999999999999</v>
      </c>
      <c r="O36" s="813">
        <v>37.765854772499999</v>
      </c>
      <c r="P36" s="813">
        <v>0.36304385432528152</v>
      </c>
      <c r="Q36" s="813"/>
      <c r="S36" s="866" t="s">
        <v>540</v>
      </c>
      <c r="T36" s="866" t="s">
        <v>82</v>
      </c>
      <c r="U36" s="867">
        <v>0.31895291459191843</v>
      </c>
      <c r="V36" s="867">
        <v>0.32481071979452841</v>
      </c>
      <c r="W36" s="839"/>
      <c r="X36" s="827"/>
      <c r="Y36" s="827"/>
    </row>
    <row r="37" spans="1:25">
      <c r="A37" s="136"/>
      <c r="B37" s="138"/>
      <c r="C37" s="138"/>
      <c r="D37" s="138"/>
      <c r="E37" s="138"/>
      <c r="F37" s="138"/>
      <c r="G37" s="138"/>
      <c r="H37" s="138"/>
      <c r="I37" s="138"/>
      <c r="J37" s="138"/>
      <c r="K37" s="138"/>
      <c r="L37" s="811" t="s">
        <v>517</v>
      </c>
      <c r="M37" s="811" t="s">
        <v>81</v>
      </c>
      <c r="N37" s="812">
        <v>144.47999999999999</v>
      </c>
      <c r="O37" s="813">
        <v>37.765854772499999</v>
      </c>
      <c r="P37" s="813">
        <v>0.36304385432528152</v>
      </c>
      <c r="Q37" s="813"/>
      <c r="T37" s="866" t="s">
        <v>517</v>
      </c>
      <c r="U37" s="867">
        <v>0.30852202255877498</v>
      </c>
      <c r="V37" s="867">
        <v>0.30661076948650223</v>
      </c>
      <c r="W37" s="839"/>
    </row>
    <row r="38" spans="1:25" ht="11.25" customHeight="1">
      <c r="A38" s="136"/>
      <c r="B38" s="138"/>
      <c r="C38" s="138"/>
      <c r="D38" s="138"/>
      <c r="E38" s="138"/>
      <c r="F38" s="138"/>
      <c r="G38" s="138"/>
      <c r="H38" s="138"/>
      <c r="I38" s="138"/>
      <c r="J38" s="138"/>
      <c r="K38" s="138"/>
      <c r="L38" s="815" t="s">
        <v>518</v>
      </c>
      <c r="M38" s="816" t="s">
        <v>81</v>
      </c>
      <c r="N38" s="812">
        <v>44.54</v>
      </c>
      <c r="O38" s="813">
        <v>9.361534240000001</v>
      </c>
      <c r="P38" s="813">
        <v>0.29192031631991217</v>
      </c>
      <c r="Q38" s="815"/>
      <c r="T38" s="866" t="s">
        <v>243</v>
      </c>
      <c r="U38" s="867">
        <v>0.27637616252670943</v>
      </c>
      <c r="V38" s="867">
        <v>0.28205015766178271</v>
      </c>
      <c r="W38" s="839"/>
    </row>
    <row r="39" spans="1:25">
      <c r="A39" s="136"/>
      <c r="B39" s="138"/>
      <c r="C39" s="138"/>
      <c r="D39" s="138"/>
      <c r="E39" s="138"/>
      <c r="F39" s="138"/>
      <c r="G39" s="138"/>
      <c r="H39" s="138"/>
      <c r="I39" s="138"/>
      <c r="J39" s="138"/>
      <c r="K39" s="138"/>
      <c r="L39" s="806" t="s">
        <v>243</v>
      </c>
      <c r="M39" s="817" t="s">
        <v>81</v>
      </c>
      <c r="N39" s="812">
        <v>20</v>
      </c>
      <c r="O39" s="813">
        <v>4.4721122500000003</v>
      </c>
      <c r="P39" s="813">
        <v>0.31056335069444446</v>
      </c>
      <c r="T39" s="866" t="s">
        <v>242</v>
      </c>
      <c r="U39" s="867">
        <v>0.25655436252289376</v>
      </c>
      <c r="V39" s="867">
        <v>0.26449013991910869</v>
      </c>
      <c r="W39" s="839"/>
    </row>
    <row r="40" spans="1:25">
      <c r="A40" s="136"/>
      <c r="B40" s="138"/>
      <c r="C40" s="138"/>
      <c r="D40" s="138"/>
      <c r="E40" s="138"/>
      <c r="F40" s="138"/>
      <c r="G40" s="138"/>
      <c r="H40" s="138"/>
      <c r="I40" s="138"/>
      <c r="J40" s="138"/>
      <c r="K40" s="138"/>
      <c r="L40" s="806" t="s">
        <v>82</v>
      </c>
      <c r="M40" s="817" t="s">
        <v>81</v>
      </c>
      <c r="N40" s="812">
        <v>16</v>
      </c>
      <c r="O40" s="813">
        <v>4.1241915774999995</v>
      </c>
      <c r="P40" s="813">
        <v>0.35800274110243052</v>
      </c>
      <c r="T40" s="866" t="s">
        <v>518</v>
      </c>
      <c r="U40" s="867">
        <v>0.24915261302211231</v>
      </c>
      <c r="V40" s="867">
        <v>0.24386285951745865</v>
      </c>
      <c r="W40" s="839"/>
    </row>
    <row r="41" spans="1:25">
      <c r="A41" s="136"/>
      <c r="B41" s="138"/>
      <c r="C41" s="138"/>
      <c r="D41" s="138"/>
      <c r="E41" s="138"/>
      <c r="F41" s="138"/>
      <c r="G41" s="138"/>
      <c r="H41" s="138"/>
      <c r="I41" s="138"/>
      <c r="J41" s="138"/>
      <c r="K41" s="138"/>
      <c r="L41" s="806" t="s">
        <v>244</v>
      </c>
      <c r="M41" s="817" t="s">
        <v>81</v>
      </c>
      <c r="N41" s="812">
        <v>20</v>
      </c>
      <c r="O41" s="813">
        <v>3.8522924999999999</v>
      </c>
      <c r="P41" s="813">
        <v>0.26752031250000002</v>
      </c>
      <c r="T41" s="866" t="s">
        <v>244</v>
      </c>
      <c r="U41" s="867">
        <v>0.24655560183913305</v>
      </c>
      <c r="V41" s="867">
        <v>0.24516076055021369</v>
      </c>
      <c r="W41" s="839"/>
    </row>
    <row r="42" spans="1:25">
      <c r="A42" s="136"/>
      <c r="B42" s="138"/>
      <c r="C42" s="138"/>
      <c r="D42" s="138"/>
      <c r="E42" s="138"/>
      <c r="F42" s="138"/>
      <c r="G42" s="138"/>
      <c r="H42" s="138"/>
      <c r="I42" s="138"/>
      <c r="J42" s="138"/>
      <c r="K42" s="138"/>
      <c r="L42" s="806" t="s">
        <v>242</v>
      </c>
      <c r="M42" s="806" t="s">
        <v>81</v>
      </c>
      <c r="N42" s="812">
        <v>20</v>
      </c>
      <c r="O42" s="813">
        <v>3.8375719075000001</v>
      </c>
      <c r="P42" s="813">
        <v>0.26649804913194447</v>
      </c>
      <c r="T42" s="866" t="s">
        <v>83</v>
      </c>
      <c r="U42" s="867">
        <v>0.24155314201770448</v>
      </c>
      <c r="V42" s="867">
        <v>0.22493853208943834</v>
      </c>
      <c r="W42" s="839"/>
    </row>
    <row r="43" spans="1:25" ht="36" customHeight="1">
      <c r="A43" s="909"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setiembre 2019.
Nota: Son consideradas las centrales con operación comercial</v>
      </c>
      <c r="B43" s="909"/>
      <c r="C43" s="909"/>
      <c r="D43" s="909"/>
      <c r="E43" s="909"/>
      <c r="F43" s="909"/>
      <c r="G43" s="909"/>
      <c r="H43" s="909"/>
      <c r="I43" s="909"/>
      <c r="J43" s="909"/>
      <c r="K43" s="909"/>
      <c r="L43" s="806" t="s">
        <v>83</v>
      </c>
      <c r="M43" s="806" t="s">
        <v>81</v>
      </c>
      <c r="N43" s="812">
        <v>20</v>
      </c>
      <c r="O43" s="813">
        <v>3.8210052099999996</v>
      </c>
      <c r="P43" s="813">
        <v>0.26534758402777775</v>
      </c>
      <c r="S43" s="866" t="s">
        <v>541</v>
      </c>
      <c r="T43" s="866" t="s">
        <v>85</v>
      </c>
      <c r="U43" s="867">
        <v>0.9043223541691281</v>
      </c>
      <c r="V43" s="867">
        <v>0.8464303342714633</v>
      </c>
      <c r="W43" s="839"/>
    </row>
    <row r="44" spans="1:25" ht="18" customHeight="1">
      <c r="A44" s="136"/>
      <c r="B44" s="138"/>
      <c r="C44" s="138"/>
      <c r="D44" s="138"/>
      <c r="E44" s="138"/>
      <c r="F44" s="138"/>
      <c r="G44" s="138"/>
      <c r="H44" s="138"/>
      <c r="I44" s="138"/>
      <c r="J44" s="138"/>
      <c r="K44" s="138"/>
      <c r="L44" s="806" t="s">
        <v>85</v>
      </c>
      <c r="M44" s="806" t="s">
        <v>464</v>
      </c>
      <c r="N44" s="812">
        <v>4.2625000000000002</v>
      </c>
      <c r="O44" s="813">
        <v>2.8265891850000004</v>
      </c>
      <c r="P44" s="813">
        <v>0.92101309384164221</v>
      </c>
      <c r="T44" s="866" t="s">
        <v>84</v>
      </c>
      <c r="U44" s="867">
        <v>0.8461399169921282</v>
      </c>
      <c r="V44" s="867">
        <v>0.79525250739345632</v>
      </c>
      <c r="W44" s="839"/>
    </row>
    <row r="45" spans="1:25" ht="12">
      <c r="A45" s="136"/>
      <c r="B45" s="138"/>
      <c r="C45" s="913" t="str">
        <f>"Factor de planta de las centrales RER  Acumulado al "&amp;'1. Resumen'!Q7&amp;" de "&amp;'1. Resumen'!Q4</f>
        <v>Factor de planta de las centrales RER  Acumulado al 30 de setiembre</v>
      </c>
      <c r="D45" s="913"/>
      <c r="E45" s="913"/>
      <c r="F45" s="913"/>
      <c r="G45" s="913"/>
      <c r="H45" s="913"/>
      <c r="I45" s="913"/>
      <c r="J45" s="138"/>
      <c r="K45" s="138"/>
      <c r="L45" s="806" t="s">
        <v>86</v>
      </c>
      <c r="M45" s="806" t="s">
        <v>464</v>
      </c>
      <c r="N45" s="812">
        <v>2.9537</v>
      </c>
      <c r="O45" s="813">
        <v>1.9036436050000001</v>
      </c>
      <c r="P45" s="813">
        <v>0.89513134420858198</v>
      </c>
      <c r="T45" s="866" t="s">
        <v>519</v>
      </c>
      <c r="U45" s="867">
        <v>0.69841772105209643</v>
      </c>
      <c r="V45" s="867">
        <v>0.82567104640151534</v>
      </c>
      <c r="W45" s="839"/>
    </row>
    <row r="46" spans="1:25" ht="9.75" customHeight="1">
      <c r="A46" s="136"/>
      <c r="B46" s="138"/>
      <c r="C46" s="138"/>
      <c r="D46" s="138"/>
      <c r="E46" s="138"/>
      <c r="F46" s="138"/>
      <c r="G46" s="138"/>
      <c r="H46" s="138"/>
      <c r="I46" s="138"/>
      <c r="J46" s="138"/>
      <c r="K46" s="138"/>
      <c r="L46" s="806" t="s">
        <v>519</v>
      </c>
      <c r="M46" s="806" t="s">
        <v>464</v>
      </c>
      <c r="N46" s="812">
        <v>2.4</v>
      </c>
      <c r="O46" s="813">
        <v>0.83586089250000006</v>
      </c>
      <c r="P46" s="813">
        <v>0.48371579427083344</v>
      </c>
      <c r="T46" s="866" t="s">
        <v>86</v>
      </c>
      <c r="U46" s="867">
        <v>0.67132446988221084</v>
      </c>
      <c r="V46" s="867">
        <v>0.42768907219098928</v>
      </c>
      <c r="W46" s="839"/>
    </row>
    <row r="47" spans="1:25" ht="9.75" customHeight="1">
      <c r="A47" s="136"/>
      <c r="B47" s="138"/>
      <c r="C47" s="138"/>
      <c r="D47" s="138"/>
      <c r="E47" s="138"/>
      <c r="F47" s="138"/>
      <c r="G47" s="138"/>
      <c r="H47" s="138"/>
      <c r="I47" s="138"/>
      <c r="J47" s="138"/>
      <c r="K47" s="138"/>
      <c r="N47" s="812"/>
      <c r="O47" s="813"/>
      <c r="P47" s="813"/>
    </row>
    <row r="48" spans="1:25" ht="9.75" customHeight="1">
      <c r="A48" s="136"/>
      <c r="B48" s="138"/>
      <c r="C48" s="138"/>
      <c r="D48" s="138"/>
      <c r="E48" s="138"/>
      <c r="F48" s="138"/>
      <c r="G48" s="138"/>
      <c r="H48" s="138"/>
      <c r="I48" s="138"/>
      <c r="J48" s="138"/>
      <c r="K48" s="138"/>
    </row>
    <row r="49" spans="1:11" ht="9.75" customHeight="1">
      <c r="A49" s="136"/>
      <c r="B49" s="138"/>
      <c r="C49" s="138"/>
      <c r="D49" s="138"/>
      <c r="E49" s="138"/>
      <c r="F49" s="138"/>
      <c r="G49" s="138"/>
      <c r="H49" s="138"/>
      <c r="I49" s="138"/>
      <c r="J49" s="138"/>
      <c r="K49" s="138"/>
    </row>
    <row r="50" spans="1:11" ht="9.75" customHeight="1">
      <c r="A50" s="136"/>
      <c r="B50" s="138"/>
      <c r="C50" s="138"/>
      <c r="D50" s="138"/>
      <c r="E50" s="138"/>
      <c r="F50" s="138"/>
      <c r="G50" s="138"/>
      <c r="H50" s="138"/>
      <c r="I50" s="138"/>
      <c r="J50" s="138"/>
      <c r="K50" s="138"/>
    </row>
    <row r="51" spans="1:11" ht="9.75" customHeight="1">
      <c r="A51" s="136"/>
      <c r="B51" s="138"/>
      <c r="C51" s="138"/>
      <c r="D51" s="138"/>
      <c r="E51" s="138"/>
      <c r="F51" s="138"/>
      <c r="G51" s="138"/>
      <c r="H51" s="138"/>
      <c r="I51" s="138"/>
      <c r="J51" s="138"/>
      <c r="K51" s="138"/>
    </row>
    <row r="52" spans="1:11" ht="9.75" customHeight="1">
      <c r="A52" s="136"/>
      <c r="B52" s="138"/>
      <c r="C52" s="138"/>
      <c r="D52" s="138"/>
      <c r="E52" s="138"/>
      <c r="F52" s="138"/>
      <c r="G52" s="138"/>
      <c r="H52" s="138"/>
      <c r="I52" s="138"/>
      <c r="J52" s="138"/>
      <c r="K52" s="138"/>
    </row>
    <row r="53" spans="1:11" ht="9.75" customHeight="1">
      <c r="B53" s="138"/>
      <c r="C53" s="138"/>
      <c r="D53" s="138"/>
      <c r="E53" s="138"/>
      <c r="F53" s="138"/>
      <c r="G53" s="138"/>
      <c r="H53" s="138"/>
      <c r="I53" s="138"/>
      <c r="J53" s="138"/>
      <c r="K53" s="138"/>
    </row>
    <row r="54" spans="1:11" ht="9.75" customHeight="1"/>
    <row r="55" spans="1:11" ht="9.75" customHeight="1"/>
    <row r="56" spans="1:11" ht="9.75" customHeight="1"/>
    <row r="57" spans="1:11" ht="9.75" customHeight="1"/>
    <row r="58" spans="1:11" ht="9.75" customHeight="1"/>
    <row r="59" spans="1:11" ht="9.75" customHeight="1"/>
    <row r="60" spans="1:11" ht="9.75" customHeight="1"/>
    <row r="61" spans="1:11" ht="9.75" customHeight="1"/>
    <row r="62" spans="1:11" ht="9.75" customHeight="1"/>
    <row r="64" spans="1:11" ht="26.25" customHeight="1">
      <c r="A64" s="909"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setiembre.
Nota: Son consideradas las centrales con operación comercial</v>
      </c>
      <c r="B64" s="909"/>
      <c r="C64" s="909"/>
      <c r="D64" s="909"/>
      <c r="E64" s="909"/>
      <c r="F64" s="909"/>
      <c r="G64" s="909"/>
      <c r="H64" s="909"/>
      <c r="I64" s="909"/>
      <c r="J64" s="909"/>
      <c r="K64" s="909"/>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2"/>
  <sheetViews>
    <sheetView showGridLines="0" view="pageBreakPreview" zoomScale="115" zoomScaleNormal="100" zoomScaleSheetLayoutView="115" zoomScalePageLayoutView="85" workbookViewId="0">
      <selection activeCell="M48" sqref="M48"/>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10" t="s">
        <v>246</v>
      </c>
      <c r="B2" s="910"/>
      <c r="C2" s="910"/>
      <c r="D2" s="910"/>
      <c r="E2" s="910"/>
      <c r="F2" s="910"/>
      <c r="G2" s="910"/>
      <c r="H2" s="910"/>
      <c r="I2" s="910"/>
      <c r="J2" s="17"/>
    </row>
    <row r="3" spans="1:14" ht="6" customHeight="1">
      <c r="A3" s="17"/>
      <c r="B3" s="17"/>
      <c r="C3" s="17"/>
      <c r="D3" s="17"/>
      <c r="E3" s="17"/>
      <c r="F3" s="17"/>
      <c r="G3" s="17"/>
      <c r="H3" s="17"/>
      <c r="I3" s="17"/>
      <c r="J3" s="17"/>
      <c r="K3" s="351"/>
      <c r="L3" s="351"/>
    </row>
    <row r="4" spans="1:14" ht="11.25" customHeight="1">
      <c r="A4" s="916" t="s">
        <v>256</v>
      </c>
      <c r="B4" s="917" t="str">
        <f>+'1. Resumen'!Q4</f>
        <v>setiembre</v>
      </c>
      <c r="C4" s="918"/>
      <c r="D4" s="918"/>
      <c r="E4" s="138"/>
      <c r="F4" s="138"/>
      <c r="G4" s="919" t="s">
        <v>503</v>
      </c>
      <c r="H4" s="919"/>
      <c r="I4" s="919"/>
      <c r="J4" s="138"/>
      <c r="L4" s="352"/>
      <c r="M4" s="353">
        <v>2019</v>
      </c>
      <c r="N4" s="353">
        <v>2018</v>
      </c>
    </row>
    <row r="5" spans="1:14" ht="11.25" customHeight="1">
      <c r="A5" s="916"/>
      <c r="B5" s="522">
        <f>+'1. Resumen'!Q5</f>
        <v>2019</v>
      </c>
      <c r="C5" s="523">
        <f>+B5-1</f>
        <v>2018</v>
      </c>
      <c r="D5" s="523" t="s">
        <v>35</v>
      </c>
      <c r="E5" s="138"/>
      <c r="F5" s="138"/>
      <c r="G5" s="138"/>
      <c r="H5" s="138"/>
      <c r="I5" s="138"/>
      <c r="J5" s="138"/>
      <c r="K5" s="354"/>
      <c r="L5" s="358" t="s">
        <v>482</v>
      </c>
      <c r="M5" s="356">
        <v>0</v>
      </c>
      <c r="N5" s="356">
        <v>1.302E-3</v>
      </c>
    </row>
    <row r="6" spans="1:14" ht="10.5" customHeight="1">
      <c r="A6" s="415" t="s">
        <v>479</v>
      </c>
      <c r="B6" s="432">
        <v>821.60185545749994</v>
      </c>
      <c r="C6" s="433">
        <v>652.72241572500002</v>
      </c>
      <c r="D6" s="416">
        <f>IF(C6=0,"",B6/C6-1)</f>
        <v>0.25873087190505029</v>
      </c>
      <c r="E6" s="138"/>
      <c r="F6" s="138"/>
      <c r="G6" s="138"/>
      <c r="H6" s="138"/>
      <c r="I6" s="138"/>
      <c r="J6" s="138"/>
      <c r="K6" s="357"/>
      <c r="L6" s="358" t="s">
        <v>120</v>
      </c>
      <c r="M6" s="356">
        <v>0</v>
      </c>
      <c r="N6" s="356">
        <v>0</v>
      </c>
    </row>
    <row r="7" spans="1:14" ht="10.5" customHeight="1">
      <c r="A7" s="417" t="s">
        <v>88</v>
      </c>
      <c r="B7" s="434">
        <v>656.41463686750001</v>
      </c>
      <c r="C7" s="434">
        <v>673.0898931349999</v>
      </c>
      <c r="D7" s="418">
        <f t="shared" ref="D7:D38" si="0">IF(C7=0,"",B7/C7-1)</f>
        <v>-2.4774189060888796E-2</v>
      </c>
      <c r="E7" s="428"/>
      <c r="F7" s="138"/>
      <c r="G7" s="138"/>
      <c r="H7" s="138"/>
      <c r="I7" s="138"/>
      <c r="J7" s="138"/>
      <c r="L7" s="356" t="s">
        <v>247</v>
      </c>
      <c r="M7" s="356">
        <v>0</v>
      </c>
      <c r="N7" s="356">
        <v>2E-8</v>
      </c>
    </row>
    <row r="8" spans="1:14" ht="10.5" customHeight="1">
      <c r="A8" s="415" t="s">
        <v>89</v>
      </c>
      <c r="B8" s="433">
        <v>574.84154991249989</v>
      </c>
      <c r="C8" s="433">
        <v>556.10075069250001</v>
      </c>
      <c r="D8" s="416">
        <f t="shared" si="0"/>
        <v>3.3700366699132012E-2</v>
      </c>
      <c r="E8" s="138"/>
      <c r="F8" s="138"/>
      <c r="G8" s="138"/>
      <c r="H8" s="138"/>
      <c r="I8" s="138"/>
      <c r="J8" s="138"/>
      <c r="L8" s="358" t="s">
        <v>122</v>
      </c>
      <c r="M8" s="356">
        <v>0</v>
      </c>
      <c r="N8" s="356">
        <v>0</v>
      </c>
    </row>
    <row r="9" spans="1:14" ht="10.5" customHeight="1">
      <c r="A9" s="417" t="s">
        <v>90</v>
      </c>
      <c r="B9" s="434">
        <v>566.85764856000003</v>
      </c>
      <c r="C9" s="434">
        <v>533.19888551999998</v>
      </c>
      <c r="D9" s="418">
        <f t="shared" si="0"/>
        <v>6.3126094134976496E-2</v>
      </c>
      <c r="E9" s="138"/>
      <c r="F9" s="138"/>
      <c r="G9" s="138"/>
      <c r="H9" s="138"/>
      <c r="I9" s="138"/>
      <c r="J9" s="138"/>
      <c r="L9" s="358" t="s">
        <v>254</v>
      </c>
      <c r="M9" s="356">
        <v>2.8826350000000001E-2</v>
      </c>
      <c r="N9" s="356">
        <v>2.2426149999999999E-3</v>
      </c>
    </row>
    <row r="10" spans="1:14" ht="10.5" customHeight="1">
      <c r="A10" s="415" t="s">
        <v>250</v>
      </c>
      <c r="B10" s="433">
        <v>378.10918749249998</v>
      </c>
      <c r="C10" s="433">
        <v>397.68801867999997</v>
      </c>
      <c r="D10" s="416">
        <f t="shared" si="0"/>
        <v>-4.9231634517141742E-2</v>
      </c>
      <c r="E10" s="138"/>
      <c r="F10" s="138"/>
      <c r="G10" s="138"/>
      <c r="H10" s="138"/>
      <c r="I10" s="138"/>
      <c r="J10" s="138"/>
      <c r="K10" s="354"/>
      <c r="L10" s="356" t="s">
        <v>119</v>
      </c>
      <c r="M10" s="356">
        <v>5.15941725E-2</v>
      </c>
      <c r="N10" s="356">
        <v>0.12731671249999998</v>
      </c>
    </row>
    <row r="11" spans="1:14" ht="10.5" customHeight="1">
      <c r="A11" s="417" t="s">
        <v>101</v>
      </c>
      <c r="B11" s="434">
        <v>163.46945026500001</v>
      </c>
      <c r="C11" s="434">
        <v>210.44338141999998</v>
      </c>
      <c r="D11" s="418">
        <f t="shared" si="0"/>
        <v>-0.22321410556148613</v>
      </c>
      <c r="E11" s="138"/>
      <c r="F11" s="138"/>
      <c r="G11" s="138"/>
      <c r="H11" s="138"/>
      <c r="I11" s="138"/>
      <c r="J11" s="138"/>
      <c r="K11" s="357"/>
      <c r="L11" s="356" t="s">
        <v>606</v>
      </c>
      <c r="M11" s="356">
        <v>0.15982693750000002</v>
      </c>
      <c r="N11" s="356">
        <v>0.10566344750000001</v>
      </c>
    </row>
    <row r="12" spans="1:14" ht="10.5" customHeight="1">
      <c r="A12" s="415" t="s">
        <v>91</v>
      </c>
      <c r="B12" s="433">
        <v>133.6053017575</v>
      </c>
      <c r="C12" s="433">
        <v>125.84359294000001</v>
      </c>
      <c r="D12" s="416">
        <f t="shared" si="0"/>
        <v>6.1677425414900844E-2</v>
      </c>
      <c r="E12" s="138"/>
      <c r="F12" s="138"/>
      <c r="G12" s="138"/>
      <c r="H12" s="138"/>
      <c r="I12" s="138"/>
      <c r="J12" s="138"/>
      <c r="K12" s="357"/>
      <c r="L12" s="356" t="s">
        <v>255</v>
      </c>
      <c r="M12" s="356">
        <v>0.39760923749999999</v>
      </c>
      <c r="N12" s="356">
        <v>0.40214331249999996</v>
      </c>
    </row>
    <row r="13" spans="1:14" ht="10.5" customHeight="1">
      <c r="A13" s="417" t="s">
        <v>99</v>
      </c>
      <c r="B13" s="434">
        <v>91.063979082499998</v>
      </c>
      <c r="C13" s="434">
        <v>89.929428784999999</v>
      </c>
      <c r="D13" s="419">
        <f t="shared" si="0"/>
        <v>1.2616006938200863E-2</v>
      </c>
      <c r="E13" s="138"/>
      <c r="F13" s="138"/>
      <c r="G13" s="138"/>
      <c r="H13" s="138"/>
      <c r="I13" s="138"/>
      <c r="J13" s="138"/>
      <c r="K13" s="357"/>
      <c r="L13" s="358" t="s">
        <v>118</v>
      </c>
      <c r="M13" s="356">
        <v>0.6625598425</v>
      </c>
      <c r="N13" s="356">
        <v>1.0513025</v>
      </c>
    </row>
    <row r="14" spans="1:14" ht="10.5" customHeight="1">
      <c r="A14" s="415" t="s">
        <v>252</v>
      </c>
      <c r="B14" s="433">
        <v>81.856646697499997</v>
      </c>
      <c r="C14" s="433">
        <v>65.488063177499996</v>
      </c>
      <c r="D14" s="416">
        <f t="shared" si="0"/>
        <v>0.24994758931309824</v>
      </c>
      <c r="E14" s="138"/>
      <c r="F14" s="138"/>
      <c r="G14" s="138"/>
      <c r="H14" s="138"/>
      <c r="I14" s="138"/>
      <c r="J14" s="138"/>
      <c r="K14" s="357"/>
      <c r="L14" s="358" t="s">
        <v>105</v>
      </c>
      <c r="M14" s="356">
        <v>0.99366155749999996</v>
      </c>
      <c r="N14" s="356">
        <v>1.7073725375</v>
      </c>
    </row>
    <row r="15" spans="1:14" ht="10.5" customHeight="1">
      <c r="A15" s="417" t="s">
        <v>92</v>
      </c>
      <c r="B15" s="434">
        <v>70.907866850000019</v>
      </c>
      <c r="C15" s="434">
        <v>70.811768407499997</v>
      </c>
      <c r="D15" s="418">
        <f t="shared" si="0"/>
        <v>1.3570970569045659E-3</v>
      </c>
      <c r="E15" s="138"/>
      <c r="F15" s="138"/>
      <c r="G15" s="138"/>
      <c r="H15" s="138"/>
      <c r="I15" s="138"/>
      <c r="J15" s="138"/>
      <c r="K15" s="357"/>
      <c r="L15" s="356" t="s">
        <v>116</v>
      </c>
      <c r="M15" s="356">
        <v>1.38822505</v>
      </c>
      <c r="N15" s="356">
        <v>1.288954275</v>
      </c>
    </row>
    <row r="16" spans="1:14" ht="10.5" customHeight="1">
      <c r="A16" s="415" t="s">
        <v>93</v>
      </c>
      <c r="B16" s="433">
        <v>68.187194457499999</v>
      </c>
      <c r="C16" s="433">
        <v>69.465119695000013</v>
      </c>
      <c r="D16" s="416">
        <f t="shared" si="0"/>
        <v>-1.8396646304087438E-2</v>
      </c>
      <c r="E16" s="138"/>
      <c r="F16" s="138"/>
      <c r="G16" s="138"/>
      <c r="H16" s="138"/>
      <c r="I16" s="138"/>
      <c r="J16" s="138" t="s">
        <v>8</v>
      </c>
      <c r="K16" s="357"/>
      <c r="L16" s="356" t="s">
        <v>121</v>
      </c>
      <c r="M16" s="356">
        <v>2.2496731324999999</v>
      </c>
      <c r="N16" s="356">
        <v>1.3720825024999999</v>
      </c>
    </row>
    <row r="17" spans="1:14" ht="10.5" customHeight="1">
      <c r="A17" s="417" t="s">
        <v>97</v>
      </c>
      <c r="B17" s="434">
        <v>63.313720462500001</v>
      </c>
      <c r="C17" s="434">
        <v>64.839849642499999</v>
      </c>
      <c r="D17" s="418">
        <f t="shared" si="0"/>
        <v>-2.3536901896201834E-2</v>
      </c>
      <c r="E17" s="138"/>
      <c r="F17" s="138"/>
      <c r="G17" s="138"/>
      <c r="H17" s="138"/>
      <c r="I17" s="138"/>
      <c r="J17" s="138"/>
      <c r="K17" s="357"/>
      <c r="L17" s="356" t="s">
        <v>117</v>
      </c>
      <c r="M17" s="356">
        <v>2.4851999999999999</v>
      </c>
      <c r="N17" s="356">
        <v>2.2961</v>
      </c>
    </row>
    <row r="18" spans="1:14" ht="10.5" customHeight="1">
      <c r="A18" s="415" t="s">
        <v>95</v>
      </c>
      <c r="B18" s="433">
        <v>57.352166005000001</v>
      </c>
      <c r="C18" s="433">
        <v>50.394623122499993</v>
      </c>
      <c r="D18" s="416">
        <f t="shared" si="0"/>
        <v>0.13806121469720112</v>
      </c>
      <c r="E18" s="138"/>
      <c r="F18" s="138"/>
      <c r="G18" s="138"/>
      <c r="H18" s="138"/>
      <c r="I18" s="138"/>
      <c r="J18" s="138"/>
      <c r="K18" s="360"/>
      <c r="L18" s="356" t="s">
        <v>495</v>
      </c>
      <c r="M18" s="356">
        <v>2.99821523</v>
      </c>
      <c r="N18" s="356"/>
    </row>
    <row r="19" spans="1:14" ht="10.5" customHeight="1">
      <c r="A19" s="417" t="s">
        <v>106</v>
      </c>
      <c r="B19" s="434">
        <v>50.505097482499998</v>
      </c>
      <c r="C19" s="434">
        <v>93.527719640000001</v>
      </c>
      <c r="D19" s="418">
        <f t="shared" si="0"/>
        <v>-0.45999862204595077</v>
      </c>
      <c r="E19" s="138"/>
      <c r="F19" s="138"/>
      <c r="G19" s="138"/>
      <c r="H19" s="138"/>
      <c r="I19" s="138"/>
      <c r="J19" s="138"/>
      <c r="K19" s="357"/>
      <c r="L19" s="358" t="s">
        <v>115</v>
      </c>
      <c r="M19" s="356">
        <v>3.2224154575000004</v>
      </c>
      <c r="N19" s="356">
        <v>2.7998043450000001</v>
      </c>
    </row>
    <row r="20" spans="1:14" ht="10.5" customHeight="1">
      <c r="A20" s="415" t="s">
        <v>248</v>
      </c>
      <c r="B20" s="433">
        <v>49.993240772500002</v>
      </c>
      <c r="C20" s="433">
        <v>50.138634234999998</v>
      </c>
      <c r="D20" s="416">
        <f t="shared" si="0"/>
        <v>-2.8998289386690246E-3</v>
      </c>
      <c r="E20" s="138"/>
      <c r="F20" s="138"/>
      <c r="G20" s="138"/>
      <c r="H20" s="138"/>
      <c r="I20" s="138"/>
      <c r="J20" s="138"/>
      <c r="K20" s="357"/>
      <c r="L20" s="356" t="s">
        <v>113</v>
      </c>
      <c r="M20" s="356">
        <v>3.8210052099999996</v>
      </c>
      <c r="N20" s="356">
        <v>3.9743101224999999</v>
      </c>
    </row>
    <row r="21" spans="1:14" ht="10.5" customHeight="1">
      <c r="A21" s="417" t="s">
        <v>96</v>
      </c>
      <c r="B21" s="434">
        <v>48.571564442499998</v>
      </c>
      <c r="C21" s="434">
        <v>47.85234011</v>
      </c>
      <c r="D21" s="418">
        <f t="shared" si="0"/>
        <v>1.5030076498802059E-2</v>
      </c>
      <c r="E21" s="138"/>
      <c r="F21" s="138"/>
      <c r="G21" s="138"/>
      <c r="H21" s="138"/>
      <c r="I21" s="138"/>
      <c r="J21" s="138"/>
      <c r="K21" s="357"/>
      <c r="L21" s="358" t="s">
        <v>110</v>
      </c>
      <c r="M21" s="356">
        <v>3.8375719075000001</v>
      </c>
      <c r="N21" s="356">
        <v>4.4811652224999996</v>
      </c>
    </row>
    <row r="22" spans="1:14" ht="10.5" customHeight="1">
      <c r="A22" s="415" t="s">
        <v>100</v>
      </c>
      <c r="B22" s="433">
        <v>40.208552394999998</v>
      </c>
      <c r="C22" s="433">
        <v>39.327510820000001</v>
      </c>
      <c r="D22" s="416">
        <f t="shared" si="0"/>
        <v>2.2402678344746407E-2</v>
      </c>
      <c r="E22" s="138"/>
      <c r="F22" s="138"/>
      <c r="G22" s="138"/>
      <c r="H22" s="138"/>
      <c r="I22" s="138"/>
      <c r="J22" s="138"/>
      <c r="K22" s="360"/>
      <c r="L22" s="356" t="s">
        <v>112</v>
      </c>
      <c r="M22" s="356">
        <v>3.8522924999999999</v>
      </c>
      <c r="N22" s="356">
        <v>4.0318943825</v>
      </c>
    </row>
    <row r="23" spans="1:14" ht="10.5" customHeight="1">
      <c r="A23" s="417" t="s">
        <v>98</v>
      </c>
      <c r="B23" s="434">
        <v>40.196503307500002</v>
      </c>
      <c r="C23" s="434">
        <v>38.924994017499998</v>
      </c>
      <c r="D23" s="418">
        <f t="shared" si="0"/>
        <v>3.2665625829726652E-2</v>
      </c>
      <c r="E23" s="138"/>
      <c r="F23" s="138"/>
      <c r="G23" s="138"/>
      <c r="H23" s="138"/>
      <c r="I23" s="138"/>
      <c r="J23" s="138"/>
      <c r="K23" s="357"/>
      <c r="L23" s="358" t="s">
        <v>111</v>
      </c>
      <c r="M23" s="356">
        <v>4.1241915774999995</v>
      </c>
      <c r="N23" s="356">
        <v>4.5598398200000005</v>
      </c>
    </row>
    <row r="24" spans="1:14" ht="10.5" customHeight="1">
      <c r="A24" s="415" t="s">
        <v>520</v>
      </c>
      <c r="B24" s="433">
        <v>37.214572662499997</v>
      </c>
      <c r="C24" s="433">
        <v>37.008764194999998</v>
      </c>
      <c r="D24" s="416">
        <f t="shared" si="0"/>
        <v>5.5610737612201699E-3</v>
      </c>
      <c r="E24" s="138"/>
      <c r="F24" s="138"/>
      <c r="G24" s="138"/>
      <c r="H24" s="138"/>
      <c r="I24" s="138"/>
      <c r="J24" s="138"/>
      <c r="K24" s="357"/>
      <c r="L24" s="358" t="s">
        <v>108</v>
      </c>
      <c r="M24" s="356">
        <v>4.4721122500000003</v>
      </c>
      <c r="N24" s="356">
        <v>4.9280429450000005</v>
      </c>
    </row>
    <row r="25" spans="1:14" ht="10.5" customHeight="1">
      <c r="A25" s="417" t="s">
        <v>249</v>
      </c>
      <c r="B25" s="434">
        <v>36.4745207725</v>
      </c>
      <c r="C25" s="434">
        <v>40.684881500000003</v>
      </c>
      <c r="D25" s="418">
        <f t="shared" si="0"/>
        <v>-0.10348710804282424</v>
      </c>
      <c r="E25" s="138"/>
      <c r="F25" s="138"/>
      <c r="G25" s="138"/>
      <c r="H25" s="138"/>
      <c r="I25" s="138"/>
      <c r="J25" s="138"/>
      <c r="K25" s="357"/>
      <c r="L25" s="358" t="s">
        <v>521</v>
      </c>
      <c r="M25" s="356">
        <v>4.6590728674999999</v>
      </c>
      <c r="N25" s="356"/>
    </row>
    <row r="26" spans="1:14" ht="10.5" customHeight="1">
      <c r="A26" s="415" t="s">
        <v>94</v>
      </c>
      <c r="B26" s="433">
        <v>35.761432582499999</v>
      </c>
      <c r="C26" s="433">
        <v>52.429864202499999</v>
      </c>
      <c r="D26" s="416">
        <f t="shared" si="0"/>
        <v>-0.31791864948613013</v>
      </c>
      <c r="E26" s="138"/>
      <c r="F26" s="138"/>
      <c r="G26" s="138"/>
      <c r="H26" s="138"/>
      <c r="I26" s="138"/>
      <c r="J26" s="138"/>
      <c r="K26" s="357"/>
      <c r="L26" s="356" t="s">
        <v>480</v>
      </c>
      <c r="M26" s="356">
        <v>5.5660936825</v>
      </c>
      <c r="N26" s="356">
        <v>5.1015065500000008</v>
      </c>
    </row>
    <row r="27" spans="1:14" ht="10.5" customHeight="1">
      <c r="A27" s="417" t="s">
        <v>103</v>
      </c>
      <c r="B27" s="434">
        <v>20.6531884525</v>
      </c>
      <c r="C27" s="434">
        <v>20.172410259999999</v>
      </c>
      <c r="D27" s="418">
        <f t="shared" si="0"/>
        <v>2.3833453033291763E-2</v>
      </c>
      <c r="E27" s="138"/>
      <c r="F27" s="138"/>
      <c r="G27" s="138"/>
      <c r="H27" s="138"/>
      <c r="I27" s="138"/>
      <c r="J27" s="138"/>
      <c r="K27" s="357"/>
      <c r="L27" s="358" t="s">
        <v>502</v>
      </c>
      <c r="M27" s="356">
        <v>7.8163281675</v>
      </c>
      <c r="N27" s="356">
        <v>9.0402914800000005</v>
      </c>
    </row>
    <row r="28" spans="1:14" ht="10.5" customHeight="1">
      <c r="A28" s="420" t="s">
        <v>114</v>
      </c>
      <c r="B28" s="433">
        <v>17.389975890000002</v>
      </c>
      <c r="C28" s="433">
        <v>3.4331638524999999</v>
      </c>
      <c r="D28" s="416">
        <f t="shared" si="0"/>
        <v>4.0652915611169487</v>
      </c>
      <c r="E28" s="138"/>
      <c r="F28" s="138"/>
      <c r="G28" s="138"/>
      <c r="H28" s="138"/>
      <c r="I28" s="138"/>
      <c r="J28" s="138"/>
      <c r="K28" s="357"/>
      <c r="L28" s="358" t="s">
        <v>102</v>
      </c>
      <c r="M28" s="356">
        <v>8.6809993575000011</v>
      </c>
      <c r="N28" s="356">
        <v>23.673690965000002</v>
      </c>
    </row>
    <row r="29" spans="1:14" ht="10.5" customHeight="1">
      <c r="A29" s="421" t="s">
        <v>109</v>
      </c>
      <c r="B29" s="434">
        <v>15.076537867499999</v>
      </c>
      <c r="C29" s="434">
        <v>17.061748242499998</v>
      </c>
      <c r="D29" s="418">
        <f t="shared" si="0"/>
        <v>-0.11635445247368825</v>
      </c>
      <c r="E29" s="138"/>
      <c r="F29" s="138"/>
      <c r="G29" s="138"/>
      <c r="H29" s="138"/>
      <c r="I29" s="138"/>
      <c r="J29" s="138"/>
      <c r="K29" s="357"/>
      <c r="L29" s="358" t="s">
        <v>490</v>
      </c>
      <c r="M29" s="356">
        <v>8.9863658925000003</v>
      </c>
      <c r="N29" s="356"/>
    </row>
    <row r="30" spans="1:14" ht="10.5" customHeight="1">
      <c r="A30" s="422" t="s">
        <v>253</v>
      </c>
      <c r="B30" s="433">
        <v>13.998350742500001</v>
      </c>
      <c r="C30" s="433">
        <v>13.180229862500001</v>
      </c>
      <c r="D30" s="416">
        <f t="shared" si="0"/>
        <v>6.2071821852492493E-2</v>
      </c>
      <c r="E30" s="138"/>
      <c r="F30" s="138"/>
      <c r="G30" s="138"/>
      <c r="H30" s="138"/>
      <c r="I30" s="138"/>
      <c r="J30" s="138"/>
      <c r="K30" s="357"/>
      <c r="L30" s="356" t="s">
        <v>562</v>
      </c>
      <c r="M30" s="356">
        <v>9.5471700024999997</v>
      </c>
      <c r="N30" s="356"/>
    </row>
    <row r="31" spans="1:14" ht="10.5" customHeight="1">
      <c r="A31" s="421" t="s">
        <v>463</v>
      </c>
      <c r="B31" s="434">
        <v>12.529277952500001</v>
      </c>
      <c r="C31" s="434">
        <v>12.828282440000001</v>
      </c>
      <c r="D31" s="418">
        <f t="shared" si="0"/>
        <v>-2.3308224534226873E-2</v>
      </c>
      <c r="E31" s="138"/>
      <c r="F31" s="138"/>
      <c r="G31" s="138"/>
      <c r="H31" s="138"/>
      <c r="I31" s="138"/>
      <c r="J31" s="138"/>
      <c r="K31" s="357"/>
      <c r="L31" s="356" t="s">
        <v>107</v>
      </c>
      <c r="M31" s="356">
        <v>9.854413257500001</v>
      </c>
      <c r="N31" s="356">
        <v>8.4465523725000011</v>
      </c>
    </row>
    <row r="32" spans="1:14" ht="10.5" customHeight="1">
      <c r="A32" s="422" t="s">
        <v>104</v>
      </c>
      <c r="B32" s="433">
        <v>11.708158040000001</v>
      </c>
      <c r="C32" s="433">
        <v>12.488337000000001</v>
      </c>
      <c r="D32" s="416">
        <f t="shared" si="0"/>
        <v>-6.2472606240526751E-2</v>
      </c>
      <c r="E32" s="138"/>
      <c r="F32" s="138"/>
      <c r="G32" s="138"/>
      <c r="H32" s="138"/>
      <c r="I32" s="138"/>
      <c r="J32" s="138"/>
      <c r="K32" s="357"/>
      <c r="L32" s="356" t="s">
        <v>251</v>
      </c>
      <c r="M32" s="356">
        <v>10.729280215000001</v>
      </c>
      <c r="N32" s="356">
        <v>11.132157489999999</v>
      </c>
    </row>
    <row r="33" spans="1:14">
      <c r="A33" s="795" t="s">
        <v>722</v>
      </c>
      <c r="B33" s="434">
        <v>11.493701147499999</v>
      </c>
      <c r="C33" s="434">
        <v>13.760345370000001</v>
      </c>
      <c r="D33" s="418">
        <f t="shared" si="0"/>
        <v>-0.16472291658039984</v>
      </c>
      <c r="E33" s="138"/>
      <c r="F33" s="138"/>
      <c r="G33" s="138"/>
      <c r="H33" s="138"/>
      <c r="I33" s="138"/>
      <c r="J33" s="138"/>
      <c r="K33" s="357"/>
      <c r="L33" s="358" t="s">
        <v>720</v>
      </c>
      <c r="M33" s="356">
        <v>11.493701147499999</v>
      </c>
      <c r="N33" s="356">
        <v>13.760345370000001</v>
      </c>
    </row>
    <row r="34" spans="1:14" ht="10.5" customHeight="1">
      <c r="A34" s="584" t="s">
        <v>251</v>
      </c>
      <c r="B34" s="433">
        <v>10.729280215000001</v>
      </c>
      <c r="C34" s="433">
        <v>11.132157489999999</v>
      </c>
      <c r="D34" s="416">
        <f t="shared" si="0"/>
        <v>-3.619040382440708E-2</v>
      </c>
      <c r="E34" s="138"/>
      <c r="F34" s="138"/>
      <c r="G34" s="138"/>
      <c r="H34" s="138"/>
      <c r="I34" s="138"/>
      <c r="J34" s="138"/>
      <c r="K34" s="361"/>
      <c r="L34" s="358" t="s">
        <v>104</v>
      </c>
      <c r="M34" s="356">
        <v>11.708158040000001</v>
      </c>
      <c r="N34" s="356">
        <v>12.488337000000001</v>
      </c>
    </row>
    <row r="35" spans="1:14" ht="10.5" customHeight="1">
      <c r="A35" s="421" t="s">
        <v>107</v>
      </c>
      <c r="B35" s="434">
        <v>9.854413257500001</v>
      </c>
      <c r="C35" s="434">
        <v>8.4465523725000011</v>
      </c>
      <c r="D35" s="418">
        <f t="shared" si="0"/>
        <v>0.1666787610982754</v>
      </c>
      <c r="E35" s="138"/>
      <c r="F35" s="138"/>
      <c r="G35" s="138"/>
      <c r="H35" s="138"/>
      <c r="I35" s="138"/>
      <c r="J35" s="138"/>
      <c r="K35" s="361"/>
      <c r="L35" s="358" t="s">
        <v>463</v>
      </c>
      <c r="M35" s="356">
        <v>12.529277952500001</v>
      </c>
      <c r="N35" s="356">
        <v>12.828282440000001</v>
      </c>
    </row>
    <row r="36" spans="1:14" ht="11.25" customHeight="1">
      <c r="A36" s="584" t="s">
        <v>562</v>
      </c>
      <c r="B36" s="433">
        <v>9.5471700024999997</v>
      </c>
      <c r="C36" s="433"/>
      <c r="D36" s="416" t="str">
        <f t="shared" si="0"/>
        <v/>
      </c>
      <c r="E36" s="138"/>
      <c r="F36" s="138"/>
      <c r="G36" s="138"/>
      <c r="H36" s="138"/>
      <c r="I36" s="138"/>
      <c r="J36" s="138"/>
      <c r="K36" s="360"/>
      <c r="L36" s="358" t="s">
        <v>253</v>
      </c>
      <c r="M36" s="356">
        <v>13.998350742500001</v>
      </c>
      <c r="N36" s="356">
        <v>13.180229862500001</v>
      </c>
    </row>
    <row r="37" spans="1:14" ht="10.5" customHeight="1">
      <c r="A37" s="421" t="s">
        <v>490</v>
      </c>
      <c r="B37" s="434">
        <v>8.9863658925000003</v>
      </c>
      <c r="C37" s="434"/>
      <c r="D37" s="418" t="str">
        <f t="shared" si="0"/>
        <v/>
      </c>
      <c r="E37" s="138"/>
      <c r="F37" s="138"/>
      <c r="G37" s="138"/>
      <c r="H37" s="138"/>
      <c r="I37" s="138"/>
      <c r="J37" s="138"/>
      <c r="K37" s="360"/>
      <c r="L37" s="356" t="s">
        <v>109</v>
      </c>
      <c r="M37" s="356">
        <v>15.076537867499999</v>
      </c>
      <c r="N37" s="356">
        <v>17.061748242499998</v>
      </c>
    </row>
    <row r="38" spans="1:14" ht="10.5" customHeight="1">
      <c r="A38" s="584" t="s">
        <v>102</v>
      </c>
      <c r="B38" s="433">
        <v>8.6809993575000011</v>
      </c>
      <c r="C38" s="433">
        <v>23.673690965000002</v>
      </c>
      <c r="D38" s="416">
        <f t="shared" si="0"/>
        <v>-0.63330604550282055</v>
      </c>
      <c r="E38" s="138"/>
      <c r="F38" s="138"/>
      <c r="G38" s="138"/>
      <c r="H38" s="138"/>
      <c r="I38" s="138"/>
      <c r="J38" s="138"/>
      <c r="K38" s="360"/>
      <c r="L38" s="358" t="s">
        <v>114</v>
      </c>
      <c r="M38" s="356">
        <v>17.389975890000002</v>
      </c>
      <c r="N38" s="356">
        <v>3.4331638524999999</v>
      </c>
    </row>
    <row r="39" spans="1:14" ht="18" customHeight="1">
      <c r="A39" s="795" t="s">
        <v>502</v>
      </c>
      <c r="B39" s="434">
        <v>7.8163281675</v>
      </c>
      <c r="C39" s="434">
        <v>9.0402914800000005</v>
      </c>
      <c r="D39" s="418">
        <v>1.1409284134488082</v>
      </c>
      <c r="E39" s="138"/>
      <c r="F39" s="138"/>
      <c r="G39" s="138"/>
      <c r="H39" s="138"/>
      <c r="I39" s="138"/>
      <c r="J39" s="138"/>
      <c r="K39" s="361"/>
      <c r="L39" s="356" t="s">
        <v>103</v>
      </c>
      <c r="M39" s="356">
        <v>20.6531884525</v>
      </c>
      <c r="N39" s="356">
        <v>20.172410259999999</v>
      </c>
    </row>
    <row r="40" spans="1:14" ht="10.5" customHeight="1">
      <c r="A40" s="584" t="s">
        <v>480</v>
      </c>
      <c r="B40" s="433">
        <v>5.5660936825</v>
      </c>
      <c r="C40" s="433">
        <v>5.1015065500000008</v>
      </c>
      <c r="D40" s="416">
        <v>-0.27738209381720036</v>
      </c>
      <c r="E40" s="138"/>
      <c r="F40" s="138"/>
      <c r="G40" s="138"/>
      <c r="H40" s="138"/>
      <c r="I40" s="138"/>
      <c r="J40" s="138"/>
      <c r="K40" s="361"/>
      <c r="L40" s="358" t="s">
        <v>94</v>
      </c>
      <c r="M40" s="356">
        <v>35.761432582499999</v>
      </c>
      <c r="N40" s="356">
        <v>52.429864202499999</v>
      </c>
    </row>
    <row r="41" spans="1:14" ht="10.5" customHeight="1">
      <c r="A41" s="421" t="s">
        <v>521</v>
      </c>
      <c r="B41" s="434">
        <v>4.6590728674999999</v>
      </c>
      <c r="C41" s="434"/>
      <c r="D41" s="418" t="s">
        <v>597</v>
      </c>
      <c r="E41" s="138"/>
      <c r="F41" s="138"/>
      <c r="G41" s="138"/>
      <c r="H41" s="138"/>
      <c r="I41" s="138"/>
      <c r="J41" s="138"/>
      <c r="K41" s="361"/>
      <c r="L41" s="356" t="s">
        <v>249</v>
      </c>
      <c r="M41" s="356">
        <v>36.4745207725</v>
      </c>
      <c r="N41" s="356">
        <v>40.684881500000003</v>
      </c>
    </row>
    <row r="42" spans="1:14" ht="10.5" customHeight="1">
      <c r="A42" s="422" t="s">
        <v>108</v>
      </c>
      <c r="B42" s="433">
        <v>4.4721122500000003</v>
      </c>
      <c r="C42" s="433">
        <v>4.9280429450000005</v>
      </c>
      <c r="D42" s="416" t="s">
        <v>597</v>
      </c>
      <c r="E42" s="138"/>
      <c r="F42" s="138"/>
      <c r="G42" s="138"/>
      <c r="H42" s="138"/>
      <c r="I42" s="138"/>
      <c r="J42" s="138"/>
      <c r="L42" s="358" t="s">
        <v>520</v>
      </c>
      <c r="M42" s="356">
        <v>37.214572662499997</v>
      </c>
      <c r="N42" s="356">
        <v>37.008764194999998</v>
      </c>
    </row>
    <row r="43" spans="1:14" ht="10.5" customHeight="1">
      <c r="A43" s="421" t="s">
        <v>111</v>
      </c>
      <c r="B43" s="434">
        <v>4.1241915774999995</v>
      </c>
      <c r="C43" s="434">
        <v>4.5598398200000005</v>
      </c>
      <c r="D43" s="418" t="s">
        <v>597</v>
      </c>
      <c r="E43" s="138"/>
      <c r="F43" s="138"/>
      <c r="G43" s="138"/>
      <c r="H43" s="138"/>
      <c r="I43" s="138"/>
      <c r="J43" s="138"/>
      <c r="L43" s="358" t="s">
        <v>98</v>
      </c>
      <c r="M43" s="356">
        <v>40.196503307500002</v>
      </c>
      <c r="N43" s="356">
        <v>38.924994017499998</v>
      </c>
    </row>
    <row r="44" spans="1:14" ht="10.5" customHeight="1">
      <c r="A44" s="422" t="s">
        <v>112</v>
      </c>
      <c r="B44" s="433">
        <v>3.8522924999999999</v>
      </c>
      <c r="C44" s="433">
        <v>4.0318943825</v>
      </c>
      <c r="D44" s="416">
        <v>5.6032580960166056E-2</v>
      </c>
      <c r="E44" s="138"/>
      <c r="F44" s="138"/>
      <c r="G44" s="138"/>
      <c r="H44" s="138"/>
      <c r="I44" s="138"/>
      <c r="J44" s="138"/>
      <c r="L44" s="359" t="s">
        <v>100</v>
      </c>
      <c r="M44" s="356">
        <v>40.208552394999998</v>
      </c>
      <c r="N44" s="356">
        <v>39.327510820000001</v>
      </c>
    </row>
    <row r="45" spans="1:14" ht="10.5" customHeight="1">
      <c r="A45" s="421" t="s">
        <v>110</v>
      </c>
      <c r="B45" s="434">
        <v>3.8375719075000001</v>
      </c>
      <c r="C45" s="434">
        <v>4.4811652224999996</v>
      </c>
      <c r="D45" s="418">
        <v>0.14695837905825138</v>
      </c>
      <c r="E45" s="138"/>
      <c r="F45" s="138"/>
      <c r="G45" s="138"/>
      <c r="H45" s="138"/>
      <c r="I45" s="138"/>
      <c r="J45" s="138"/>
      <c r="L45" s="358" t="s">
        <v>96</v>
      </c>
      <c r="M45" s="356">
        <v>48.571564442499998</v>
      </c>
      <c r="N45" s="356">
        <v>47.85234011</v>
      </c>
    </row>
    <row r="46" spans="1:14" ht="10.5" customHeight="1">
      <c r="A46" s="422" t="s">
        <v>113</v>
      </c>
      <c r="B46" s="433">
        <v>3.8210052099999996</v>
      </c>
      <c r="C46" s="433">
        <v>3.9743101224999999</v>
      </c>
      <c r="D46" s="416">
        <v>0.24944322482364645</v>
      </c>
      <c r="E46" s="138"/>
      <c r="F46" s="138"/>
      <c r="G46" s="138"/>
      <c r="H46" s="138"/>
      <c r="I46" s="138"/>
      <c r="J46" s="138"/>
      <c r="L46" s="358" t="s">
        <v>248</v>
      </c>
      <c r="M46" s="356">
        <v>49.993240772500002</v>
      </c>
      <c r="N46" s="356">
        <v>50.138634234999998</v>
      </c>
    </row>
    <row r="47" spans="1:14" ht="10.5" customHeight="1">
      <c r="A47" s="421" t="s">
        <v>115</v>
      </c>
      <c r="B47" s="434">
        <v>3.2224154575000004</v>
      </c>
      <c r="C47" s="434">
        <v>2.7998043450000001</v>
      </c>
      <c r="D47" s="418">
        <v>0.14457610892323536</v>
      </c>
      <c r="E47" s="138"/>
      <c r="F47" s="138"/>
      <c r="G47" s="138"/>
      <c r="H47" s="138"/>
      <c r="I47" s="138"/>
      <c r="J47" s="138"/>
      <c r="L47" s="358" t="s">
        <v>106</v>
      </c>
      <c r="M47" s="356">
        <v>50.505097482499998</v>
      </c>
      <c r="N47" s="356">
        <v>93.527719640000001</v>
      </c>
    </row>
    <row r="48" spans="1:14" ht="10.5" customHeight="1">
      <c r="A48" s="422" t="s">
        <v>495</v>
      </c>
      <c r="B48" s="433">
        <v>2.99821523</v>
      </c>
      <c r="C48" s="433"/>
      <c r="D48" s="416">
        <v>0.14177909267989541</v>
      </c>
      <c r="E48" s="138"/>
      <c r="F48" s="138"/>
      <c r="G48" s="138"/>
      <c r="H48" s="138"/>
      <c r="I48" s="138"/>
      <c r="J48" s="138"/>
      <c r="L48" s="356" t="s">
        <v>95</v>
      </c>
      <c r="M48" s="356">
        <v>57.352166005000001</v>
      </c>
      <c r="N48" s="356">
        <v>50.394623122499993</v>
      </c>
    </row>
    <row r="49" spans="1:14" ht="10.5" customHeight="1">
      <c r="A49" s="421" t="s">
        <v>117</v>
      </c>
      <c r="B49" s="434">
        <v>2.4851999999999999</v>
      </c>
      <c r="C49" s="434">
        <v>2.2961</v>
      </c>
      <c r="D49" s="418">
        <v>9.0385899010898774E-2</v>
      </c>
      <c r="E49" s="138"/>
      <c r="F49" s="138"/>
      <c r="G49" s="138"/>
      <c r="H49" s="138"/>
      <c r="I49" s="138"/>
      <c r="J49" s="138"/>
      <c r="L49" s="355" t="s">
        <v>97</v>
      </c>
      <c r="M49" s="356">
        <v>63.313720462500001</v>
      </c>
      <c r="N49" s="356">
        <v>64.839849642499999</v>
      </c>
    </row>
    <row r="50" spans="1:14" ht="10.5" customHeight="1">
      <c r="A50" s="422" t="s">
        <v>121</v>
      </c>
      <c r="B50" s="433">
        <v>2.2496731324999999</v>
      </c>
      <c r="C50" s="433">
        <v>1.3720825024999999</v>
      </c>
      <c r="D50" s="416">
        <v>0.17346776073845049</v>
      </c>
      <c r="E50" s="138"/>
      <c r="F50" s="138"/>
      <c r="G50" s="138"/>
      <c r="H50" s="138"/>
      <c r="I50" s="138"/>
      <c r="J50" s="138"/>
      <c r="L50" s="358" t="s">
        <v>93</v>
      </c>
      <c r="M50" s="356">
        <v>68.187194457499999</v>
      </c>
      <c r="N50" s="356">
        <v>69.465119695000013</v>
      </c>
    </row>
    <row r="51" spans="1:14" ht="10.5" customHeight="1">
      <c r="A51" s="421" t="s">
        <v>116</v>
      </c>
      <c r="B51" s="434">
        <v>1.38822505</v>
      </c>
      <c r="C51" s="434">
        <v>1.288954275</v>
      </c>
      <c r="D51" s="418">
        <v>0.47710005847734949</v>
      </c>
      <c r="E51" s="138"/>
      <c r="F51" s="138"/>
      <c r="G51" s="138"/>
      <c r="H51" s="138"/>
      <c r="I51" s="138"/>
      <c r="J51" s="138"/>
      <c r="L51" s="358" t="s">
        <v>92</v>
      </c>
      <c r="M51" s="356">
        <v>70.907866850000019</v>
      </c>
      <c r="N51" s="356">
        <v>70.811768407499997</v>
      </c>
    </row>
    <row r="52" spans="1:14" ht="10.5" customHeight="1">
      <c r="A52" s="422" t="s">
        <v>105</v>
      </c>
      <c r="B52" s="433">
        <v>0.99366155749999996</v>
      </c>
      <c r="C52" s="433">
        <v>1.7073725375</v>
      </c>
      <c r="D52" s="416">
        <v>-1.1780049644495305E-3</v>
      </c>
      <c r="E52" s="138"/>
      <c r="F52" s="138"/>
      <c r="G52" s="138"/>
      <c r="H52" s="138"/>
      <c r="I52" s="138"/>
      <c r="J52" s="138"/>
      <c r="L52" s="358" t="s">
        <v>252</v>
      </c>
      <c r="M52" s="356">
        <v>81.856646697499997</v>
      </c>
      <c r="N52" s="356">
        <v>65.488063177499996</v>
      </c>
    </row>
    <row r="53" spans="1:14" ht="10.5" customHeight="1">
      <c r="A53" s="421" t="s">
        <v>118</v>
      </c>
      <c r="B53" s="434">
        <v>0.6625598425</v>
      </c>
      <c r="C53" s="434">
        <v>1.0513025</v>
      </c>
      <c r="D53" s="418">
        <v>-8.2508761771227235E-3</v>
      </c>
      <c r="E53" s="138"/>
      <c r="F53" s="138"/>
      <c r="G53" s="138"/>
      <c r="H53" s="138"/>
      <c r="I53" s="138"/>
      <c r="J53" s="138"/>
      <c r="L53" s="358" t="s">
        <v>99</v>
      </c>
      <c r="M53" s="356">
        <v>91.063979082499998</v>
      </c>
      <c r="N53" s="356">
        <v>89.929428784999999</v>
      </c>
    </row>
    <row r="54" spans="1:14" ht="10.5" customHeight="1">
      <c r="A54" s="422" t="s">
        <v>255</v>
      </c>
      <c r="B54" s="433">
        <v>0.39760923749999999</v>
      </c>
      <c r="C54" s="433">
        <v>0.40214331249999996</v>
      </c>
      <c r="D54" s="416">
        <v>-0.17143701507881781</v>
      </c>
      <c r="E54" s="138"/>
      <c r="F54" s="138"/>
      <c r="G54" s="138"/>
      <c r="H54" s="138"/>
      <c r="I54" s="138"/>
      <c r="J54" s="138"/>
      <c r="L54" s="358" t="s">
        <v>91</v>
      </c>
      <c r="M54" s="356">
        <v>133.6053017575</v>
      </c>
      <c r="N54" s="356">
        <v>125.84359294000001</v>
      </c>
    </row>
    <row r="55" spans="1:14" ht="10.5" customHeight="1">
      <c r="A55" s="421" t="s">
        <v>723</v>
      </c>
      <c r="B55" s="434">
        <v>0.15982693750000002</v>
      </c>
      <c r="C55" s="434">
        <v>0.10566344750000001</v>
      </c>
      <c r="D55" s="418">
        <v>-0.51866547506145755</v>
      </c>
      <c r="E55" s="138"/>
      <c r="F55" s="138"/>
      <c r="G55" s="138"/>
      <c r="H55" s="138"/>
      <c r="I55" s="138"/>
      <c r="J55" s="138"/>
      <c r="L55" s="358" t="s">
        <v>101</v>
      </c>
      <c r="M55" s="356">
        <v>163.46945026500001</v>
      </c>
      <c r="N55" s="356">
        <v>210.44338141999998</v>
      </c>
    </row>
    <row r="56" spans="1:14" ht="10.5" customHeight="1">
      <c r="A56" s="584" t="s">
        <v>119</v>
      </c>
      <c r="B56" s="433">
        <v>5.15941725E-2</v>
      </c>
      <c r="C56" s="433">
        <v>0.12731671249999998</v>
      </c>
      <c r="D56" s="416">
        <v>1.4621963958145447</v>
      </c>
      <c r="E56" s="138"/>
      <c r="F56" s="138"/>
      <c r="G56" s="138"/>
      <c r="H56" s="138"/>
      <c r="I56" s="138"/>
      <c r="J56" s="138"/>
      <c r="L56" s="356" t="s">
        <v>250</v>
      </c>
      <c r="M56" s="356">
        <v>378.10918749249998</v>
      </c>
      <c r="N56" s="356">
        <v>397.68801867999997</v>
      </c>
    </row>
    <row r="57" spans="1:14" ht="10.5" customHeight="1">
      <c r="A57" s="421" t="s">
        <v>254</v>
      </c>
      <c r="B57" s="434">
        <v>2.8826350000000001E-2</v>
      </c>
      <c r="C57" s="434">
        <v>2.2426149999999999E-3</v>
      </c>
      <c r="D57" s="418" t="s">
        <v>597</v>
      </c>
      <c r="E57" s="138"/>
      <c r="F57" s="138"/>
      <c r="G57" s="138"/>
      <c r="H57" s="138"/>
      <c r="I57" s="138"/>
      <c r="J57" s="138"/>
      <c r="L57" s="358" t="s">
        <v>90</v>
      </c>
      <c r="M57" s="356">
        <v>566.85764856000003</v>
      </c>
      <c r="N57" s="356">
        <v>533.19888551999998</v>
      </c>
    </row>
    <row r="58" spans="1:14" ht="10.5" customHeight="1">
      <c r="A58" s="422" t="s">
        <v>122</v>
      </c>
      <c r="B58" s="433">
        <v>0</v>
      </c>
      <c r="C58" s="433">
        <v>0</v>
      </c>
      <c r="D58" s="416">
        <v>-0.97065783136270611</v>
      </c>
      <c r="E58" s="138"/>
      <c r="F58" s="138"/>
      <c r="G58" s="138"/>
      <c r="H58" s="138"/>
      <c r="I58" s="138"/>
      <c r="J58" s="138"/>
      <c r="L58" s="358" t="s">
        <v>89</v>
      </c>
      <c r="M58" s="356">
        <v>574.84154991249989</v>
      </c>
      <c r="N58" s="356">
        <v>556.10075069250001</v>
      </c>
    </row>
    <row r="59" spans="1:14" ht="10.5" customHeight="1">
      <c r="A59" s="421" t="s">
        <v>247</v>
      </c>
      <c r="B59" s="434">
        <v>0</v>
      </c>
      <c r="C59" s="434">
        <v>2E-8</v>
      </c>
      <c r="D59" s="418">
        <v>-0.29820037081945971</v>
      </c>
      <c r="E59" s="138"/>
      <c r="F59" s="138"/>
      <c r="G59" s="138"/>
      <c r="H59" s="138"/>
      <c r="I59" s="138"/>
      <c r="J59" s="138"/>
      <c r="L59" s="356" t="s">
        <v>88</v>
      </c>
      <c r="M59" s="356">
        <v>656.41463686750001</v>
      </c>
      <c r="N59" s="356">
        <v>673.0898931349999</v>
      </c>
    </row>
    <row r="60" spans="1:14" ht="10.5" customHeight="1">
      <c r="A60" s="422" t="s">
        <v>120</v>
      </c>
      <c r="B60" s="435">
        <v>0</v>
      </c>
      <c r="C60" s="435">
        <v>0</v>
      </c>
      <c r="D60" s="423">
        <v>-0.86502240154101517</v>
      </c>
      <c r="E60" s="138"/>
      <c r="F60" s="138"/>
      <c r="G60" s="138"/>
      <c r="H60" s="138"/>
      <c r="I60" s="138"/>
      <c r="J60" s="138"/>
      <c r="L60" s="358" t="s">
        <v>479</v>
      </c>
      <c r="M60" s="356">
        <v>821.60185545749994</v>
      </c>
      <c r="N60" s="356">
        <v>652.72241572500002</v>
      </c>
    </row>
    <row r="61" spans="1:14" ht="10.5" customHeight="1">
      <c r="A61" s="424" t="s">
        <v>482</v>
      </c>
      <c r="B61" s="434">
        <v>0</v>
      </c>
      <c r="C61" s="434">
        <v>1.302E-3</v>
      </c>
      <c r="D61" s="418" t="s">
        <v>597</v>
      </c>
      <c r="E61" s="138"/>
      <c r="F61" s="138"/>
      <c r="G61" s="138"/>
      <c r="H61" s="138"/>
      <c r="I61" s="138"/>
      <c r="J61" s="138"/>
      <c r="L61" s="358"/>
      <c r="M61" s="356"/>
      <c r="N61" s="356"/>
    </row>
    <row r="62" spans="1:14" ht="10.5" customHeight="1">
      <c r="A62" s="845" t="s">
        <v>43</v>
      </c>
      <c r="B62" s="846">
        <f>+SUM(B6:B61)</f>
        <v>4269.9405822324961</v>
      </c>
      <c r="C62" s="846">
        <f>+SUM(C6:C61)</f>
        <v>4143.3587523074984</v>
      </c>
      <c r="D62" s="389">
        <f>IF(C62=0,"",B62/C62-1)</f>
        <v>3.0550535807333246E-2</v>
      </c>
      <c r="E62" s="138"/>
      <c r="F62" s="138"/>
      <c r="G62" s="138"/>
      <c r="H62" s="138"/>
      <c r="I62" s="138"/>
      <c r="J62" s="138"/>
      <c r="L62" s="358"/>
      <c r="M62" s="356"/>
      <c r="N62" s="356"/>
    </row>
    <row r="63" spans="1:14" ht="40.5" customHeight="1">
      <c r="A63" s="921" t="str">
        <f>"Cuadro N° 6: Participación de las empresas generadoras del COES en la producción de energía eléctrica (GWh) en "&amp;'1. Resumen'!Q4</f>
        <v>Cuadro N° 6: Participación de las empresas generadoras del COES en la producción de energía eléctrica (GWh) en setiembre</v>
      </c>
      <c r="B63" s="921"/>
      <c r="C63" s="921"/>
      <c r="D63" s="579"/>
      <c r="E63" s="920" t="str">
        <f>"Gráfico N° 10: Comparación de producción energética (GWh) de las empresas generadoras del COES en "&amp;'1. Resumen'!Q4</f>
        <v>Gráfico N° 10: Comparación de producción energética (GWh) de las empresas generadoras del COES en setiembre</v>
      </c>
      <c r="F63" s="920"/>
      <c r="G63" s="920"/>
      <c r="H63" s="920"/>
      <c r="I63" s="920"/>
      <c r="J63" s="920"/>
    </row>
    <row r="64" spans="1:14" ht="36" customHeight="1">
      <c r="A64" s="923" t="s">
        <v>598</v>
      </c>
      <c r="B64" s="923"/>
      <c r="C64" s="923"/>
      <c r="D64" s="923"/>
      <c r="E64" s="923"/>
      <c r="F64" s="923"/>
      <c r="G64" s="923"/>
      <c r="H64" s="923"/>
      <c r="I64" s="923"/>
      <c r="J64" s="923"/>
    </row>
    <row r="65" spans="1:10" ht="12.75" customHeight="1">
      <c r="A65" s="922" t="s">
        <v>595</v>
      </c>
      <c r="B65" s="922"/>
      <c r="C65" s="922"/>
      <c r="D65" s="922"/>
      <c r="E65" s="922"/>
      <c r="F65" s="922"/>
      <c r="G65" s="922"/>
      <c r="H65" s="922"/>
      <c r="I65" s="922"/>
      <c r="J65" s="922"/>
    </row>
    <row r="66" spans="1:10" s="826" customFormat="1" ht="12.75" customHeight="1">
      <c r="A66" s="855"/>
      <c r="B66" s="843"/>
      <c r="C66" s="843"/>
      <c r="D66" s="843"/>
      <c r="E66" s="843"/>
      <c r="F66" s="843"/>
      <c r="G66" s="843"/>
      <c r="H66" s="843"/>
      <c r="I66" s="843"/>
      <c r="J66" s="843"/>
    </row>
    <row r="67" spans="1:10" ht="12.75" customHeight="1">
      <c r="A67" s="843"/>
      <c r="B67" s="843"/>
      <c r="C67" s="843"/>
      <c r="D67" s="843"/>
      <c r="E67" s="843"/>
      <c r="F67" s="843"/>
      <c r="G67" s="843"/>
      <c r="H67" s="843"/>
      <c r="I67" s="843"/>
      <c r="J67" s="843"/>
    </row>
    <row r="68" spans="1:10">
      <c r="A68" s="922"/>
      <c r="B68" s="922"/>
      <c r="C68" s="922"/>
      <c r="D68" s="922"/>
      <c r="E68" s="922"/>
      <c r="F68" s="922"/>
      <c r="G68" s="922"/>
      <c r="H68" s="922"/>
      <c r="I68" s="922"/>
      <c r="J68" s="922"/>
    </row>
    <row r="69" spans="1:10">
      <c r="A69" s="914"/>
      <c r="B69" s="914"/>
      <c r="C69" s="914"/>
      <c r="D69" s="914"/>
      <c r="E69" s="914"/>
      <c r="F69" s="914"/>
      <c r="G69" s="914"/>
      <c r="H69" s="914"/>
      <c r="I69" s="914"/>
      <c r="J69" s="914"/>
    </row>
    <row r="70" spans="1:10">
      <c r="A70" s="915"/>
      <c r="B70" s="915"/>
      <c r="C70" s="915"/>
      <c r="D70" s="915"/>
      <c r="E70" s="915"/>
      <c r="F70" s="915"/>
      <c r="G70" s="915"/>
      <c r="H70" s="915"/>
      <c r="I70" s="915"/>
      <c r="J70" s="915"/>
    </row>
    <row r="71" spans="1:10">
      <c r="A71" s="914"/>
      <c r="B71" s="914"/>
      <c r="C71" s="914"/>
      <c r="D71" s="914"/>
      <c r="E71" s="914"/>
      <c r="F71" s="914"/>
      <c r="G71" s="914"/>
      <c r="H71" s="914"/>
      <c r="I71" s="914"/>
      <c r="J71" s="914"/>
    </row>
    <row r="72" spans="1:10">
      <c r="A72" s="915"/>
      <c r="B72" s="915"/>
      <c r="C72" s="915"/>
      <c r="D72" s="915"/>
      <c r="E72" s="915"/>
      <c r="F72" s="915"/>
      <c r="G72" s="915"/>
      <c r="H72" s="915"/>
      <c r="I72" s="915"/>
      <c r="J72" s="915"/>
    </row>
  </sheetData>
  <mergeCells count="13">
    <mergeCell ref="A69:J69"/>
    <mergeCell ref="A70:J70"/>
    <mergeCell ref="A71:J71"/>
    <mergeCell ref="A72:J72"/>
    <mergeCell ref="A2:I2"/>
    <mergeCell ref="A4:A5"/>
    <mergeCell ref="B4:D4"/>
    <mergeCell ref="G4:I4"/>
    <mergeCell ref="E63:J63"/>
    <mergeCell ref="A63:C63"/>
    <mergeCell ref="A68:J68"/>
    <mergeCell ref="A65:J65"/>
    <mergeCell ref="A64:J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Mensual-Setiembre 2019
INFSGI-MES-09-2019
11/10/2019
Versión: 01</oddHeader>
    <oddFooter>&amp;L&amp;7COES, 2019&amp;C7&amp;R&amp;7Dirección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 -2'!Print_Area</vt:lpstr>
      <vt:lpstr>'27.ANEXO III - 3'!Print_Area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Miguel Cabellos</cp:lastModifiedBy>
  <cp:lastPrinted>2019-10-11T19:28:58Z</cp:lastPrinted>
  <dcterms:created xsi:type="dcterms:W3CDTF">2018-02-13T14:18:17Z</dcterms:created>
  <dcterms:modified xsi:type="dcterms:W3CDTF">2019-10-11T21:53:53Z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ies>
</file>