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style7.xml" ContentType="application/vnd.ms-office.chartstyle+xml"/>
  <Override PartName="/xl/charts/colors7.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codeName="ThisWorkbook"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EAF965C-9037-43DE-9608-44386D488A5B}" xr6:coauthVersionLast="43" xr6:coauthVersionMax="45" xr10:uidLastSave="{00000000-0000-0000-0000-000000000000}"/>
  <bookViews>
    <workbookView xWindow="-108" yWindow="-108" windowWidth="23256" windowHeight="12576" tabRatio="81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RER'!$T$53:$V$54</definedName>
    <definedName name="_xlnm._FilterDatabase" localSheetId="8" hidden="1">'7. Generacion empresa'!$L$4:$N$61</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generación'!$A$1:$J$49</definedName>
    <definedName name="_xlnm.Print_Area" localSheetId="21">'20. ANEXOI-3'!$A$1:$G$56</definedName>
    <definedName name="_xlnm.Print_Area" localSheetId="22">'21. ANEXOII-1'!$A$1:$F$79</definedName>
    <definedName name="_xlnm.Print_Area" localSheetId="24">'23. ANEXOII-3'!$A$1:$F$62</definedName>
    <definedName name="_xlnm.Print_Area" localSheetId="26">'25.ANEXO III -1'!$A$1:$F$15</definedName>
    <definedName name="_xlnm.Print_Area" localSheetId="27">'26.ANEXO III-2'!$A$1:$F$14</definedName>
    <definedName name="_xlnm.Print_Area" localSheetId="6">'5. RER'!$A$1:$K$61</definedName>
    <definedName name="_xlnm.Print_Area" localSheetId="7">'6. FP RER'!$A$1:$K$64</definedName>
    <definedName name="_xlnm.Print_Area" localSheetId="8">'7. Generacion empresa'!$A$1:$J$69</definedName>
    <definedName name="_xlnm.Print_Area" localSheetId="9">'8. Max Potencia'!$A$1:$K$62</definedName>
    <definedName name="_xlnm.Print_Area" localSheetId="10">'9. Pot. Empresa'!$A$1:$J$70</definedName>
    <definedName name="_xlnm.Print_Area" localSheetId="1">Índice!$A$1:$L$45</definedName>
    <definedName name="_xlnm.Print_Area" localSheetId="0">'Portada '!$A$1:$L$71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1" i="6" l="1"/>
  <c r="D30" i="6"/>
  <c r="I10" i="6" l="1"/>
  <c r="H10" i="6"/>
  <c r="F43" i="45" l="1"/>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F71" i="45"/>
  <c r="F72" i="45"/>
  <c r="E11" i="21" l="1"/>
  <c r="F11" i="21"/>
  <c r="H7" i="21"/>
  <c r="C11" i="22" l="1"/>
  <c r="D11" i="22"/>
  <c r="E11" i="22"/>
  <c r="F11" i="22"/>
  <c r="G11" i="22"/>
  <c r="H11" i="22"/>
  <c r="B11" i="22"/>
  <c r="J11" i="22"/>
  <c r="I9" i="22"/>
  <c r="I10" i="22"/>
  <c r="E34" i="6" l="1"/>
  <c r="H9" i="21" l="1"/>
  <c r="H8" i="21"/>
  <c r="G11" i="21"/>
  <c r="B16" i="7" l="1"/>
  <c r="C16" i="7"/>
  <c r="D16" i="7"/>
  <c r="E16" i="7"/>
  <c r="F10" i="46" l="1"/>
  <c r="F9" i="46"/>
  <c r="E5" i="36"/>
  <c r="E4" i="36"/>
  <c r="F42" i="38"/>
  <c r="G42" i="38"/>
  <c r="C66" i="13" l="1"/>
  <c r="C65" i="11"/>
  <c r="B65" i="11"/>
  <c r="B66" i="13"/>
  <c r="D64" i="11"/>
  <c r="G12" i="7" l="1"/>
  <c r="D12" i="7"/>
  <c r="F46" i="46" l="1"/>
  <c r="D6" i="11"/>
  <c r="E2" i="46" l="1"/>
  <c r="D2" i="46"/>
  <c r="C2" i="46"/>
  <c r="E2" i="45"/>
  <c r="D2" i="45"/>
  <c r="C2" i="45"/>
  <c r="D58" i="11" l="1"/>
  <c r="D34" i="11"/>
  <c r="C47" i="46" l="1"/>
  <c r="C49" i="46" s="1"/>
  <c r="D47" i="4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D63" i="11" l="1"/>
  <c r="J16" i="7" l="1"/>
  <c r="H16" i="7"/>
  <c r="G16" i="7"/>
  <c r="D11" i="21" l="1"/>
  <c r="H11" i="21" l="1"/>
  <c r="F44" i="46"/>
  <c r="F43" i="46"/>
  <c r="F42" i="46"/>
  <c r="F41" i="46"/>
  <c r="F40" i="46"/>
  <c r="F39" i="46"/>
  <c r="F38" i="46"/>
  <c r="F37" i="46"/>
  <c r="F36" i="46"/>
  <c r="F35" i="46"/>
  <c r="F34" i="46"/>
  <c r="F33" i="46"/>
  <c r="F32" i="46"/>
  <c r="F26" i="46"/>
  <c r="F25" i="46"/>
  <c r="F24" i="46"/>
  <c r="F23" i="46"/>
  <c r="F22" i="46"/>
  <c r="F21" i="46"/>
  <c r="F20" i="46"/>
  <c r="F19" i="46"/>
  <c r="F18" i="46"/>
  <c r="F17" i="46"/>
  <c r="F16" i="46"/>
  <c r="F15" i="46"/>
  <c r="F14" i="46"/>
  <c r="F13" i="46"/>
  <c r="F12" i="46"/>
  <c r="F11" i="46"/>
  <c r="F8" i="46"/>
  <c r="F7" i="46"/>
  <c r="F6" i="46"/>
  <c r="F5" i="46"/>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7" i="11"/>
  <c r="D56" i="11"/>
  <c r="D55" i="11"/>
  <c r="D54" i="11"/>
  <c r="D53" i="11"/>
  <c r="D52" i="11"/>
  <c r="D51" i="11"/>
  <c r="D50" i="11"/>
  <c r="D49" i="11"/>
  <c r="D48" i="11"/>
  <c r="D47" i="11"/>
  <c r="D46" i="11"/>
  <c r="D45" i="11"/>
  <c r="D44" i="11"/>
  <c r="D43" i="11"/>
  <c r="D42" i="11"/>
  <c r="D41" i="11"/>
  <c r="D40" i="11"/>
  <c r="D39" i="11"/>
  <c r="D38" i="11"/>
  <c r="D37" i="11"/>
  <c r="D36" i="11"/>
  <c r="D35"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F49" i="46" l="1"/>
  <c r="I8" i="22" l="1"/>
  <c r="I11" i="22" s="1"/>
  <c r="E4" i="45" l="1"/>
  <c r="E4" i="46" s="1"/>
  <c r="B14" i="12" l="1"/>
  <c r="F14" i="8"/>
  <c r="A64" i="10" l="1"/>
  <c r="A43" i="10"/>
  <c r="N14" i="18" l="1"/>
  <c r="J11" i="9" l="1"/>
  <c r="H11" i="9"/>
  <c r="G11" i="9"/>
  <c r="D6" i="16" l="1"/>
  <c r="C28" i="14" l="1"/>
  <c r="A36" i="22" l="1"/>
  <c r="F6" i="36" l="1"/>
  <c r="A66" i="11" l="1"/>
  <c r="F22" i="8" l="1"/>
  <c r="B19" i="8"/>
  <c r="C19" i="8"/>
  <c r="D19" i="8"/>
  <c r="E19" i="8"/>
  <c r="E12" i="9" s="1"/>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3" i="21" l="1"/>
  <c r="A61" i="9" l="1"/>
  <c r="A34" i="9"/>
  <c r="A63" i="8"/>
  <c r="B49" i="4" l="1"/>
  <c r="F2" i="38" l="1"/>
  <c r="F9" i="8" l="1"/>
  <c r="D66" i="13" l="1"/>
  <c r="N29" i="18"/>
  <c r="N28" i="18"/>
  <c r="N27" i="18"/>
  <c r="N26" i="18"/>
  <c r="N25" i="18"/>
  <c r="N24" i="18"/>
  <c r="N23" i="18"/>
  <c r="N20" i="18"/>
  <c r="N19" i="18"/>
  <c r="N18" i="18"/>
  <c r="N17" i="18"/>
  <c r="N16" i="18"/>
  <c r="N15" i="18"/>
  <c r="N12" i="18"/>
  <c r="N11" i="18"/>
  <c r="N10" i="18"/>
  <c r="N9" i="18"/>
  <c r="H47" i="4" l="1"/>
  <c r="A52" i="22" l="1"/>
  <c r="B58" i="18"/>
  <c r="B40" i="18"/>
  <c r="B21" i="18"/>
  <c r="A58" i="12"/>
  <c r="F67" i="13"/>
  <c r="B18" i="12" l="1"/>
  <c r="B20" i="12" s="1"/>
  <c r="C18" i="12"/>
  <c r="D18" i="12"/>
  <c r="D20" i="12" s="1"/>
  <c r="E18" i="12"/>
  <c r="E20" i="12" s="1"/>
  <c r="G18" i="12"/>
  <c r="G20" i="12" s="1"/>
  <c r="H18" i="12"/>
  <c r="H20" i="12" s="1"/>
  <c r="J18" i="12"/>
  <c r="J20" i="12" s="1"/>
  <c r="F31" i="6" l="1"/>
  <c r="F33" i="6"/>
  <c r="F11" i="14" l="1"/>
  <c r="F32" i="6" l="1"/>
  <c r="F30" i="6"/>
  <c r="A58" i="7" l="1"/>
  <c r="E29" i="6"/>
  <c r="E66" i="11" l="1"/>
  <c r="C45" i="10"/>
  <c r="D3" i="36" l="1"/>
  <c r="C3" i="36"/>
  <c r="F2" i="37"/>
  <c r="F3" i="23"/>
  <c r="C2" i="23"/>
  <c r="C1" i="37" s="1"/>
  <c r="C1" i="38" s="1"/>
  <c r="E15" i="22"/>
  <c r="A15" i="22"/>
  <c r="A12" i="22"/>
  <c r="A12" i="21"/>
  <c r="F6" i="21"/>
  <c r="E6" i="21"/>
  <c r="D6" i="21"/>
  <c r="B47" i="18"/>
  <c r="B28" i="18"/>
  <c r="B10" i="18"/>
  <c r="C31" i="16"/>
  <c r="E6" i="16"/>
  <c r="A67" i="13"/>
  <c r="B3" i="13"/>
  <c r="B5" i="11"/>
  <c r="C5" i="11" s="1"/>
  <c r="B4" i="11"/>
  <c r="G6" i="7"/>
  <c r="G4" i="8" s="1"/>
  <c r="G4" i="9" s="1"/>
  <c r="D7" i="7"/>
  <c r="E7" i="7" s="1"/>
  <c r="A49" i="6"/>
  <c r="B35"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29" i="6"/>
  <c r="D34" i="6"/>
  <c r="C5" i="9" l="1"/>
  <c r="F39" i="9"/>
  <c r="F34"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H19" i="8"/>
  <c r="J19" i="8"/>
  <c r="I12" i="7"/>
  <c r="E5" i="8"/>
  <c r="I19" i="8" l="1"/>
  <c r="E5" i="9"/>
  <c r="I20" i="12"/>
  <c r="K20" i="12"/>
  <c r="F40" i="9"/>
  <c r="M39" i="9" s="1"/>
  <c r="F20" i="12"/>
  <c r="K19" i="8"/>
  <c r="J12" i="9"/>
  <c r="G12" i="9"/>
  <c r="K12" i="7"/>
  <c r="I11" i="9"/>
  <c r="H12" i="9"/>
  <c r="F11" i="9"/>
  <c r="K11" i="9"/>
  <c r="D65" i="11"/>
</calcChain>
</file>

<file path=xl/sharedStrings.xml><?xml version="1.0" encoding="utf-8"?>
<sst xmlns="http://schemas.openxmlformats.org/spreadsheetml/2006/main" count="1572" uniqueCount="691">
  <si>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</si>
  <si>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</si>
  <si>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</si>
  <si>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</si>
  <si>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</si>
  <si>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</si>
  <si>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</si>
  <si>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</si>
  <si>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</si>
  <si>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</si>
  <si>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</si>
  <si>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</si>
  <si>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</si>
  <si>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</si>
  <si>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</si>
  <si>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</si>
  <si>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</si>
  <si>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</si>
  <si>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</si>
  <si>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</si>
  <si>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</si>
  <si>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</si>
  <si>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</si>
  <si>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</si>
  <si>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</si>
  <si>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</si>
  <si>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</si>
  <si>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</si>
  <si>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</si>
  <si>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</si>
  <si>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</si>
  <si>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</si>
  <si>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</si>
  <si>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</si>
  <si>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</si>
  <si>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</si>
  <si>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</si>
  <si>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</si>
  <si>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</si>
  <si>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</si>
  <si>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</si>
  <si>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</si>
  <si>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</si>
  <si>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</si>
  <si>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</si>
  <si>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</si>
  <si>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</si>
  <si>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</si>
  <si>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</si>
  <si>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</si>
  <si>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</si>
  <si>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</si>
  <si>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</si>
  <si>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</si>
  <si>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</si>
  <si>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</si>
  <si>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</si>
  <si>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</si>
  <si>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</si>
  <si>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</si>
  <si>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</si>
  <si>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</si>
  <si>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</si>
  <si>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</si>
  <si>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</si>
  <si>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</si>
  <si>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</si>
  <si>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</si>
  <si>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</si>
  <si>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</si>
  <si>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</si>
  <si>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</si>
  <si>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</si>
  <si>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</si>
  <si>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</si>
  <si>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</si>
  <si>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</si>
  <si>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</si>
  <si>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</si>
  <si>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</si>
  <si>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</si>
  <si>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</si>
  <si>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</si>
  <si>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</si>
  <si>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</si>
  <si>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</si>
  <si>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</si>
  <si>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</si>
  <si>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</si>
  <si>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</si>
  <si>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</si>
  <si>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</si>
  <si>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</si>
  <si>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</si>
  <si>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</si>
  <si>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</si>
  <si>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</si>
  <si>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</si>
  <si>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</si>
  <si>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</si>
  <si>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</si>
  <si>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</si>
  <si>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</si>
  <si>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</si>
  <si>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</si>
  <si>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</si>
  <si>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</si>
  <si>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</si>
  <si>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</si>
  <si>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</si>
  <si>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</si>
  <si>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</si>
  <si>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</si>
  <si>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</si>
  <si>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</si>
  <si>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</si>
  <si>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</si>
  <si>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</si>
  <si>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</si>
  <si>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</si>
  <si>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</si>
  <si>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</si>
  <si>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</si>
  <si>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</si>
  <si>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</si>
  <si>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</si>
  <si>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</si>
  <si>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</si>
  <si>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</si>
  <si>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</si>
  <si>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</si>
  <si>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</si>
  <si>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</si>
  <si>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</si>
  <si>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</si>
  <si>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</si>
  <si>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</si>
  <si>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</si>
  <si>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</si>
  <si>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</si>
  <si>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</si>
  <si>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</si>
  <si>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</si>
  <si>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</si>
  <si>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</si>
  <si>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</si>
  <si>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</si>
  <si>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</si>
  <si>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</si>
  <si>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</si>
  <si>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</si>
  <si>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</si>
  <si>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</si>
  <si>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</si>
  <si>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</si>
  <si>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</si>
  <si>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</si>
  <si>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</si>
  <si>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</si>
  <si>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</si>
  <si>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</si>
  <si>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</si>
  <si>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</si>
  <si>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</si>
  <si>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</si>
  <si>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</si>
  <si>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</si>
  <si>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</si>
  <si>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</si>
  <si>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</si>
  <si>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</si>
  <si>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</si>
  <si>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</si>
  <si>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</si>
  <si>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</si>
  <si>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</si>
  <si>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</si>
  <si>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</si>
  <si>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</si>
  <si>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</si>
  <si>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</si>
  <si>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</si>
  <si>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</si>
  <si>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</si>
  <si>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</si>
  <si>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</si>
  <si>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</si>
  <si>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</si>
  <si>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</si>
  <si>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</si>
  <si>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</si>
  <si>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</si>
  <si>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</si>
  <si>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</si>
  <si>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</si>
  <si>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</si>
  <si>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</si>
  <si>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</si>
  <si>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</si>
  <si>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</si>
  <si>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</si>
  <si>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</si>
  <si>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</si>
  <si>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</si>
  <si>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</si>
  <si>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</si>
  <si>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</si>
  <si>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</si>
  <si>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</si>
  <si>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</si>
  <si>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</si>
  <si>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</si>
  <si>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</si>
  <si>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</si>
  <si>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</si>
  <si>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</si>
  <si>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</si>
  <si>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</si>
  <si>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</si>
  <si>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</si>
  <si>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</si>
  <si>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</si>
  <si>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</si>
  <si>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</si>
  <si>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</si>
  <si>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</si>
  <si>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</si>
  <si>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</si>
  <si>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</si>
  <si>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</si>
  <si>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</si>
  <si>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</si>
  <si>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</si>
  <si>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</si>
  <si>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</si>
  <si>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</si>
  <si>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</si>
  <si>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</si>
  <si>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</si>
  <si>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</si>
  <si>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</si>
  <si>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</si>
  <si>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</si>
  <si>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</si>
  <si>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</si>
  <si>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</si>
  <si>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</si>
  <si>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</si>
  <si>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</si>
  <si>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</si>
  <si>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</si>
  <si>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</si>
  <si>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</si>
  <si>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</si>
  <si>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</si>
  <si>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</si>
  <si>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</si>
  <si>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</si>
  <si>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</si>
  <si>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</si>
  <si>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</si>
  <si>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</si>
  <si>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</si>
  <si>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</si>
  <si>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</si>
  <si>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</si>
  <si>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</si>
  <si>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</si>
  <si>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</si>
  <si>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</si>
  <si>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</si>
  <si>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</si>
  <si>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</si>
  <si>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</si>
  <si>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</si>
  <si>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</si>
  <si>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</si>
  <si>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</si>
  <si>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</si>
  <si>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</si>
  <si>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</si>
  <si>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</si>
  <si>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</si>
  <si>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</si>
  <si>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</si>
  <si>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</si>
  <si>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</si>
  <si>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</si>
  <si>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</si>
  <si>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</si>
  <si>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</si>
  <si>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</si>
  <si>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</si>
  <si>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</si>
  <si>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</si>
  <si>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</si>
  <si>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</si>
  <si>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</si>
  <si>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</si>
  <si>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</si>
  <si>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</si>
  <si>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</si>
  <si>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</si>
  <si>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</si>
  <si>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</si>
  <si>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</si>
  <si>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</si>
  <si>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</si>
  <si>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</si>
  <si>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</si>
  <si>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</si>
  <si>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</si>
  <si>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</si>
  <si>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</si>
  <si>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</si>
  <si>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</si>
  <si>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</si>
  <si>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</si>
  <si>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</si>
  <si>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</si>
  <si>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</si>
  <si>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</si>
  <si>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</si>
  <si>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</si>
  <si>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</si>
  <si>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</si>
  <si>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</si>
  <si>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</si>
  <si>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</si>
  <si>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</si>
  <si>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</si>
  <si>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</si>
  <si>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</si>
  <si>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</si>
  <si>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</si>
  <si>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</si>
  <si>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</si>
  <si>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</si>
  <si>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</si>
  <si>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</si>
  <si>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</si>
  <si>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</si>
  <si>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</si>
  <si>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</si>
  <si>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</si>
  <si>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</si>
  <si>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</si>
  <si>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</si>
  <si>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</si>
  <si>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</si>
  <si>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</si>
  <si>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</si>
  <si>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</si>
  <si>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</si>
  <si>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</si>
  <si>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</si>
  <si>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</si>
  <si>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</si>
  <si>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</si>
  <si>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</si>
  <si>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</si>
  <si>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</si>
  <si>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</si>
  <si>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</si>
  <si>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</si>
  <si>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</si>
  <si>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</si>
  <si>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</si>
  <si>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</si>
  <si>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</si>
  <si>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</si>
  <si>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</si>
  <si>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</si>
  <si>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</si>
  <si>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</si>
  <si>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</si>
  <si>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</si>
  <si>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</si>
  <si>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</si>
  <si>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</si>
  <si>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</si>
  <si>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</si>
  <si>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</si>
  <si>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</si>
  <si>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</si>
  <si>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</si>
  <si>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</si>
  <si>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</si>
  <si>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</si>
  <si>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</si>
  <si>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</si>
  <si>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</si>
  <si>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</si>
  <si>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</si>
  <si>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</si>
  <si>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</si>
  <si>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</si>
  <si>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</si>
  <si>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</si>
  <si>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</si>
  <si>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</si>
  <si>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</si>
  <si>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</si>
  <si>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</si>
  <si>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</si>
  <si>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</si>
  <si>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</si>
  <si>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</si>
  <si>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</si>
  <si>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</si>
  <si>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</si>
  <si>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</si>
  <si>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</si>
  <si>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</si>
  <si>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</si>
  <si>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</si>
  <si>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</si>
  <si>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</si>
  <si>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</si>
  <si>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</si>
  <si>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</si>
  <si>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</si>
  <si>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</si>
  <si>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Var (%)
2019/2018</t>
  </si>
  <si>
    <t>C.H. ZAÑA</t>
  </si>
  <si>
    <t>HIDROMARAÑON/ CELEPSA RENOVABLES</t>
  </si>
  <si>
    <t>C.E. WAYRA I</t>
  </si>
  <si>
    <t>C.S. RUBI</t>
  </si>
  <si>
    <t>C.S. INTIPAMPA</t>
  </si>
  <si>
    <t>C.T. DOÑA CATALINA</t>
  </si>
  <si>
    <t>INLAND</t>
  </si>
  <si>
    <t>SAN JACINTO</t>
  </si>
  <si>
    <t>C.H. CERRO DEL AGUILA</t>
  </si>
  <si>
    <t>C.T. OLLEROS</t>
  </si>
  <si>
    <t>C.H. SANTA TERESA</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</si>
  <si>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</si>
  <si>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</si>
  <si>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</si>
  <si>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</si>
  <si>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</si>
  <si>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</si>
  <si>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</si>
  <si>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</si>
  <si>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</si>
  <si>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</si>
  <si>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</si>
  <si>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</si>
  <si>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</si>
  <si>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</si>
  <si>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</si>
  <si>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</si>
  <si>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19:45</t>
  </si>
  <si>
    <t>HIDROELÉCTRICAS</t>
  </si>
  <si>
    <t>ELECTRICA SANTA ROSA / ATRIA</t>
  </si>
  <si>
    <t>TOTAL (CONSIDERANDO LA IMPORTACIÓN)</t>
  </si>
  <si>
    <t>EMGE JUNÍN / SANTA CRUZ</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</si>
  <si>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</si>
  <si>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</si>
  <si>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</si>
  <si>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</si>
  <si>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</si>
  <si>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</si>
  <si>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</si>
  <si>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</si>
  <si>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</si>
  <si>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</si>
  <si>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</si>
  <si>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</si>
  <si>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2. MODIFICACIÓN DE LA OFERTA DE GENERACIÓN ELÉCTRICA DEL SEIN EN EL 2020</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</si>
  <si>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</si>
  <si>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</si>
  <si>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</si>
  <si>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</si>
  <si>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</si>
  <si>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</si>
  <si>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</si>
  <si>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Var (%)
2020/2019</t>
  </si>
  <si>
    <t>Variación 2020/2019 (GWh)</t>
  </si>
  <si>
    <t>Variación 2020/2019 (MW)</t>
  </si>
  <si>
    <t>2020 / 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</si>
  <si>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</si>
  <si>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</si>
  <si>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MARCONA</t>
  </si>
  <si>
    <t>19:15</t>
  </si>
  <si>
    <t>19:00</t>
  </si>
  <si>
    <t>12:30</t>
  </si>
  <si>
    <t>13:00</t>
  </si>
  <si>
    <t>INVERSION DE ENERGÍA RENOVABLES</t>
  </si>
  <si>
    <t>AGROAURORA Total</t>
  </si>
  <si>
    <t>AGUA AZUL Total</t>
  </si>
  <si>
    <t>AIPSA Total</t>
  </si>
  <si>
    <t>ANDEAN POWER Total</t>
  </si>
  <si>
    <t>BIOENERGIA Total</t>
  </si>
  <si>
    <t>CELEPSA Total</t>
  </si>
  <si>
    <t>CERRO VERDE Total</t>
  </si>
  <si>
    <t>CHINANGO Total</t>
  </si>
  <si>
    <t>EGASA Total</t>
  </si>
  <si>
    <t>EGECSAC Total</t>
  </si>
  <si>
    <t>EGEMSA Total</t>
  </si>
  <si>
    <t>EGESUR Total</t>
  </si>
  <si>
    <t>ELECTRICA SANTA ROSA / ATRIA Total</t>
  </si>
  <si>
    <t>ELECTRICA YANAPAMPA Total</t>
  </si>
  <si>
    <t>ELECTRO ZAÑA Total</t>
  </si>
  <si>
    <t>ELECTROPERU Total</t>
  </si>
  <si>
    <t>EMGE HUALLAGA Total</t>
  </si>
  <si>
    <t>EMGE HUANZA Total</t>
  </si>
  <si>
    <t>EMGE JUNÍN / SANTA CRUZ Total</t>
  </si>
  <si>
    <t>ENEL GENERACION PERU Total</t>
  </si>
  <si>
    <t>ENEL GENERACION PIURA Total</t>
  </si>
  <si>
    <t>ENEL GREEN POWER PERU Total</t>
  </si>
  <si>
    <t>ENERGÍA EÓLICA Total</t>
  </si>
  <si>
    <t>ENGIE Total</t>
  </si>
  <si>
    <t>FENIX POWER Total</t>
  </si>
  <si>
    <t>GENERACIÓN ANDINA Total</t>
  </si>
  <si>
    <t>GEPSA Total</t>
  </si>
  <si>
    <t>GTS MAJES Total</t>
  </si>
  <si>
    <t>GTS REPARTICION Total</t>
  </si>
  <si>
    <t>HIDROCAÑETE Total</t>
  </si>
  <si>
    <t>HIDROELECTRICA HUANCHOR Total</t>
  </si>
  <si>
    <t>HIDROMARAÑON/ CELEPSA RENOVABLES Total</t>
  </si>
  <si>
    <t>HUAURA POWER Total</t>
  </si>
  <si>
    <t>HYDRO PATAPO Total</t>
  </si>
  <si>
    <t>INLAND Total</t>
  </si>
  <si>
    <t>INVERSION DE ENERGÍA RENOVABLES Total</t>
  </si>
  <si>
    <t>IYEPSA Total</t>
  </si>
  <si>
    <t>KALLPA Total</t>
  </si>
  <si>
    <t>MAJA ENERGIA Total</t>
  </si>
  <si>
    <t>MOQUEGUA FV Total</t>
  </si>
  <si>
    <t>ORAZUL ENERGY PERÚ Total</t>
  </si>
  <si>
    <t>P.E. MARCONA Total</t>
  </si>
  <si>
    <t>P.E. TRES HERMANAS Total</t>
  </si>
  <si>
    <t>PANAMERICANA SOLAR Total</t>
  </si>
  <si>
    <t>PETRAMAS Total</t>
  </si>
  <si>
    <t>PLANTA  ETEN Total</t>
  </si>
  <si>
    <t>RIO BAÑOS Total</t>
  </si>
  <si>
    <t>RIO DOBLE Total</t>
  </si>
  <si>
    <t>SAMAY I Total</t>
  </si>
  <si>
    <t>SAN GABAN Total</t>
  </si>
  <si>
    <t>SAN JACINTO Total</t>
  </si>
  <si>
    <t>SANTA ANA Total</t>
  </si>
  <si>
    <t>SDF ENERGIA Total</t>
  </si>
  <si>
    <t>SHOUGESA Total</t>
  </si>
  <si>
    <t>SINERSA Total</t>
  </si>
  <si>
    <t>STATKRAFT Total</t>
  </si>
  <si>
    <t>TACNA SOLAR Total</t>
  </si>
  <si>
    <t>TERMOCHILCA Total</t>
  </si>
  <si>
    <t>TERMOSELVA Total</t>
  </si>
  <si>
    <t>12:00</t>
  </si>
  <si>
    <t>12:15</t>
  </si>
  <si>
    <t>14:45</t>
  </si>
  <si>
    <t>18:45</t>
  </si>
  <si>
    <t>00:15</t>
  </si>
  <si>
    <t>11:15</t>
  </si>
  <si>
    <t>1.1. Producción de energía eléctrica en julio 2020 en comparación al mismo mes del año anterior</t>
  </si>
  <si>
    <t>El total de la producción de energía eléctrica de la empresas generadoras integrantes del COES en el mes de julio 2020 fue de 4 139,42  GWh, lo que representa una disminución de 258,52 GWh (-5,88%) en comparación con el año 2019.</t>
  </si>
  <si>
    <t>La producción de electricidad con centrales hidroeléctricas durante el mes de julio 2020 fue de 2 043,44 GWh (1,33% menor al registrado durante julio del año 2019).</t>
  </si>
  <si>
    <t>La producción de electricidad con centrales termoeléctricas durante el mes de julio 2020 fue de 1 865,48 GWh, 11,69% menor al registrado durante julio del año 2019. La participación del gas natural de Camisea fue de 43,12%, mientras que las del gas que proviene de los yacimientos de Aguaytía y Malacas fue del 1,60%, la producción con diesel, residual, carbón, biogás y bagazo tuvieron una intervención del 0,01%, 0,00%, 0,00%, 0,11%, 0,23% respectivamente.</t>
  </si>
  <si>
    <t>La producción de energía eléctrica con centrales eólicas fue de 169,47 GWh y con centrales solares fue de 61,04 GWh, los cuales tuvieron una participación de 4,09% y 1,47% respectivamente.</t>
  </si>
  <si>
    <t>julio</t>
  </si>
  <si>
    <t>Empresa</t>
  </si>
  <si>
    <t>Recurso Energético</t>
  </si>
  <si>
    <t>Tipo de Tecnologia</t>
  </si>
  <si>
    <t>Central</t>
  </si>
  <si>
    <t>Unidad</t>
  </si>
  <si>
    <t>Tensión  
(kV)</t>
  </si>
  <si>
    <t>Potencia Instalada (MW)</t>
  </si>
  <si>
    <t xml:space="preserve">Potencia Efectiva  (MW) </t>
  </si>
  <si>
    <t>Operación Comercial</t>
  </si>
  <si>
    <t>Central Solar</t>
  </si>
  <si>
    <t>Central Hidroeléctrica</t>
  </si>
  <si>
    <t>Turbina de Vapor</t>
  </si>
  <si>
    <t>Central Eólica</t>
  </si>
  <si>
    <t>Central a Biogás</t>
  </si>
  <si>
    <t>MCI</t>
  </si>
  <si>
    <t>C.H. Callao</t>
  </si>
  <si>
    <t>G1 ; G2</t>
  </si>
  <si>
    <t>13.07.2020</t>
  </si>
  <si>
    <t>PERUANA DE INVERSIONES EN ENERGÍAS RENOVABLES</t>
  </si>
  <si>
    <t>16.07.2020</t>
  </si>
  <si>
    <t>C.H. Manta</t>
  </si>
  <si>
    <t>Pelton</t>
  </si>
  <si>
    <t>Nota: Los valores de potencia efectiva de C.H. Callao y C.H. Manta corresponden a lo presentado en su ficha técnica para su operación comercial.</t>
  </si>
  <si>
    <t xml:space="preserve"> HIDRANDINA</t>
  </si>
  <si>
    <t xml:space="preserve"> L. CHIMBOTE SUR - NEPEÑA - LINEA L-1112</t>
  </si>
  <si>
    <t>Se produjo la desconexión de la línea L-1112 (Chimbote Sur - Nepeña) de 138 kV por falla monofásica a tierra en la fase "T" debido a rotura de conductor en la estructura N° 84 por deterioro del conductor, según lo informador por Hidrandina, titular de la línea. Asimismo, Hidrandina indicó que el deterioro del conductor fue por falta de mantenimiento debido al Estado de Emergencia Nacional.
Como consecuencia se interrumpieron los suministros de las SS.EE. Nepeña, Casma y San Jacinto con un total de 7.24 MW. La línea quedó indisponible para su inspección. La C.T. San Jacinto quedó operando en sistema aislado. 
A las 09:34 h se energiza la línea L-1112 y se procede a recuperar los suministros interrumpidos.</t>
  </si>
  <si>
    <t xml:space="preserve"> EGESUR</t>
  </si>
  <si>
    <t xml:space="preserve"> L. TOMASIRI - LOS HÉROES - LINEA L-6637</t>
  </si>
  <si>
    <t>Desconectaron las líneas L-6637 (Tomasiri - Los Héroes) y  L-6620 ( Aricota 2 – Tomasiri) de 60 kV por falla en la fase "R" de la línea L-6620, debido a posible clima adverso en la zona , según lo informado por EGESUR, titular de las líneas. Como consecuencia, se interrumpió la carga de la S.E. Tomasiri con 1.2 MW. A las 20:45 h entró en servicio la línea L-6637 y se procedió a recuperar la carga interrumpida. La línea L-6620 quedo indisponible para su inspección.</t>
  </si>
  <si>
    <t xml:space="preserve"> ETESELVA</t>
  </si>
  <si>
    <t xml:space="preserve"> L. TINGO MARÍA - VIZCARRA - LINEA L-2252</t>
  </si>
  <si>
    <t>Se produjo recierre exitoso en la fase "T" de la línea L-2252 (Tingo María - Vizcarra) de 220 kV  debido a descargas atmosféricas por la zona, informado por ETESELVA, titular de la línea. Como consecuencia la Minera Antamina disminuyó su carga en total 42.18 MW y desconectó el SVC de la SE Vizcarra. A las 19:57 h se coordinó con el CC-CMA normalizar su carga interrumpida.</t>
  </si>
  <si>
    <t xml:space="preserve"> STATKRAFT S.A</t>
  </si>
  <si>
    <t xml:space="preserve"> L. CARHUAMAYO - SHELBY - LINEA L-6515</t>
  </si>
  <si>
    <t>Desconectaron las líneas L-6515 / L-6517 (Carhuamayo – Shelby – Excélsior) de 50 kV, por falla bifásica en las fases "R" y "T", debido a  la presencia de fuertes vientos por la zona, informado por Statkraft, titular de las líneas. Como consecuencia se interrumpió 0.6 MW en las subestaciones Fundición y Shelby. A las 14:38 h, se conectaron las líneas L-6515 / L-6517 y se recuperó toda la carga interrumpida.</t>
  </si>
  <si>
    <t xml:space="preserve"> ISA PERU</t>
  </si>
  <si>
    <t xml:space="preserve"> L. AGUAYTÍA - PUCALLPA - LINEA L-1125</t>
  </si>
  <si>
    <t>Se produjo la desconexión de la línea L-1125 (Aguaytía - Pucallpa) de 138 kV por falla bifásica en las fases "R" y "T" a 87 km desde la S.E. Aguaytía, debido a descargas atmosféricas, según lo informado por Isa Perú, titular de la línea. Como consecuencia se interrumpió el suministro de la S.E. Pucallpa con un total de 34.35 MW. A las 22:11 h se coordinó con el CC-IEP el arranque de la C.T. R.F. Pucallpa. A las 22:12 h, el CC-ISA declaró disponible la línea y a la misma hora se conectó. A las 22:15 h, se energizó la barra de 60 kV de la S.E. Pucallpa con interruptor de 60 kV del autotransformador AT111-261 con lo cual se inició el restablecimiento del suministro interrumpido.</t>
  </si>
  <si>
    <t xml:space="preserve"> ELECTROCENTRO</t>
  </si>
  <si>
    <t xml:space="preserve"> S.E. YAUPI - TRAFO3D 4TP-912</t>
  </si>
  <si>
    <t>Desconectó el  transformador 4T9-912 13.8/22.9/138 de la S:E. Yaupi en 13.8 kV, abriendo el interruptor 4IN-013-903 (9140), originado por contacto de zarigüeya con el neutro de transformador de tensión, según informe de Electro Centro, titular del transformador. Como consecuencia se interrumpe el suministro de energía en las subestaciones Oxapampa, Villa Rica, Pichanaki, Satipo, Chalhuamayo, Puerto Bermudez y Ciudad Constitucion en 4.40 MW. A las 07:07 h, se energizo transformador  4T9-912, procediendo a restablecer suministros interrumpidos.</t>
  </si>
  <si>
    <t xml:space="preserve"> L. TRUJILLO NORTE - PORVENIR - LINEA L-1117</t>
  </si>
  <si>
    <t>Desconectó la línea en 138 kV L-1117 (Trujillo Norte - El Porvenir) por falla monofásica a tierra en la fase "R", debido a avería en pararrayo PR-A014, según lo indicado por Hidrandida, titular de la línea. Como consecuencia se interrumpió el suministro de las SS.EE. El Porvenir y Trujillo Sur con un total de 13.68 MW aproximadamente. A las 14:15 h, se puso en servicio la línea.</t>
  </si>
  <si>
    <t xml:space="preserve"> ELECTRONOROESTE S.A.</t>
  </si>
  <si>
    <t xml:space="preserve"> L. SULLANA - ARENAL - LINEA L-6662</t>
  </si>
  <si>
    <t>Desconectó la línea L-6662 (El Arenal – La Huaca – Sullana) de 60 kV por actuación de su protección de sobrecorriente de fases, cuya causa se encuentra en investigación. Como consecuencia desconectó la CH Poechos I y II (16.71 MW) y se interrumpió el suministro de Sullana (28.5 MW) y Poechos (5.3 MW). A las 08:37 h, se energizó la línea L-6662 desde la SE Sullana y se normalizó el suministro de Poechos. A las 08:41 h, se conectó la L-6662 en la SE El Arenal. A las 08:46 h y 09:01 h, sincronizaron las CCHH Poechos I y II con el SEIN respectivamente.
A las 08:48 h, se normalizó el suministro de Sullana al 100%</t>
  </si>
  <si>
    <t xml:space="preserve"> L. PIURA OESTE - LA UNIÓN - LINEA L-6658-A</t>
  </si>
  <si>
    <t>Desconectó la línea L-6658 (Piura Oeste - La Unión) de 60 kV por falla monofásica en la fase "R", debido a la caída del poste N° 60 de la línea ubicado 12.8 km desde la S.E. Piura Oeste, esto fue ocasionado por terceros durante quema de maleza y arbustos en la zona; informado por ELECTRO NOR OESTE, titular de la línea. Como consecuencia, se interrumpió 8.74 MW en las subestaciones La Unión, Sechura y Constante. A las 23:18 h entró en servicio la línea L-6658 y se procedió a recuperar el suministro interrumpido.</t>
  </si>
  <si>
    <t xml:space="preserve"> L. CHIMBOTE 1 - SANTA - LINEA L-1116</t>
  </si>
  <si>
    <t>Desconectó la línea L-1116 (Chimbote 1 - Santa) de 138 kV por falla en la fase "S" ubicada a 7.7 km desde la S.E. Chimbote, debido a causas que se encuentran en evaluación por Hidrandina, titular de la línea. Como consecuencia se interrumpió el suministro de la SE Santa con 6.2 MW y se produjo la reducción de carga del usuario libre Sider Perú de 39.5 MW a 35.5 MW. A las 02:34 h se conectó la línea y se procedió a normalizar el suministro interrumpido</t>
  </si>
  <si>
    <t>Desconectó la línea L-1112 (Chimbote Sur – Nepeña) de 138 kV por falla monofásica en la fase "T" a 20.6 km desde la S.E. Chimbote Sur, debido a condiciones climáticas adversas. Como consecuencia se interrumpió el suministro de Nepeña, San Jacinto y Casma en total 10 MW. A las 04:43 h, se conectó la L-1112 y se inició la normalización de los suministros interrumpidos.</t>
  </si>
  <si>
    <t>Desconectó la línea L-1116 (Chimbote 1 - Santa) de 138 kV por falla en la fase "S", debido a bajo nivel de aislamiento por suciedad, según lo informado por Hidrandina, titular de la línea. Como consecuencia se interrumpió el suministro de la SE Santa  con 5.74 MW. A las 05:07 h se conectó la línea y se procedió a normalizar el suministro interrumpido</t>
  </si>
  <si>
    <t>Desconectó la línea L-6658 (Piura Oeste – La Unión) de 60 kV por falla  monofásica en la fase "T" ubicada a 12.7 km desde la S.E. Piura Oeste, cuya causa no fue informada por Enosa, titular de la línea. A las 05:55 h, se energizó la línea desde la S.E. Piura Oeste con resultado negativo, quedando la línea indisponible para su inspección. Como consecuencia se interrumpió el suministro de las SS.EE. La Unión, Sechura y Constante con 7.07 MW. A las 14:10 h, el CC-ENO declaró disponible la línea.</t>
  </si>
  <si>
    <t>Desconectó la línea L-1116 (Chimbote 1 - Santa) de 138 kV por falla en la fase "R" de la línea, por bajo nivel de aislamiento debido a suciedad en los aisladores, según lo informado por Hidrandina, titular de la línea. Como consecuencia se interrumpió el suministro de la S.E. Santa con 5.6 MW y la reducción de carga de Sider Perú. A las 06:06 h, se coordinó con Sider Perú normalizar su carga. A las 05:55 h, quedó indisponible la línea para su inspección. A las 14:45 h, se conectó la línea L-1116.</t>
  </si>
  <si>
    <t>Desconectó la línea L-1112 (Chimbote Sur - Nepeña) de 138 kV, por trifásica en la línea, ubicada a 10.9 km desde la S.E. Chimbote Sur, cuya causa se encuentra en evaluación, informada por HIDRANDINA, titular de la línea. Como consecuencia se interrumpió el suministro de la S.E. Nepeña, Casma, San Jacinto y de SiderPeru con un total de 9.71 MW. A las 06:33 h se conectó la línea L-1112, con lo cual se inició el restablecimiento del suministro interrumpido.</t>
  </si>
  <si>
    <t xml:space="preserve"> S.E. CHIMBOTE SUR - BARRA BARRA138KV</t>
  </si>
  <si>
    <t>Desconectó la barra de 138 kV de la S.E. Chimbote Sur por apertura del interruptor de la celda CL-1111 en la S.E. Chimbote Sur, debido a la actuación indeseada de su sistema de protección, informada por Hidrandina, titular de los equipos. Como consecuencia quedaron fuera de servicio las S.E. Chimbote Sur, Nepeña, Casma y San Jacinto con un total de 36 MW. A las 15:25 h, se energiza la barra 138 kV de la SE Chimbote Sur y se inicia la recuperación del suministro interrumpido. A las 15:44 h desconecta nuevamente la barra de 138 kV de la S.E. Chimbote Sur, por la misma causa indicada, como consecuencia quedan fuera de servicio las líneas 138 kV L-1129, L-1112, L-1113 y L-1114 y las SET Chimbote Sur, Trapecio, Nepeña, Casma y San Jacinto, interrumpiendo una carga de 10.50 MW. A las 16:05 h, CC-HID energiza la barra 138 kV de la S.E. Chimbote Sur y se inicia la recuperación del suministro interrumpido.</t>
  </si>
  <si>
    <t xml:space="preserve">Desconectó la barra de 138 kV de la S.E. Chimbote Sur debido por apertura del interruptor de la celda CL-1111 en la S.E. Chimbote Sur 138 kV, debido a la actuación indeseada de su sistema de protección, informada por Hidrandina, titular de la celda. Como consecuencia  quedaron fuera de servicio las S.E. Chimbote Sur, Nepeña, Casma y San Jacinto con una interrupción de 39 MW aproximadamente. A las 19:30 h, CC-HID energizó la barra de 138 kV de la S.E. Chimbote Sur y se inicia la recuperación de la carga interrumpida. A las 19:36 h desconecta nuevamente la barra de 138 kV de la S:E. Chimbote Sur, por la misma causa indicada, interrumpiendo  una carga de 36 MW,
A las 19:41 h, se desconectó la línea L-1111 en la S.E. Chimbote 1 a solicitud de Hidrandina por mantenimiento correctivo. A las 23:05 h, se conectó la línea L-1111; a las 23:08 h se energizó la barra de 138 kV de la S.E. Chimbote Sur y se procedió a recuperar  la carga interrumpida. </t>
  </si>
  <si>
    <t xml:space="preserve"> L. CHIMBOTE 1 - CHIMBOTE SUR - LINEA L-1111</t>
  </si>
  <si>
    <t>Desconectó la barra de 138 kV de la S.E. Chimbote Sur, por apertura del interruptor de la celda CL-1111 en la S.E. Chimbote Sur, debido a la actuación indeseada del relé de sobrecorriente en dicha celda, informada por Hidrandina, titular de los equipos. Como consecuencia quedaron fuera de servicio las S.E. Chimbote Sur, Trapecio, Nepeña, Casma y San Jacinto con una interrupción de 30.97 MW. A las 00:13 h, CC-HID cerró el interruptor de la línea L-1111 en la S.E. Chimbote Sur y se energizó la barra de 138 kV, iniciándose la recuperación de la carga interrumpida.</t>
  </si>
  <si>
    <t xml:space="preserve"> ELECTRONORTE S.A.</t>
  </si>
  <si>
    <t xml:space="preserve"> L. ESPINA COLORADA - CUTERVO - LINEA L-1135</t>
  </si>
  <si>
    <t>Desconectó la línea en 138 kV L-1135 (Espina Colorada - Cutervo) por falla monofásica en la fase "R" debido a caída de árbol en la línea, según lo informado por Rio Doble, titular de la celda de línea en la S.E. Espina Colorada. Como consecuencia quedaron fuera de servicio las SS.EE. Cutervo y Nueva Jaen, y se interrumpió una carga de 3.7 MW aproximadamente. Asimismo, desconectó el generador G1 de la C.H. Las Pizarras con 5.49 MW. A las 15:22 h, se puso en servicio la línea L-1135 y se procedió a recuperar la carga interrumpida. A las 15:33 y 15:34 h, sincronizaron los grupos G2 y G1 de la C.H. Las Pizarras.</t>
  </si>
  <si>
    <t>Desconectó la línea L-1112 (Chimbote Sur – Nepeña) de 138 kV por falla monofásica en la fase "T", debido al acercamiento de la tolva de un volquete, ubicado a una distancia de 13.5 kM de Chimbote Sur, entre las estructuras N°32 y 33, informado por Hidrandina, titular de la línea. Como consecuencia el usuario libre Sider Perú disminuyó su carga de 45 MW a 39 MW y se interrumpió el suministro de Nepeña, Casma y San Jacinto con un total de 10.73 MW. A las 08:48 h, se conectó la línea L-1112 y se inició las maniobras para normalizar el suministro interrumpido.</t>
  </si>
  <si>
    <t xml:space="preserve"> L. PARAMONGA N. - 09 DE OCTUBRE - LINEA L-6655</t>
  </si>
  <si>
    <t>Desconectó la línea en 60 kV L-6655 (Paramonga - 09 de Octubre) por falla monofásica en la fase "R" a 6.6 km de la S.E.Paramonga, debido a contacto con ave en la estructura N° 36, según lo informado por Hidrandina, titular de la línea. Como consecuencia se interrumpió el suministro de las SS.EE. Huarmey y Puerto Antamina con un total de 4.90 MW. A las 07:38 h, se puso en servicio la línea y se procedió a restablecer los suministros interrumpidos.</t>
  </si>
  <si>
    <t xml:space="preserve"> L. HUAYUCACHI - SALESIANOS - LINEA L-6631</t>
  </si>
  <si>
    <t>Desconectó la línea en 60 kV L-6631 (Huayucachi - Salesianos) por falla trifásica, debido a rotura de la retenida en la estructura N° 33 de la línea, informado por Electrocentro, titular de la línea. Como consecuencia se interrumpió el suministro de las SS.EE. Salesianos, Parque Industrial, Concepción, Chupaca y Jauja con un total de 32 MW; asimismo las CH. Runatullo III y II quedaron fuera de servicio cuando generaban 6,89 MW. A las 18:29 h, se pone en servicio a línea L-6631 y se procede a normalizar los suministros interrumpidos. A las 18:56 h y 19:04 h las unidades de generación de la CH Runatullo III y II respectivamente, sincronizaron con el SEIN.</t>
  </si>
  <si>
    <t xml:space="preserve"> EGASA</t>
  </si>
  <si>
    <t xml:space="preserve"> L. CHARCANI IV - CHILINA - LINEA L-3103</t>
  </si>
  <si>
    <t xml:space="preserve">Desconectaron las líneas en 33 kV L-3103 y L-3104 (Chilina - Charcani I) por falla cuya causa no fue informada por Egasa, titular de las líneas. Como consecuencia desconectaron las CC.HH. Charcani I, II y III, y se interrumpió el suministro de la S.E. Alto Cayma con 5.60 MW aproximadamente. A las 23:25 h, se pone en servicio la línea L-3103 y se procedió a recuperar los suministros interrumpidos. </t>
  </si>
  <si>
    <t xml:space="preserve"> L. CONDORCOCHA - NINATAMBO - LINEA L-6076</t>
  </si>
  <si>
    <t>Desconectó la línea L-6076 (Condorcocha – Ninatambo) de 44 kV, por falla no informada, el cual provocó la actuación de la función sobrecorriente 50/51 en la S.E. Condorcocha, según lo informado por Electro Centro, titular de la línea. Como consecuencia se interrumpió 2.5 MW en las subestaciones Ninatambo y a las 10:28 h desconectaron las CC.HH. Huasahuasi I y Huasahuasi II con 1.42 MW y 1.63 MW respectivamente. A las 10:41 h, se conectó la línea L-6076 y se recuperó toda la carga interrumpida y se coordinó normalizar la generación de las CC.HH. Huasahuasi I y II.</t>
  </si>
  <si>
    <t xml:space="preserve"> S.E. PARAMONGA EXISTENTE - BARRA BARRA A 13.8kV</t>
  </si>
  <si>
    <t>Desconectó la barra 13.8 kV en la SE Paramonga Existente (SEPAEX) por falla en la celda 13.8 kV 0243 de propiedad de EMSEMSA, según lo informado por STATKRAFT titular de la barra. Como consecuencia se interrumpió el suministro de EMSEMSA y de los usuarios libres Quimpac, Panasa, AIPSA en total 31.36 MW. aproximadamente A las 23:29 h se energizó la barra de 13.8 kV mediante la conexión del transformador T2 de 138/13.8 kV de 20 MVA. El transformador T1 de 138/13.8 kV no se pudo conectar tras un intento fallido. Se coordinó normalizar la carga interrumpida de Quimpac hasta 20 MW. A las 02:08 h, se coordinó con el CC-KLP, para que usuario libre PANASA normalice su carga al 100%. A las 03:33 h, se coordinó con el CC-QUI, normalizar su carga al 100 %. A las 03:35 h, se conectó el transformador T1 de la SE SEPAEX</t>
  </si>
  <si>
    <t>CELEPSA RENOVABLES</t>
  </si>
  <si>
    <t>01/07/2020</t>
  </si>
  <si>
    <t>02/07/2020</t>
  </si>
  <si>
    <t>03/07/2020</t>
  </si>
  <si>
    <t>11:30</t>
  </si>
  <si>
    <t>04/07/2020</t>
  </si>
  <si>
    <t>20:30</t>
  </si>
  <si>
    <t>05/07/2020</t>
  </si>
  <si>
    <t>06/07/2020</t>
  </si>
  <si>
    <t>07/07/2020</t>
  </si>
  <si>
    <t>08/07/2020</t>
  </si>
  <si>
    <t>09/07/2020</t>
  </si>
  <si>
    <t>10/07/2020</t>
  </si>
  <si>
    <t>11/07/2020</t>
  </si>
  <si>
    <t>12/07/2020</t>
  </si>
  <si>
    <t>20:00</t>
  </si>
  <si>
    <t>13/07/2020</t>
  </si>
  <si>
    <t>11:45</t>
  </si>
  <si>
    <t>14/07/2020</t>
  </si>
  <si>
    <t>15/07/2020</t>
  </si>
  <si>
    <t>16/07/2020</t>
  </si>
  <si>
    <t>17/07/2020</t>
  </si>
  <si>
    <t>18/07/2020</t>
  </si>
  <si>
    <t>21:15</t>
  </si>
  <si>
    <t>19/07/2020</t>
  </si>
  <si>
    <t>20/07/2020</t>
  </si>
  <si>
    <t>21/07/2020</t>
  </si>
  <si>
    <t>22/07/2020</t>
  </si>
  <si>
    <t>23/07/2020</t>
  </si>
  <si>
    <t>24/07/2020</t>
  </si>
  <si>
    <t>25/07/2020</t>
  </si>
  <si>
    <t>26/07/2020</t>
  </si>
  <si>
    <t>13:45</t>
  </si>
  <si>
    <t>27/07/2020</t>
  </si>
  <si>
    <t>28/07/2020</t>
  </si>
  <si>
    <t>29/07/2020</t>
  </si>
  <si>
    <t>30/07/2020</t>
  </si>
  <si>
    <t>31/07/2020</t>
  </si>
  <si>
    <t>(1) Inicio de operación comercial de la C.T. Callao propiedad de PETRAMÁS S.A. a las 00:00 horas del 13.07.2020</t>
  </si>
  <si>
    <t>C.T. CALLAO  (1)</t>
  </si>
  <si>
    <t>C.H. MANTA I  (2)</t>
  </si>
  <si>
    <t>VOLUMEN ÚTIL
30-07-2020</t>
  </si>
  <si>
    <t>VOLUMEN ÚTIL
30-07-2019</t>
  </si>
  <si>
    <t>L-2051 L-2052  L-5034  L-5036</t>
  </si>
  <si>
    <t>ENLACE CENTRO - SUR</t>
  </si>
  <si>
    <t>L-2011</t>
  </si>
  <si>
    <t>SAN JUAN - SANTA ROSA N.</t>
  </si>
  <si>
    <t>L-1124 L-1125 L-1126 L-1127</t>
  </si>
  <si>
    <t>L-1133 L-1134</t>
  </si>
  <si>
    <t>POROMA - YARABAMBA</t>
  </si>
  <si>
    <t>SUR</t>
  </si>
  <si>
    <t xml:space="preserve"> LINEA DE TRANSMISION</t>
  </si>
  <si>
    <t xml:space="preserve"> BARRA</t>
  </si>
  <si>
    <t xml:space="preserve"> TRANSFORMADOR 3D</t>
  </si>
  <si>
    <t>C.T. CALLAO</t>
  </si>
  <si>
    <t>(2) Inicio de operación comercial de la C.H. Manta propiedad de PERUANA DE INVERSIÓN EN ENERGÍAS RENOVABLES S.A. a las 00:00 horas del 16.07.2020</t>
  </si>
  <si>
    <t>C.H. MANTA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</si>
</sst>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right style="hair">
        <color theme="3" tint="0.39991454817346722"/>
      </right>
      <top/>
      <bottom/>
      <diagonal/>
    </border>
    <border>
      <left style="hair">
        <color theme="3" tint="0.39991454817346722"/>
      </left>
      <right/>
      <top/>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1015">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1" fillId="0" borderId="0" xfId="0" applyFont="1"/>
    <xf numFmtId="0" fontId="42" fillId="0" borderId="0" xfId="0" applyFont="1" applyAlignment="1">
      <alignment vertical="center"/>
    </xf>
    <xf numFmtId="0" fontId="43" fillId="0" borderId="0" xfId="0" applyFont="1" applyAlignment="1">
      <alignment vertical="center"/>
    </xf>
    <xf numFmtId="0" fontId="44" fillId="0" borderId="0" xfId="0" applyFont="1" applyAlignment="1">
      <alignment vertical="center"/>
    </xf>
    <xf numFmtId="0" fontId="42" fillId="0" borderId="0" xfId="0" applyFont="1" applyAlignment="1">
      <alignment horizontal="center" vertical="center"/>
    </xf>
    <xf numFmtId="0" fontId="44" fillId="0" borderId="0" xfId="0" applyFont="1" applyAlignment="1">
      <alignment horizontal="justify" vertical="center"/>
    </xf>
    <xf numFmtId="0" fontId="45" fillId="0" borderId="0" xfId="0" applyFont="1" applyAlignment="1">
      <alignment vertical="center"/>
    </xf>
    <xf numFmtId="0" fontId="43"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6"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8" fillId="0" borderId="0" xfId="0" applyFont="1" applyAlignment="1">
      <alignment vertical="center"/>
    </xf>
    <xf numFmtId="0" fontId="49" fillId="0" borderId="0" xfId="0" applyFont="1" applyAlignment="1">
      <alignment vertical="center"/>
    </xf>
    <xf numFmtId="0" fontId="50" fillId="0" borderId="0" xfId="0" applyFont="1" applyAlignment="1">
      <alignment vertical="center"/>
    </xf>
    <xf numFmtId="0" fontId="50" fillId="0" borderId="0" xfId="0" applyFont="1" applyAlignment="1">
      <alignment horizontal="right" vertical="center"/>
    </xf>
    <xf numFmtId="0" fontId="48" fillId="0" borderId="0" xfId="0" applyFont="1" applyAlignment="1">
      <alignment horizontal="center" vertical="center"/>
    </xf>
    <xf numFmtId="0" fontId="50" fillId="0" borderId="0" xfId="0" applyFont="1" applyAlignment="1">
      <alignment horizontal="justify" vertical="center"/>
    </xf>
    <xf numFmtId="2" fontId="51" fillId="0" borderId="0" xfId="0" applyNumberFormat="1" applyFont="1" applyAlignment="1">
      <alignment vertical="center"/>
    </xf>
    <xf numFmtId="0" fontId="51" fillId="0" borderId="0" xfId="0" quotePrefix="1" applyFont="1" applyAlignment="1">
      <alignment vertical="center" wrapText="1"/>
    </xf>
    <xf numFmtId="0" fontId="51" fillId="0" borderId="0" xfId="0" applyFont="1" applyAlignment="1">
      <alignment vertical="center"/>
    </xf>
    <xf numFmtId="14" fontId="48" fillId="0" borderId="0" xfId="0" applyNumberFormat="1" applyFont="1" applyAlignment="1">
      <alignment vertical="center"/>
    </xf>
    <xf numFmtId="0" fontId="47" fillId="0" borderId="0" xfId="0" applyFont="1" applyAlignment="1">
      <alignment vertical="center"/>
    </xf>
    <xf numFmtId="1" fontId="52" fillId="0" borderId="0" xfId="0" applyNumberFormat="1" applyFont="1" applyAlignment="1">
      <alignment horizontal="center" vertical="center"/>
    </xf>
    <xf numFmtId="171" fontId="53" fillId="6" borderId="0" xfId="3" applyFont="1" applyFill="1"/>
    <xf numFmtId="0" fontId="49" fillId="0" borderId="0" xfId="0" applyFont="1"/>
    <xf numFmtId="1" fontId="54" fillId="0" borderId="0" xfId="3" applyNumberFormat="1" applyFont="1" applyAlignment="1">
      <alignment horizontal="center"/>
    </xf>
    <xf numFmtId="172" fontId="54" fillId="0" borderId="0" xfId="3" applyNumberFormat="1" applyFont="1" applyAlignment="1">
      <alignment horizontal="center"/>
    </xf>
    <xf numFmtId="2" fontId="55" fillId="0" borderId="0" xfId="3" applyNumberFormat="1" applyFont="1"/>
    <xf numFmtId="165" fontId="52" fillId="0" borderId="0" xfId="0" applyNumberFormat="1" applyFont="1" applyAlignment="1">
      <alignment horizontal="right" vertical="center"/>
    </xf>
    <xf numFmtId="166" fontId="52" fillId="0" borderId="0" xfId="0" applyNumberFormat="1" applyFont="1" applyAlignment="1">
      <alignment horizontal="right" vertical="center"/>
    </xf>
    <xf numFmtId="167" fontId="52" fillId="0" borderId="0" xfId="2" applyNumberFormat="1" applyFont="1" applyAlignment="1">
      <alignment horizontal="right" vertical="center"/>
    </xf>
    <xf numFmtId="2" fontId="55" fillId="2" borderId="0" xfId="3" applyNumberFormat="1" applyFont="1" applyFill="1"/>
    <xf numFmtId="0" fontId="52" fillId="0" borderId="0" xfId="0" applyFont="1" applyAlignment="1">
      <alignment vertical="center"/>
    </xf>
    <xf numFmtId="2" fontId="56" fillId="0" borderId="0" xfId="0" applyNumberFormat="1" applyFont="1"/>
    <xf numFmtId="0" fontId="57" fillId="0" borderId="0" xfId="0" applyFont="1" applyAlignment="1">
      <alignment vertical="center"/>
    </xf>
    <xf numFmtId="49" fontId="30" fillId="0" borderId="0" xfId="0" applyNumberFormat="1" applyFont="1" applyAlignment="1">
      <alignment horizontal="center"/>
    </xf>
    <xf numFmtId="0" fontId="30" fillId="0" borderId="0" xfId="0" applyFont="1"/>
    <xf numFmtId="1" fontId="0" fillId="0" borderId="0" xfId="0" applyNumberFormat="1"/>
    <xf numFmtId="1" fontId="30" fillId="0" borderId="0" xfId="0" applyNumberFormat="1" applyFont="1" applyAlignment="1">
      <alignment horizontal="right"/>
    </xf>
    <xf numFmtId="0" fontId="30" fillId="0" borderId="0" xfId="0" applyFont="1" applyAlignment="1">
      <alignment horizontal="right"/>
    </xf>
    <xf numFmtId="165" fontId="0" fillId="0" borderId="0" xfId="0" applyNumberFormat="1" applyAlignment="1">
      <alignment horizontal="right"/>
    </xf>
    <xf numFmtId="49" fontId="30" fillId="0" borderId="0" xfId="0" applyNumberFormat="1" applyFont="1" applyAlignment="1">
      <alignment horizontal="right"/>
    </xf>
    <xf numFmtId="165" fontId="30"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8" fillId="0" borderId="0" xfId="0" applyFont="1" applyAlignment="1">
      <alignment vertical="center"/>
    </xf>
    <xf numFmtId="0" fontId="58"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49" fillId="0" borderId="0" xfId="0" applyNumberFormat="1" applyFont="1" applyAlignment="1">
      <alignment vertical="center"/>
    </xf>
    <xf numFmtId="2" fontId="50" fillId="0" borderId="0" xfId="0" applyNumberFormat="1" applyFont="1" applyAlignment="1">
      <alignment vertical="center"/>
    </xf>
    <xf numFmtId="10" fontId="31"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1" fillId="3" borderId="0" xfId="0" applyFont="1" applyFill="1" applyAlignment="1">
      <alignment vertical="center"/>
    </xf>
    <xf numFmtId="10" fontId="31"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2"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2"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2"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2"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2"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2" fillId="2" borderId="64" xfId="2" applyNumberFormat="1" applyFont="1" applyFill="1" applyBorder="1" applyAlignment="1">
      <alignment vertical="center"/>
    </xf>
    <xf numFmtId="0" fontId="27" fillId="4" borderId="94" xfId="0" applyFont="1" applyFill="1" applyBorder="1" applyAlignment="1">
      <alignment vertical="center"/>
    </xf>
    <xf numFmtId="170" fontId="27" fillId="4" borderId="94" xfId="0" applyNumberFormat="1" applyFont="1" applyFill="1" applyBorder="1" applyAlignment="1">
      <alignment vertical="center"/>
    </xf>
    <xf numFmtId="167" fontId="32" fillId="4" borderId="94" xfId="2" applyNumberFormat="1" applyFont="1" applyFill="1" applyBorder="1" applyAlignment="1">
      <alignment vertical="center"/>
    </xf>
    <xf numFmtId="0" fontId="27" fillId="2" borderId="0" xfId="0" applyFont="1" applyFill="1" applyAlignment="1">
      <alignment vertical="center"/>
    </xf>
    <xf numFmtId="167" fontId="32" fillId="2" borderId="47" xfId="2" applyNumberFormat="1" applyFont="1" applyFill="1" applyBorder="1" applyAlignment="1">
      <alignment vertical="center"/>
    </xf>
    <xf numFmtId="0" fontId="27" fillId="4" borderId="0" xfId="0" applyFont="1" applyFill="1" applyAlignment="1">
      <alignment vertical="center"/>
    </xf>
    <xf numFmtId="167" fontId="32" fillId="4" borderId="47" xfId="2" applyNumberFormat="1" applyFont="1" applyFill="1" applyBorder="1" applyAlignment="1">
      <alignment vertical="center"/>
    </xf>
    <xf numFmtId="167" fontId="39"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2" fillId="2" borderId="51" xfId="2" applyNumberFormat="1" applyFont="1" applyFill="1" applyBorder="1" applyAlignment="1">
      <alignment vertical="center"/>
    </xf>
    <xf numFmtId="0" fontId="27" fillId="4" borderId="52" xfId="0" applyFont="1" applyFill="1" applyBorder="1" applyAlignment="1">
      <alignment vertical="center"/>
    </xf>
    <xf numFmtId="0" fontId="36" fillId="2" borderId="0" xfId="0" applyFont="1" applyFill="1" applyAlignment="1">
      <alignment horizontal="left" vertical="center"/>
    </xf>
    <xf numFmtId="170" fontId="0" fillId="0" borderId="0" xfId="0" applyNumberFormat="1" applyAlignment="1">
      <alignment horizontal="center" vertical="center"/>
    </xf>
    <xf numFmtId="0" fontId="61"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29" fillId="7" borderId="0" xfId="0" applyFont="1" applyFill="1"/>
    <xf numFmtId="0" fontId="0" fillId="7" borderId="0" xfId="0" applyFill="1"/>
    <xf numFmtId="0" fontId="62"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3" fillId="0" borderId="0" xfId="0" applyFont="1"/>
    <xf numFmtId="0" fontId="64" fillId="0" borderId="0" xfId="0" applyFont="1"/>
    <xf numFmtId="0" fontId="64" fillId="0" borderId="0" xfId="0" applyFont="1" applyAlignment="1">
      <alignment horizontal="center"/>
    </xf>
    <xf numFmtId="166" fontId="64" fillId="0" borderId="0" xfId="0" applyNumberFormat="1" applyFont="1"/>
    <xf numFmtId="171" fontId="65" fillId="6" borderId="0" xfId="3" applyFont="1" applyFill="1"/>
    <xf numFmtId="172" fontId="65" fillId="6" borderId="0" xfId="3" applyNumberFormat="1" applyFont="1" applyFill="1"/>
    <xf numFmtId="1" fontId="66" fillId="0" borderId="0" xfId="3" applyNumberFormat="1" applyFont="1" applyAlignment="1">
      <alignment horizontal="center"/>
    </xf>
    <xf numFmtId="172" fontId="66" fillId="0" borderId="0" xfId="3" applyNumberFormat="1" applyFont="1" applyAlignment="1">
      <alignment horizontal="center"/>
    </xf>
    <xf numFmtId="2" fontId="67" fillId="0" borderId="0" xfId="3" applyNumberFormat="1" applyFont="1"/>
    <xf numFmtId="2" fontId="67" fillId="0" borderId="0" xfId="3" applyNumberFormat="1" applyFont="1" applyAlignment="1">
      <alignment horizontal="center"/>
    </xf>
    <xf numFmtId="0" fontId="64" fillId="0" borderId="0" xfId="0" applyFont="1" applyAlignment="1">
      <alignment vertical="center"/>
    </xf>
    <xf numFmtId="2" fontId="67" fillId="2" borderId="0" xfId="3" applyNumberFormat="1" applyFont="1" applyFill="1"/>
    <xf numFmtId="2" fontId="68" fillId="0" borderId="0" xfId="0" applyNumberFormat="1" applyFont="1"/>
    <xf numFmtId="2" fontId="69" fillId="0" borderId="0" xfId="4" applyNumberFormat="1" applyFont="1"/>
    <xf numFmtId="0" fontId="30" fillId="0" borderId="86" xfId="0" applyFont="1" applyBorder="1"/>
    <xf numFmtId="43" fontId="30" fillId="0" borderId="86" xfId="1" applyFont="1" applyBorder="1"/>
    <xf numFmtId="43" fontId="30" fillId="0" borderId="0" xfId="0" applyNumberFormat="1" applyFont="1"/>
    <xf numFmtId="0" fontId="60" fillId="0" borderId="0" xfId="0" applyFont="1" applyAlignment="1">
      <alignment vertical="center"/>
    </xf>
    <xf numFmtId="0" fontId="60" fillId="0" borderId="0" xfId="0" applyFont="1" applyAlignment="1">
      <alignment horizontal="center"/>
    </xf>
    <xf numFmtId="0" fontId="60" fillId="0" borderId="0" xfId="0" applyFont="1" applyAlignment="1">
      <alignment vertical="center" wrapText="1"/>
    </xf>
    <xf numFmtId="0" fontId="60" fillId="0" borderId="0" xfId="0" applyFont="1" applyAlignment="1">
      <alignment horizontal="left" vertical="center" wrapText="1"/>
    </xf>
    <xf numFmtId="49" fontId="61" fillId="0" borderId="0" xfId="0" applyNumberFormat="1" applyFont="1" applyAlignment="1">
      <alignment horizontal="right"/>
    </xf>
    <xf numFmtId="43" fontId="30" fillId="0" borderId="86" xfId="0" applyNumberFormat="1" applyFont="1" applyBorder="1"/>
    <xf numFmtId="1" fontId="61" fillId="0" borderId="0" xfId="0" applyNumberFormat="1" applyFont="1" applyAlignment="1">
      <alignment horizontal="right"/>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0" fontId="30" fillId="0" borderId="0" xfId="0" applyFont="1" applyAlignment="1">
      <alignment horizontal="center"/>
    </xf>
    <xf numFmtId="0" fontId="61" fillId="0" borderId="0" xfId="0" applyFont="1" applyAlignment="1">
      <alignment vertical="center"/>
    </xf>
    <xf numFmtId="0" fontId="61" fillId="0" borderId="0" xfId="0" quotePrefix="1" applyFont="1" applyAlignment="1">
      <alignment horizontal="left" vertical="top"/>
    </xf>
    <xf numFmtId="0" fontId="62" fillId="0" borderId="0" xfId="0" applyFont="1" applyAlignment="1">
      <alignment horizontal="right"/>
    </xf>
    <xf numFmtId="170" fontId="30" fillId="5" borderId="24" xfId="0" applyNumberFormat="1" applyFont="1" applyFill="1" applyBorder="1" applyAlignment="1">
      <alignment horizontal="center" vertical="center"/>
    </xf>
    <xf numFmtId="170" fontId="61" fillId="5" borderId="29" xfId="0" applyNumberFormat="1" applyFont="1" applyFill="1" applyBorder="1" applyAlignment="1">
      <alignment horizontal="center" vertical="center"/>
    </xf>
    <xf numFmtId="167" fontId="61" fillId="5" borderId="24" xfId="2"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61" fillId="2" borderId="31" xfId="0" applyNumberFormat="1" applyFont="1" applyFill="1" applyBorder="1" applyAlignment="1">
      <alignment horizontal="center" vertical="center"/>
    </xf>
    <xf numFmtId="167" fontId="61" fillId="2" borderId="25" xfId="2"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61" fillId="5" borderId="31" xfId="0" applyNumberFormat="1" applyFont="1" applyFill="1" applyBorder="1" applyAlignment="1">
      <alignment horizontal="center" vertical="center"/>
    </xf>
    <xf numFmtId="167" fontId="61" fillId="5" borderId="25" xfId="2"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61" fillId="2" borderId="34" xfId="0" applyNumberFormat="1" applyFont="1" applyFill="1" applyBorder="1" applyAlignment="1">
      <alignment horizontal="center" vertical="center"/>
    </xf>
    <xf numFmtId="167" fontId="61" fillId="2" borderId="26" xfId="2" applyNumberFormat="1" applyFont="1" applyFill="1" applyBorder="1" applyAlignment="1">
      <alignment horizontal="center" vertical="center"/>
    </xf>
    <xf numFmtId="170" fontId="70" fillId="5" borderId="23" xfId="0" applyNumberFormat="1" applyFont="1" applyFill="1" applyBorder="1" applyAlignment="1">
      <alignment horizontal="center" vertical="center"/>
    </xf>
    <xf numFmtId="170" fontId="70" fillId="5" borderId="40" xfId="0" applyNumberFormat="1" applyFont="1" applyFill="1" applyBorder="1" applyAlignment="1">
      <alignment horizontal="center" vertical="center"/>
    </xf>
    <xf numFmtId="167" fontId="60" fillId="5" borderId="23" xfId="2" applyNumberFormat="1" applyFont="1" applyFill="1" applyBorder="1" applyAlignment="1">
      <alignment horizontal="center" vertical="center"/>
    </xf>
    <xf numFmtId="0" fontId="72"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71"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40" fillId="8" borderId="93" xfId="0" applyNumberFormat="1" applyFont="1" applyFill="1" applyBorder="1" applyAlignment="1">
      <alignment horizontal="center" vertical="center"/>
    </xf>
    <xf numFmtId="174" fontId="40" fillId="8" borderId="93" xfId="0" applyNumberFormat="1" applyFont="1" applyFill="1" applyBorder="1" applyAlignment="1">
      <alignment horizontal="center" vertical="center" wrapText="1"/>
    </xf>
    <xf numFmtId="0" fontId="71"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0" fillId="4" borderId="87" xfId="0" applyFont="1" applyFill="1" applyBorder="1"/>
    <xf numFmtId="43" fontId="70" fillId="4" borderId="87" xfId="1" applyFont="1" applyFill="1" applyBorder="1"/>
    <xf numFmtId="43" fontId="70" fillId="4" borderId="87" xfId="0" applyNumberFormat="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0" fillId="0" borderId="0" xfId="0" applyFont="1"/>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49" fillId="0" borderId="0" xfId="0" applyNumberFormat="1" applyFont="1"/>
    <xf numFmtId="0" fontId="76" fillId="0" borderId="0" xfId="0" applyFont="1"/>
    <xf numFmtId="0" fontId="77" fillId="0" borderId="0" xfId="0" applyFont="1" applyAlignment="1">
      <alignment vertical="center"/>
    </xf>
    <xf numFmtId="49" fontId="76" fillId="0" borderId="0" xfId="0" applyNumberFormat="1" applyFont="1" applyAlignment="1">
      <alignment horizontal="center"/>
    </xf>
    <xf numFmtId="1" fontId="76" fillId="0" borderId="0" xfId="0" applyNumberFormat="1" applyFont="1" applyAlignment="1">
      <alignment horizontal="center"/>
    </xf>
    <xf numFmtId="49" fontId="76" fillId="0" borderId="0" xfId="0" applyNumberFormat="1" applyFont="1" applyAlignment="1">
      <alignment horizontal="left"/>
    </xf>
    <xf numFmtId="1" fontId="76" fillId="0" borderId="0" xfId="0" applyNumberFormat="1" applyFont="1" applyAlignment="1">
      <alignment horizontal="left"/>
    </xf>
    <xf numFmtId="165" fontId="76" fillId="0" borderId="0" xfId="0" applyNumberFormat="1" applyFont="1" applyAlignment="1">
      <alignment horizontal="center"/>
    </xf>
    <xf numFmtId="10" fontId="76"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4" fontId="31" fillId="3" borderId="0" xfId="0" applyNumberFormat="1" applyFont="1" applyFill="1" applyAlignment="1">
      <alignment vertical="center"/>
    </xf>
    <xf numFmtId="174" fontId="35" fillId="8" borderId="57" xfId="0" applyNumberFormat="1" applyFont="1" applyFill="1" applyBorder="1" applyAlignment="1">
      <alignmen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0" fontId="70" fillId="4" borderId="0" xfId="0" applyFont="1" applyFill="1" applyBorder="1"/>
    <xf numFmtId="43" fontId="70" fillId="4" borderId="0" xfId="1" applyFont="1" applyFill="1" applyBorder="1"/>
    <xf numFmtId="0" fontId="30" fillId="0" borderId="0" xfId="0" applyFont="1" applyBorder="1" applyAlignment="1">
      <alignment vertical="center"/>
    </xf>
    <xf numFmtId="43" fontId="30" fillId="0" borderId="0" xfId="1" applyFont="1" applyBorder="1" applyAlignment="1">
      <alignment vertical="center"/>
    </xf>
    <xf numFmtId="0" fontId="30" fillId="2" borderId="0" xfId="0" applyFont="1" applyFill="1" applyBorder="1"/>
    <xf numFmtId="43" fontId="30" fillId="2" borderId="0" xfId="1" applyFont="1" applyFill="1" applyBorder="1"/>
    <xf numFmtId="4" fontId="35" fillId="8" borderId="120" xfId="0" applyNumberFormat="1" applyFont="1" applyFill="1" applyBorder="1" applyAlignment="1">
      <alignment vertical="center"/>
    </xf>
    <xf numFmtId="4" fontId="71"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71" fillId="8" borderId="120" xfId="2" applyNumberFormat="1" applyFont="1" applyFill="1" applyBorder="1" applyAlignment="1">
      <alignment vertical="center"/>
    </xf>
    <xf numFmtId="0" fontId="71"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36"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3" fillId="0" borderId="0" xfId="0" applyFont="1" applyAlignment="1">
      <alignment horizontal="center" vertical="center"/>
    </xf>
    <xf numFmtId="0" fontId="78" fillId="2" borderId="0" xfId="0" applyFont="1" applyFill="1" applyAlignment="1">
      <alignment horizontal="left" vertical="center" wrapText="1"/>
    </xf>
    <xf numFmtId="0" fontId="70" fillId="0" borderId="30" xfId="0" applyFont="1" applyBorder="1"/>
    <xf numFmtId="10" fontId="30" fillId="0" borderId="31" xfId="2" applyNumberFormat="1" applyFont="1" applyBorder="1"/>
    <xf numFmtId="0" fontId="70" fillId="4" borderId="133" xfId="0" applyFont="1" applyFill="1" applyBorder="1"/>
    <xf numFmtId="10" fontId="70" fillId="4" borderId="134" xfId="2" applyNumberFormat="1" applyFont="1" applyFill="1" applyBorder="1"/>
    <xf numFmtId="0" fontId="70" fillId="0" borderId="30" xfId="0" applyFont="1" applyBorder="1" applyAlignment="1">
      <alignment vertical="center" wrapText="1"/>
    </xf>
    <xf numFmtId="43" fontId="30" fillId="0" borderId="31" xfId="1" applyFont="1" applyBorder="1"/>
    <xf numFmtId="43" fontId="70" fillId="4" borderId="134" xfId="1" applyFont="1" applyFill="1" applyBorder="1"/>
    <xf numFmtId="0" fontId="30" fillId="0" borderId="31" xfId="0" applyFont="1" applyBorder="1"/>
    <xf numFmtId="0" fontId="70" fillId="2" borderId="30" xfId="0" applyFont="1" applyFill="1" applyBorder="1"/>
    <xf numFmtId="43" fontId="30" fillId="2" borderId="31" xfId="1" applyFont="1" applyFill="1" applyBorder="1"/>
    <xf numFmtId="0" fontId="70" fillId="4" borderId="135" xfId="0" applyFont="1" applyFill="1" applyBorder="1"/>
    <xf numFmtId="0" fontId="70" fillId="4" borderId="119" xfId="0" applyFont="1" applyFill="1" applyBorder="1"/>
    <xf numFmtId="43" fontId="70" fillId="4" borderId="119" xfId="1" applyFont="1" applyFill="1" applyBorder="1"/>
    <xf numFmtId="43" fontId="70" fillId="4" borderId="136" xfId="1" applyFont="1" applyFill="1" applyBorder="1"/>
    <xf numFmtId="0" fontId="70" fillId="0" borderId="30" xfId="0" applyFont="1" applyBorder="1" applyAlignment="1">
      <alignment wrapText="1"/>
    </xf>
    <xf numFmtId="43" fontId="30" fillId="0" borderId="31" xfId="1" applyFont="1" applyBorder="1" applyAlignment="1">
      <alignment vertical="center"/>
    </xf>
    <xf numFmtId="43" fontId="30" fillId="0" borderId="138" xfId="1" applyFont="1" applyBorder="1"/>
    <xf numFmtId="0" fontId="30" fillId="0" borderId="30" xfId="0" applyFont="1" applyBorder="1"/>
    <xf numFmtId="0" fontId="70" fillId="4" borderId="30" xfId="0" applyFont="1" applyFill="1" applyBorder="1"/>
    <xf numFmtId="43" fontId="70" fillId="4" borderId="31" xfId="1" applyFont="1" applyFill="1" applyBorder="1"/>
    <xf numFmtId="0" fontId="70"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0" fillId="0" borderId="138" xfId="2" applyFont="1" applyBorder="1"/>
    <xf numFmtId="10" fontId="30" fillId="0" borderId="138" xfId="2" applyNumberFormat="1" applyFont="1" applyBorder="1"/>
    <xf numFmtId="0" fontId="35" fillId="8" borderId="140"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41" xfId="0" applyFont="1" applyFill="1" applyBorder="1" applyAlignment="1">
      <alignment horizontal="center" vertical="center" wrapText="1"/>
    </xf>
    <xf numFmtId="0" fontId="60" fillId="4" borderId="143" xfId="0" applyFont="1" applyFill="1" applyBorder="1" applyAlignment="1">
      <alignment horizontal="center" vertical="center"/>
    </xf>
    <xf numFmtId="4" fontId="60" fillId="4" borderId="144" xfId="0" applyNumberFormat="1" applyFont="1" applyFill="1" applyBorder="1" applyAlignment="1">
      <alignment horizontal="center" vertical="center"/>
    </xf>
    <xf numFmtId="0" fontId="30" fillId="0" borderId="0" xfId="0" applyFont="1" applyAlignment="1">
      <alignment vertical="center"/>
    </xf>
    <xf numFmtId="0" fontId="79" fillId="0" borderId="0" xfId="0" applyFont="1"/>
    <xf numFmtId="0" fontId="79" fillId="0" borderId="0" xfId="0" applyFont="1" applyAlignment="1">
      <alignment horizontal="right"/>
    </xf>
    <xf numFmtId="0" fontId="80" fillId="4" borderId="142" xfId="0" applyFont="1" applyFill="1" applyBorder="1" applyAlignment="1">
      <alignment vertical="center"/>
    </xf>
    <xf numFmtId="0" fontId="27" fillId="4" borderId="49" xfId="0" applyFont="1" applyFill="1" applyBorder="1" applyAlignment="1">
      <alignment vertical="center" wrapText="1"/>
    </xf>
    <xf numFmtId="0" fontId="80" fillId="0" borderId="142" xfId="0" applyFont="1" applyFill="1" applyBorder="1" applyAlignment="1">
      <alignment vertical="center" wrapText="1"/>
    </xf>
    <xf numFmtId="0" fontId="61" fillId="0" borderId="143" xfId="0" applyFont="1" applyFill="1" applyBorder="1" applyAlignment="1">
      <alignment horizontal="center" vertical="center"/>
    </xf>
    <xf numFmtId="0" fontId="60" fillId="0" borderId="143" xfId="0" applyFont="1" applyFill="1" applyBorder="1" applyAlignment="1">
      <alignment horizontal="center" vertical="center"/>
    </xf>
    <xf numFmtId="4" fontId="61" fillId="0" borderId="144" xfId="0" applyNumberFormat="1" applyFont="1" applyFill="1" applyBorder="1" applyAlignment="1">
      <alignment horizontal="center" vertical="center"/>
    </xf>
    <xf numFmtId="0" fontId="74" fillId="0" borderId="0" xfId="0" applyFont="1"/>
    <xf numFmtId="2" fontId="74" fillId="0" borderId="0" xfId="0" applyNumberFormat="1" applyFont="1" applyAlignment="1">
      <alignment horizontal="center" vertical="center" wrapText="1"/>
    </xf>
    <xf numFmtId="2" fontId="74" fillId="0" borderId="0" xfId="0" quotePrefix="1" applyNumberFormat="1" applyFont="1" applyAlignment="1">
      <alignment horizontal="center" vertical="center" wrapText="1"/>
    </xf>
    <xf numFmtId="17" fontId="74" fillId="0" borderId="0" xfId="0" quotePrefix="1" applyNumberFormat="1" applyFont="1" applyAlignment="1">
      <alignment horizontal="center" vertical="center" wrapText="1"/>
    </xf>
    <xf numFmtId="0" fontId="74" fillId="0" borderId="0" xfId="0" quotePrefix="1" applyFont="1" applyAlignment="1">
      <alignment horizontal="center" vertical="center" wrapText="1"/>
    </xf>
    <xf numFmtId="2" fontId="74" fillId="0" borderId="0" xfId="0" applyNumberFormat="1" applyFont="1" applyAlignment="1">
      <alignment horizontal="left"/>
    </xf>
    <xf numFmtId="2" fontId="73" fillId="0" borderId="0" xfId="0" applyNumberFormat="1" applyFont="1" applyAlignment="1">
      <alignment horizontal="center"/>
    </xf>
    <xf numFmtId="2" fontId="74" fillId="0" borderId="0" xfId="0" applyNumberFormat="1" applyFont="1" applyAlignment="1">
      <alignment horizontal="center"/>
    </xf>
    <xf numFmtId="43" fontId="74" fillId="0" borderId="0" xfId="1" applyFont="1" applyAlignment="1">
      <alignment horizontal="left"/>
    </xf>
    <xf numFmtId="0" fontId="74" fillId="0" borderId="0" xfId="0" applyFont="1" applyAlignment="1">
      <alignment vertical="top" wrapText="1"/>
    </xf>
    <xf numFmtId="166" fontId="49" fillId="0" borderId="0" xfId="0" applyNumberFormat="1" applyFont="1" applyAlignment="1">
      <alignment vertical="center"/>
    </xf>
    <xf numFmtId="172" fontId="66" fillId="7" borderId="0" xfId="3" applyNumberFormat="1" applyFont="1" applyFill="1" applyAlignment="1">
      <alignment horizontal="center"/>
    </xf>
    <xf numFmtId="175" fontId="64" fillId="0" borderId="0" xfId="0" applyNumberFormat="1" applyFont="1" applyAlignment="1">
      <alignment vertical="center"/>
    </xf>
    <xf numFmtId="0" fontId="81" fillId="0" borderId="0" xfId="0" applyFont="1"/>
    <xf numFmtId="176" fontId="21" fillId="0" borderId="39" xfId="2" applyNumberFormat="1" applyFont="1" applyBorder="1" applyAlignment="1">
      <alignment horizontal="right" vertical="center"/>
    </xf>
    <xf numFmtId="0" fontId="0" fillId="0" borderId="0" xfId="0"/>
    <xf numFmtId="0" fontId="82" fillId="0" borderId="0" xfId="0" applyFont="1"/>
    <xf numFmtId="166" fontId="64" fillId="7" borderId="0" xfId="0" applyNumberFormat="1" applyFont="1" applyFill="1"/>
    <xf numFmtId="0" fontId="82" fillId="0" borderId="0" xfId="0" applyFont="1" applyAlignment="1">
      <alignment horizontal="center"/>
    </xf>
    <xf numFmtId="175" fontId="82" fillId="0" borderId="0" xfId="0" applyNumberFormat="1" applyFont="1" applyAlignment="1">
      <alignment horizontal="center"/>
    </xf>
    <xf numFmtId="17" fontId="51" fillId="0" borderId="0" xfId="0" applyNumberFormat="1" applyFont="1" applyAlignment="1">
      <alignment horizontal="center" vertical="center"/>
    </xf>
    <xf numFmtId="2" fontId="51" fillId="0" borderId="0" xfId="0" applyNumberFormat="1" applyFont="1" applyAlignment="1">
      <alignment horizontal="center" vertical="center"/>
    </xf>
    <xf numFmtId="2" fontId="51"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1" fillId="3" borderId="91" xfId="0" applyFont="1" applyFill="1" applyBorder="1" applyAlignment="1">
      <alignment vertical="center"/>
    </xf>
    <xf numFmtId="174" fontId="31" fillId="3" borderId="91"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0" fillId="4" borderId="133" xfId="0" applyFont="1" applyFill="1" applyBorder="1" applyAlignment="1">
      <alignment wrapText="1"/>
    </xf>
    <xf numFmtId="0" fontId="83" fillId="0" borderId="0" xfId="0" applyFont="1" applyAlignment="1">
      <alignment vertical="center"/>
    </xf>
    <xf numFmtId="49" fontId="63" fillId="0" borderId="0" xfId="0" applyNumberFormat="1" applyFont="1" applyAlignment="1">
      <alignment horizontal="right"/>
    </xf>
    <xf numFmtId="1" fontId="63" fillId="0" borderId="0" xfId="0" applyNumberFormat="1" applyFont="1" applyAlignment="1">
      <alignment horizontal="right"/>
    </xf>
    <xf numFmtId="0" fontId="63" fillId="0" borderId="0" xfId="0" applyFont="1" applyAlignment="1">
      <alignment horizontal="right"/>
    </xf>
    <xf numFmtId="1" fontId="29"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0" fontId="84" fillId="0" borderId="0" xfId="0" applyFont="1"/>
    <xf numFmtId="175" fontId="84" fillId="0" borderId="0" xfId="0" applyNumberFormat="1" applyFont="1"/>
    <xf numFmtId="175" fontId="84" fillId="0" borderId="0" xfId="0" applyNumberFormat="1" applyFont="1" applyAlignment="1">
      <alignment horizontal="center"/>
    </xf>
    <xf numFmtId="0" fontId="84" fillId="0" borderId="0" xfId="0" applyFont="1" applyAlignment="1">
      <alignment horizontal="center"/>
    </xf>
    <xf numFmtId="0" fontId="27" fillId="4" borderId="0" xfId="0" applyFont="1" applyFill="1" applyBorder="1" applyAlignment="1">
      <alignment vertical="center"/>
    </xf>
    <xf numFmtId="167" fontId="32"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3" fillId="0" borderId="0" xfId="0" applyNumberFormat="1" applyFont="1"/>
    <xf numFmtId="9" fontId="21" fillId="4" borderId="78" xfId="2" applyFont="1" applyFill="1" applyBorder="1" applyAlignment="1">
      <alignment horizontal="center" vertical="center"/>
    </xf>
    <xf numFmtId="0" fontId="30" fillId="0" borderId="0" xfId="0" applyFont="1" applyAlignment="1">
      <alignment vertical="center" wrapText="1"/>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4" fillId="0" borderId="0" xfId="0" applyFont="1" applyAlignment="1">
      <alignment horizontal="right"/>
    </xf>
    <xf numFmtId="0" fontId="85" fillId="0" borderId="0" xfId="0" applyFont="1"/>
    <xf numFmtId="0" fontId="86" fillId="0" borderId="0" xfId="0" applyFont="1" applyAlignment="1">
      <alignment vertical="center"/>
    </xf>
    <xf numFmtId="0" fontId="86" fillId="0" borderId="0" xfId="0" applyFont="1"/>
    <xf numFmtId="2" fontId="55" fillId="0" borderId="0" xfId="3" applyNumberFormat="1" applyFont="1" applyAlignment="1">
      <alignment horizontal="right"/>
    </xf>
    <xf numFmtId="0" fontId="59"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35" fillId="0" borderId="0" xfId="0" quotePrefix="1" applyFont="1" applyFill="1" applyBorder="1" applyAlignment="1">
      <alignment horizontal="left" vertical="center"/>
    </xf>
    <xf numFmtId="168" fontId="35" fillId="0" borderId="0" xfId="0" applyNumberFormat="1" applyFont="1" applyFill="1" applyBorder="1" applyAlignment="1">
      <alignment horizontal="right" vertical="center"/>
    </xf>
    <xf numFmtId="168" fontId="35" fillId="0" borderId="0" xfId="0" applyNumberFormat="1" applyFont="1" applyFill="1" applyBorder="1" applyAlignment="1">
      <alignment horizontal="left" vertical="center"/>
    </xf>
    <xf numFmtId="0" fontId="35" fillId="0" borderId="0" xfId="2" applyNumberFormat="1" applyFont="1" applyFill="1" applyBorder="1" applyAlignment="1">
      <alignment horizontal="left" vertical="center"/>
    </xf>
    <xf numFmtId="0" fontId="35" fillId="0" borderId="0" xfId="2" applyNumberFormat="1" applyFont="1" applyFill="1" applyBorder="1" applyAlignment="1">
      <alignment horizontal="center" vertical="center"/>
    </xf>
    <xf numFmtId="4" fontId="35" fillId="0" borderId="0" xfId="0" applyNumberFormat="1" applyFont="1" applyFill="1" applyBorder="1" applyAlignment="1">
      <alignment horizontal="center" vertical="center"/>
    </xf>
    <xf numFmtId="0" fontId="35" fillId="0" borderId="0" xfId="0" applyFont="1" applyFill="1" applyBorder="1" applyAlignment="1">
      <alignment horizontal="center" vertical="center"/>
    </xf>
    <xf numFmtId="0" fontId="70" fillId="4" borderId="133" xfId="0" applyFont="1" applyFill="1" applyBorder="1" applyAlignment="1"/>
    <xf numFmtId="43" fontId="30" fillId="0" borderId="145" xfId="0" applyNumberFormat="1" applyFont="1" applyBorder="1"/>
    <xf numFmtId="43" fontId="70" fillId="4" borderId="146" xfId="0" applyNumberFormat="1" applyFont="1" applyFill="1" applyBorder="1"/>
    <xf numFmtId="43" fontId="30" fillId="0" borderId="147" xfId="0" applyNumberFormat="1" applyFont="1" applyBorder="1"/>
    <xf numFmtId="43" fontId="30" fillId="0" borderId="148" xfId="0" applyNumberFormat="1" applyFont="1" applyBorder="1"/>
    <xf numFmtId="43" fontId="70" fillId="4" borderId="149" xfId="0" applyNumberFormat="1" applyFont="1" applyFill="1" applyBorder="1"/>
    <xf numFmtId="43" fontId="30" fillId="0" borderId="150" xfId="0" applyNumberFormat="1" applyFont="1" applyBorder="1"/>
    <xf numFmtId="0" fontId="70" fillId="0" borderId="30" xfId="0" applyFont="1" applyBorder="1" applyAlignment="1">
      <alignment vertical="center"/>
    </xf>
    <xf numFmtId="43" fontId="30" fillId="0" borderId="0" xfId="0" applyNumberFormat="1" applyFont="1" applyBorder="1" applyAlignment="1">
      <alignment vertical="center"/>
    </xf>
    <xf numFmtId="43" fontId="30" fillId="0" borderId="147" xfId="0" applyNumberFormat="1" applyFont="1" applyBorder="1" applyAlignment="1">
      <alignment vertical="center"/>
    </xf>
    <xf numFmtId="43" fontId="30" fillId="0" borderId="150" xfId="0" applyNumberFormat="1" applyFont="1" applyBorder="1" applyAlignment="1">
      <alignment vertical="center"/>
    </xf>
    <xf numFmtId="10" fontId="30" fillId="0" borderId="31" xfId="2" applyNumberFormat="1" applyFont="1" applyBorder="1" applyAlignment="1">
      <alignment vertical="center"/>
    </xf>
    <xf numFmtId="0" fontId="70" fillId="4" borderId="133" xfId="0" applyFont="1" applyFill="1" applyBorder="1" applyAlignment="1">
      <alignment vertical="center"/>
    </xf>
    <xf numFmtId="0" fontId="70" fillId="4" borderId="87" xfId="0" applyFont="1" applyFill="1" applyBorder="1" applyAlignment="1">
      <alignment vertical="center"/>
    </xf>
    <xf numFmtId="43" fontId="70" fillId="4" borderId="87" xfId="0" applyNumberFormat="1" applyFont="1" applyFill="1" applyBorder="1" applyAlignment="1">
      <alignment vertical="center"/>
    </xf>
    <xf numFmtId="43" fontId="70" fillId="4" borderId="146" xfId="0" applyNumberFormat="1" applyFont="1" applyFill="1" applyBorder="1" applyAlignment="1">
      <alignment vertical="center"/>
    </xf>
    <xf numFmtId="43" fontId="70" fillId="4" borderId="149" xfId="0" applyNumberFormat="1" applyFont="1" applyFill="1" applyBorder="1" applyAlignment="1">
      <alignment vertical="center"/>
    </xf>
    <xf numFmtId="10" fontId="70" fillId="4" borderId="134" xfId="2" applyNumberFormat="1" applyFont="1" applyFill="1" applyBorder="1" applyAlignment="1">
      <alignment vertical="center"/>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59"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22" fontId="59" fillId="0" borderId="72" xfId="9" applyNumberFormat="1" applyFont="1" applyBorder="1" applyAlignment="1">
      <alignment horizontal="center" vertical="center" wrapText="1"/>
    </xf>
    <xf numFmtId="0" fontId="59"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61" fillId="0" borderId="78" xfId="1" applyFont="1" applyBorder="1" applyAlignment="1">
      <alignment vertical="center" wrapText="1"/>
    </xf>
    <xf numFmtId="0" fontId="61"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174" fontId="0" fillId="0" borderId="0" xfId="0" applyNumberFormat="1" applyAlignment="1">
      <alignment horizontal="right"/>
    </xf>
    <xf numFmtId="43" fontId="64" fillId="0" borderId="0" xfId="1" applyFont="1"/>
    <xf numFmtId="43" fontId="64" fillId="0" borderId="0" xfId="1" applyFont="1" applyAlignment="1">
      <alignment vertical="center"/>
    </xf>
    <xf numFmtId="0" fontId="27" fillId="2" borderId="0" xfId="0" applyFont="1" applyFill="1" applyBorder="1" applyAlignment="1">
      <alignment vertical="center"/>
    </xf>
    <xf numFmtId="43" fontId="27" fillId="2" borderId="0" xfId="0" applyNumberFormat="1" applyFont="1" applyFill="1" applyBorder="1" applyAlignment="1">
      <alignment vertical="center"/>
    </xf>
    <xf numFmtId="167" fontId="32" fillId="2" borderId="0" xfId="2" applyNumberFormat="1" applyFont="1" applyFill="1" applyBorder="1" applyAlignment="1">
      <alignment vertical="center"/>
    </xf>
    <xf numFmtId="170" fontId="27" fillId="2" borderId="0" xfId="0" applyNumberFormat="1" applyFont="1" applyFill="1" applyBorder="1" applyAlignment="1">
      <alignment vertical="center"/>
    </xf>
    <xf numFmtId="49" fontId="43" fillId="0" borderId="0" xfId="0" applyNumberFormat="1" applyFont="1" applyAlignment="1">
      <alignment horizontal="center"/>
    </xf>
    <xf numFmtId="0" fontId="43" fillId="0" borderId="0" xfId="0" applyFont="1" applyAlignment="1">
      <alignment horizontal="center"/>
    </xf>
    <xf numFmtId="2" fontId="43" fillId="0" borderId="0" xfId="0" applyNumberFormat="1" applyFont="1"/>
    <xf numFmtId="10" fontId="43" fillId="0" borderId="0" xfId="2" applyNumberFormat="1" applyFont="1"/>
    <xf numFmtId="0" fontId="27" fillId="2" borderId="0" xfId="0" applyFont="1" applyFill="1" applyBorder="1" applyAlignment="1">
      <alignment vertical="center" wrapText="1"/>
    </xf>
    <xf numFmtId="2" fontId="64" fillId="0" borderId="0" xfId="0" applyNumberFormat="1" applyFont="1"/>
    <xf numFmtId="0" fontId="64" fillId="0" borderId="0" xfId="0" applyFont="1" applyAlignment="1">
      <alignment horizontal="center" vertical="center"/>
    </xf>
    <xf numFmtId="166" fontId="64" fillId="0" borderId="0" xfId="0" applyNumberFormat="1" applyFont="1" applyAlignment="1">
      <alignment vertical="center"/>
    </xf>
    <xf numFmtId="166" fontId="64" fillId="0" borderId="0" xfId="0" applyNumberFormat="1" applyFont="1" applyAlignment="1">
      <alignment horizontal="right" vertical="center"/>
    </xf>
    <xf numFmtId="166" fontId="64" fillId="0" borderId="0" xfId="7" applyNumberFormat="1" applyFont="1" applyAlignment="1">
      <alignment vertical="center"/>
    </xf>
    <xf numFmtId="0" fontId="64" fillId="0" borderId="0" xfId="0" applyFont="1" applyAlignment="1">
      <alignment horizontal="right" vertical="center"/>
    </xf>
    <xf numFmtId="0" fontId="0" fillId="0" borderId="0" xfId="0" applyFont="1" applyAlignment="1">
      <alignment horizontal="center" vertical="center"/>
    </xf>
    <xf numFmtId="43" fontId="35" fillId="8" borderId="151" xfId="1" applyFont="1" applyFill="1" applyBorder="1" applyAlignment="1">
      <alignment horizontal="center" vertical="center" wrapText="1"/>
    </xf>
    <xf numFmtId="0" fontId="35" fillId="8" borderId="152" xfId="0" applyFont="1" applyFill="1" applyBorder="1" applyAlignment="1">
      <alignment horizontal="center" vertical="center" wrapText="1"/>
    </xf>
    <xf numFmtId="0" fontId="35" fillId="8" borderId="0" xfId="0" applyFont="1" applyFill="1" applyBorder="1" applyAlignment="1">
      <alignment horizontal="center" vertical="center" wrapText="1"/>
    </xf>
    <xf numFmtId="0" fontId="80" fillId="0" borderId="153" xfId="0" applyFont="1" applyFill="1" applyBorder="1" applyAlignment="1">
      <alignment vertical="center" wrapText="1"/>
    </xf>
    <xf numFmtId="0" fontId="61" fillId="0" borderId="154" xfId="0" applyFont="1" applyFill="1" applyBorder="1" applyAlignment="1">
      <alignment horizontal="center" vertical="center"/>
    </xf>
    <xf numFmtId="4" fontId="61" fillId="0" borderId="15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56" xfId="0" applyNumberFormat="1" applyFont="1" applyFill="1" applyBorder="1" applyAlignment="1">
      <alignment horizontal="center" vertical="center" wrapText="1"/>
    </xf>
    <xf numFmtId="169" fontId="35" fillId="8" borderId="156" xfId="0" applyNumberFormat="1" applyFont="1" applyFill="1" applyBorder="1" applyAlignment="1">
      <alignment horizontal="center" vertical="center" wrapText="1"/>
    </xf>
    <xf numFmtId="0" fontId="35" fillId="8" borderId="156" xfId="0" applyFont="1" applyFill="1" applyBorder="1" applyAlignment="1">
      <alignment horizontal="center" vertical="center" wrapText="1"/>
    </xf>
    <xf numFmtId="0" fontId="35" fillId="8" borderId="157" xfId="0" applyFont="1" applyFill="1" applyBorder="1" applyAlignment="1">
      <alignment horizontal="center" vertical="center" wrapText="1"/>
    </xf>
    <xf numFmtId="0" fontId="35" fillId="8" borderId="158" xfId="0" quotePrefix="1" applyFont="1" applyFill="1" applyBorder="1" applyAlignment="1">
      <alignment horizontal="left" vertical="center"/>
    </xf>
    <xf numFmtId="168" fontId="35" fillId="8" borderId="159" xfId="0" applyNumberFormat="1" applyFont="1" applyFill="1" applyBorder="1" applyAlignment="1">
      <alignment horizontal="right" vertical="center"/>
    </xf>
    <xf numFmtId="168" fontId="35" fillId="8" borderId="159" xfId="0" applyNumberFormat="1" applyFont="1" applyFill="1" applyBorder="1" applyAlignment="1">
      <alignment horizontal="left" vertical="center"/>
    </xf>
    <xf numFmtId="0" fontId="35" fillId="8" borderId="159" xfId="2" applyNumberFormat="1" applyFont="1" applyFill="1" applyBorder="1" applyAlignment="1">
      <alignment horizontal="left" vertical="center"/>
    </xf>
    <xf numFmtId="0" fontId="35" fillId="8" borderId="160" xfId="2" applyNumberFormat="1" applyFont="1" applyFill="1" applyBorder="1" applyAlignment="1">
      <alignment horizontal="center" vertical="center"/>
    </xf>
    <xf numFmtId="4" fontId="35" fillId="8" borderId="161" xfId="0" applyNumberFormat="1" applyFont="1" applyFill="1" applyBorder="1" applyAlignment="1">
      <alignment horizontal="center" vertical="center"/>
    </xf>
    <xf numFmtId="0" fontId="35" fillId="8" borderId="161" xfId="0" applyFont="1" applyFill="1" applyBorder="1" applyAlignment="1">
      <alignment horizontal="center" vertical="center"/>
    </xf>
    <xf numFmtId="0" fontId="59" fillId="2" borderId="161" xfId="0" quotePrefix="1" applyFont="1" applyFill="1" applyBorder="1" applyAlignment="1">
      <alignment vertical="center" wrapText="1"/>
    </xf>
    <xf numFmtId="168" fontId="30" fillId="2" borderId="161" xfId="0" applyNumberFormat="1" applyFont="1" applyFill="1" applyBorder="1" applyAlignment="1">
      <alignment horizontal="center" vertical="center" wrapText="1"/>
    </xf>
    <xf numFmtId="0" fontId="30" fillId="2" borderId="161" xfId="2" applyNumberFormat="1" applyFont="1" applyFill="1" applyBorder="1" applyAlignment="1">
      <alignment horizontal="center" vertical="center" wrapText="1"/>
    </xf>
    <xf numFmtId="2" fontId="30" fillId="2" borderId="161" xfId="2" applyNumberFormat="1" applyFont="1" applyFill="1" applyBorder="1" applyAlignment="1">
      <alignment horizontal="center" vertical="center" wrapText="1"/>
    </xf>
    <xf numFmtId="4" fontId="30" fillId="2" borderId="161" xfId="0" applyNumberFormat="1" applyFont="1" applyFill="1" applyBorder="1" applyAlignment="1">
      <alignment horizontal="center" vertical="center" wrapText="1"/>
    </xf>
    <xf numFmtId="0" fontId="30" fillId="2" borderId="161" xfId="0" applyFont="1" applyFill="1" applyBorder="1" applyAlignment="1">
      <alignment horizontal="center" vertical="center" wrapText="1"/>
    </xf>
    <xf numFmtId="0" fontId="29" fillId="0" borderId="0" xfId="0" applyFont="1" applyAlignment="1">
      <alignment horizontal="left" vertical="center"/>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174" fontId="13" fillId="0" borderId="93" xfId="0" applyNumberFormat="1" applyFont="1" applyBorder="1" applyAlignment="1">
      <alignment horizontal="center"/>
    </xf>
    <xf numFmtId="174" fontId="13" fillId="11" borderId="93" xfId="0" applyNumberFormat="1" applyFont="1" applyFill="1" applyBorder="1" applyAlignment="1">
      <alignment horizontal="center"/>
    </xf>
    <xf numFmtId="43" fontId="61" fillId="0" borderId="78" xfId="1" applyFont="1" applyBorder="1" applyAlignment="1">
      <alignment horizontal="center" vertical="center" wrapText="1"/>
    </xf>
    <xf numFmtId="0" fontId="0" fillId="0" borderId="0" xfId="0" applyFont="1" applyAlignment="1">
      <alignment vertical="center" wrapText="1"/>
    </xf>
    <xf numFmtId="0" fontId="84" fillId="0" borderId="0" xfId="0" applyFont="1" applyAlignment="1">
      <alignment vertical="center"/>
    </xf>
    <xf numFmtId="0" fontId="12" fillId="0" borderId="0" xfId="0" applyFont="1" applyAlignment="1">
      <alignment horizontal="center" vertical="center"/>
    </xf>
    <xf numFmtId="0" fontId="8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0" fillId="5" borderId="38" xfId="0" applyFont="1" applyFill="1" applyBorder="1" applyAlignment="1">
      <alignment horizontal="left" vertical="center"/>
    </xf>
    <xf numFmtId="0" fontId="60"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36" fillId="0" borderId="0" xfId="0" applyFont="1" applyAlignment="1">
      <alignment horizontal="left" wrapText="1"/>
    </xf>
    <xf numFmtId="0" fontId="12" fillId="2" borderId="0" xfId="0" applyFont="1" applyFill="1" applyAlignment="1">
      <alignment horizontal="center" vertical="center" wrapText="1"/>
    </xf>
    <xf numFmtId="0" fontId="60" fillId="5" borderId="27" xfId="0" applyFont="1" applyFill="1" applyBorder="1" applyAlignment="1">
      <alignment horizontal="left" vertical="center"/>
    </xf>
    <xf numFmtId="0" fontId="60" fillId="5" borderId="29" xfId="0" applyFont="1" applyFill="1" applyBorder="1" applyAlignment="1">
      <alignment horizontal="left" vertical="center"/>
    </xf>
    <xf numFmtId="0" fontId="60" fillId="2" borderId="30" xfId="0" applyFont="1" applyFill="1" applyBorder="1" applyAlignment="1">
      <alignment horizontal="left" vertical="center"/>
    </xf>
    <xf numFmtId="0" fontId="60" fillId="2" borderId="31" xfId="0" applyFont="1" applyFill="1" applyBorder="1" applyAlignment="1">
      <alignment horizontal="left" vertical="center"/>
    </xf>
    <xf numFmtId="0" fontId="60" fillId="5" borderId="30" xfId="0" applyFont="1" applyFill="1" applyBorder="1" applyAlignment="1">
      <alignment horizontal="left" vertical="center"/>
    </xf>
    <xf numFmtId="0" fontId="60" fillId="5" borderId="31" xfId="0" applyFont="1" applyFill="1" applyBorder="1" applyAlignment="1">
      <alignment horizontal="left" vertical="center"/>
    </xf>
    <xf numFmtId="0" fontId="60" fillId="2" borderId="32" xfId="0" applyFont="1" applyFill="1" applyBorder="1" applyAlignment="1">
      <alignment horizontal="left" vertical="center"/>
    </xf>
    <xf numFmtId="0" fontId="60" fillId="2" borderId="34" xfId="0" applyFont="1" applyFill="1" applyBorder="1" applyAlignment="1">
      <alignment horizontal="left" vertical="center"/>
    </xf>
    <xf numFmtId="0" fontId="61" fillId="2" borderId="0" xfId="0" quotePrefix="1" applyFont="1" applyFill="1" applyAlignment="1">
      <alignment horizontal="left" vertical="center"/>
    </xf>
    <xf numFmtId="0" fontId="61" fillId="2" borderId="0" xfId="0" quotePrefix="1" applyFont="1" applyFill="1" applyAlignment="1">
      <alignment horizontal="left" vertical="center" wrapText="1"/>
    </xf>
    <xf numFmtId="0" fontId="30"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75" fillId="2" borderId="0" xfId="0" applyFont="1" applyFill="1" applyAlignment="1">
      <alignment horizontal="left" vertical="center"/>
    </xf>
    <xf numFmtId="43" fontId="61" fillId="0" borderId="78" xfId="1" applyFont="1" applyBorder="1" applyAlignment="1">
      <alignment horizontal="center" vertical="center" wrapText="1"/>
    </xf>
    <xf numFmtId="43" fontId="35" fillId="8" borderId="82" xfId="1" applyFont="1" applyFill="1" applyBorder="1" applyAlignment="1">
      <alignment horizontal="center" vertical="center" wrapText="1"/>
    </xf>
    <xf numFmtId="43" fontId="35" fillId="8" borderId="13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Alignment="1">
      <alignment horizontal="left" vertical="center" wrapText="1"/>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40" fillId="8" borderId="93" xfId="0" applyFont="1" applyFill="1" applyBorder="1" applyAlignment="1">
      <alignment horizontal="center" vertical="center"/>
    </xf>
    <xf numFmtId="174" fontId="40" fillId="8" borderId="93" xfId="0" applyNumberFormat="1" applyFont="1" applyFill="1" applyBorder="1" applyAlignment="1">
      <alignment horizontal="center"/>
    </xf>
  </cellXfs>
  <cellStyles count="11">
    <cellStyle name="Millares" xfId="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2">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2043.4385303474994</c:v>
                </c:pt>
                <c:pt idx="1">
                  <c:v>1851.0561698024999</c:v>
                </c:pt>
                <c:pt idx="2">
                  <c:v>0</c:v>
                </c:pt>
                <c:pt idx="3">
                  <c:v>0.21856425000000002</c:v>
                </c:pt>
                <c:pt idx="4">
                  <c:v>14.2059833925</c:v>
                </c:pt>
                <c:pt idx="5">
                  <c:v>169.46536025500001</c:v>
                </c:pt>
                <c:pt idx="6">
                  <c:v>61.040101507499998</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1851.0561698024999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0.21856425000000002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14.2059833925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169.46536025500001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61.040101507499998</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RER'!$L$36:$L$40</c:f>
              <c:strCache>
                <c:ptCount val="5"/>
                <c:pt idx="0">
                  <c:v>C.E. WAYRA I</c:v>
                </c:pt>
                <c:pt idx="1">
                  <c:v>C.E. TRES HERMANAS</c:v>
                </c:pt>
                <c:pt idx="2">
                  <c:v>C.E. CUPISNIQUE</c:v>
                </c:pt>
                <c:pt idx="3">
                  <c:v>C.E. MARCONA</c:v>
                </c:pt>
                <c:pt idx="4">
                  <c:v>C.E. TALARA</c:v>
                </c:pt>
              </c:strCache>
            </c:strRef>
          </c:cat>
          <c:val>
            <c:numRef>
              <c:f>'6. FP RER'!$O$36:$O$40</c:f>
              <c:numCache>
                <c:formatCode>0.00</c:formatCode>
                <c:ptCount val="5"/>
                <c:pt idx="0">
                  <c:v>61.208444825000001</c:v>
                </c:pt>
                <c:pt idx="1">
                  <c:v>49.661995284999996</c:v>
                </c:pt>
                <c:pt idx="2">
                  <c:v>27.029502667500001</c:v>
                </c:pt>
                <c:pt idx="3">
                  <c:v>17.020225054999997</c:v>
                </c:pt>
                <c:pt idx="4">
                  <c:v>14.5451924225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RER'!$L$36:$L$40</c:f>
              <c:strCache>
                <c:ptCount val="5"/>
                <c:pt idx="0">
                  <c:v>C.E. WAYRA I</c:v>
                </c:pt>
                <c:pt idx="1">
                  <c:v>C.E. TRES HERMANAS</c:v>
                </c:pt>
                <c:pt idx="2">
                  <c:v>C.E. CUPISNIQUE</c:v>
                </c:pt>
                <c:pt idx="3">
                  <c:v>C.E. MARCONA</c:v>
                </c:pt>
                <c:pt idx="4">
                  <c:v>C.E. TALARA</c:v>
                </c:pt>
              </c:strCache>
            </c:strRef>
          </c:cat>
          <c:val>
            <c:numRef>
              <c:f>'6. FP RER'!$P$36:$P$40</c:f>
              <c:numCache>
                <c:formatCode>0.00</c:formatCode>
                <c:ptCount val="5"/>
                <c:pt idx="0">
                  <c:v>0.62183987216451686</c:v>
                </c:pt>
                <c:pt idx="1">
                  <c:v>0.68708176698542867</c:v>
                </c:pt>
                <c:pt idx="2">
                  <c:v>0.43692094652590535</c:v>
                </c:pt>
                <c:pt idx="3">
                  <c:v>0.71489520560315856</c:v>
                </c:pt>
                <c:pt idx="4">
                  <c:v>0.63350582680454215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RER'!$L$41:$L$47</c:f>
              <c:strCache>
                <c:ptCount val="7"/>
                <c:pt idx="0">
                  <c:v>C.S. RUBI</c:v>
                </c:pt>
                <c:pt idx="1">
                  <c:v>C.S. INTIPAMPA</c:v>
                </c:pt>
                <c:pt idx="2">
                  <c:v>C.S. PANAMERICANA SOLAR</c:v>
                </c:pt>
                <c:pt idx="3">
                  <c:v>C.S. MOQUEGUA FV</c:v>
                </c:pt>
                <c:pt idx="4">
                  <c:v>C.S. TACNA SOLAR</c:v>
                </c:pt>
                <c:pt idx="5">
                  <c:v>C.S. REPARTICION</c:v>
                </c:pt>
                <c:pt idx="6">
                  <c:v>C.S. MAJES SOLAR</c:v>
                </c:pt>
              </c:strCache>
            </c:strRef>
          </c:cat>
          <c:val>
            <c:numRef>
              <c:f>'6. FP RER'!$O$41:$O$47</c:f>
              <c:numCache>
                <c:formatCode>0.00</c:formatCode>
                <c:ptCount val="7"/>
                <c:pt idx="0">
                  <c:v>33.953613977499998</c:v>
                </c:pt>
                <c:pt idx="1">
                  <c:v>8.1632218774999998</c:v>
                </c:pt>
                <c:pt idx="2">
                  <c:v>4.4507572149999994</c:v>
                </c:pt>
                <c:pt idx="3">
                  <c:v>3.7366510650000002</c:v>
                </c:pt>
                <c:pt idx="4">
                  <c:v>3.7283089899999999</c:v>
                </c:pt>
                <c:pt idx="5">
                  <c:v>3.5239659825</c:v>
                </c:pt>
                <c:pt idx="6">
                  <c:v>3.4835824</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RER'!$L$41:$L$47</c:f>
              <c:strCache>
                <c:ptCount val="7"/>
                <c:pt idx="0">
                  <c:v>C.S. RUBI</c:v>
                </c:pt>
                <c:pt idx="1">
                  <c:v>C.S. INTIPAMPA</c:v>
                </c:pt>
                <c:pt idx="2">
                  <c:v>C.S. PANAMERICANA SOLAR</c:v>
                </c:pt>
                <c:pt idx="3">
                  <c:v>C.S. MOQUEGUA FV</c:v>
                </c:pt>
                <c:pt idx="4">
                  <c:v>C.S. TACNA SOLAR</c:v>
                </c:pt>
                <c:pt idx="5">
                  <c:v>C.S. REPARTICION</c:v>
                </c:pt>
                <c:pt idx="6">
                  <c:v>C.S. MAJES SOLAR</c:v>
                </c:pt>
              </c:strCache>
            </c:strRef>
          </c:cat>
          <c:val>
            <c:numRef>
              <c:f>'6. FP RER'!$P$41:$P$47</c:f>
              <c:numCache>
                <c:formatCode>0.00</c:formatCode>
                <c:ptCount val="7"/>
                <c:pt idx="0">
                  <c:v>0.31586778742211596</c:v>
                </c:pt>
                <c:pt idx="1">
                  <c:v>0.24634199407262289</c:v>
                </c:pt>
                <c:pt idx="2">
                  <c:v>0.29911002788978491</c:v>
                </c:pt>
                <c:pt idx="3">
                  <c:v>0.31389877898185486</c:v>
                </c:pt>
                <c:pt idx="4">
                  <c:v>0.25055839986559142</c:v>
                </c:pt>
                <c:pt idx="5">
                  <c:v>0.23682567086693548</c:v>
                </c:pt>
                <c:pt idx="6">
                  <c:v>0.2341117204301075</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RER'!$L$48:$L$52</c:f>
              <c:strCache>
                <c:ptCount val="5"/>
                <c:pt idx="0">
                  <c:v>C.T. PARAMONGA</c:v>
                </c:pt>
                <c:pt idx="1">
                  <c:v>C.T. HUAYCOLORO</c:v>
                </c:pt>
                <c:pt idx="2">
                  <c:v>C.T. LA GRINGA</c:v>
                </c:pt>
                <c:pt idx="3">
                  <c:v>C.T. CALLAO</c:v>
                </c:pt>
                <c:pt idx="4">
                  <c:v>C.T. DOÑA CATALINA</c:v>
                </c:pt>
              </c:strCache>
            </c:strRef>
          </c:cat>
          <c:val>
            <c:numRef>
              <c:f>'6. FP RER'!$O$48:$O$52</c:f>
              <c:numCache>
                <c:formatCode>0.00</c:formatCode>
                <c:ptCount val="5"/>
                <c:pt idx="0">
                  <c:v>4.2733535975000008</c:v>
                </c:pt>
                <c:pt idx="1">
                  <c:v>2.2567155274999999</c:v>
                </c:pt>
                <c:pt idx="2">
                  <c:v>1.289411745</c:v>
                </c:pt>
                <c:pt idx="3">
                  <c:v>1.0592379999999999</c:v>
                </c:pt>
                <c:pt idx="4">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RER'!$L$48:$L$51</c:f>
              <c:strCache>
                <c:ptCount val="4"/>
                <c:pt idx="0">
                  <c:v>C.T. PARAMONGA</c:v>
                </c:pt>
                <c:pt idx="1">
                  <c:v>C.T. HUAYCOLORO</c:v>
                </c:pt>
                <c:pt idx="2">
                  <c:v>C.T. LA GRINGA</c:v>
                </c:pt>
                <c:pt idx="3">
                  <c:v>C.T. CALLAO</c:v>
                </c:pt>
              </c:strCache>
            </c:strRef>
          </c:cat>
          <c:val>
            <c:numRef>
              <c:f>'6. FP RER'!$P$48:$P$52</c:f>
              <c:numCache>
                <c:formatCode>0.00</c:formatCode>
                <c:ptCount val="5"/>
                <c:pt idx="0">
                  <c:v>0.45080702417378971</c:v>
                </c:pt>
                <c:pt idx="1">
                  <c:v>0.71160581701510417</c:v>
                </c:pt>
                <c:pt idx="2">
                  <c:v>0.58674892589611505</c:v>
                </c:pt>
                <c:pt idx="3">
                  <c:v>0.11614451754385963</c:v>
                </c:pt>
                <c:pt idx="4">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RER'!$S$6:$T$52</c:f>
              <c:multiLvlStrCache>
                <c:ptCount val="47"/>
                <c:lvl>
                  <c:pt idx="0">
                    <c:v>C.H. YARUCAYA</c:v>
                  </c:pt>
                  <c:pt idx="1">
                    <c:v>C.H. RENOVANDES H1</c:v>
                  </c:pt>
                  <c:pt idx="2">
                    <c:v>C.H. CARHUAQUERO IV</c:v>
                  </c:pt>
                  <c:pt idx="3">
                    <c:v>C.H. CHANCAY</c:v>
                  </c:pt>
                  <c:pt idx="4">
                    <c:v>C.H. LA JOYA</c:v>
                  </c:pt>
                  <c:pt idx="5">
                    <c:v>C.H. RUCUY</c:v>
                  </c:pt>
                  <c:pt idx="6">
                    <c:v>C.H. CAÑA BRAVA</c:v>
                  </c:pt>
                  <c:pt idx="7">
                    <c:v>C.H. YANAPAMPA</c:v>
                  </c:pt>
                  <c:pt idx="8">
                    <c:v>C.H. IMPERIAL</c:v>
                  </c:pt>
                  <c:pt idx="9">
                    <c:v>C.H. ZAÑA</c:v>
                  </c:pt>
                  <c:pt idx="10">
                    <c:v>C.H. RUNATULLO III</c:v>
                  </c:pt>
                  <c:pt idx="11">
                    <c:v>C.H. ÁNGEL II</c:v>
                  </c:pt>
                  <c:pt idx="12">
                    <c:v>C.H. HER 1</c:v>
                  </c:pt>
                  <c:pt idx="13">
                    <c:v>C.H. CANCHAYLLO</c:v>
                  </c:pt>
                  <c:pt idx="14">
                    <c:v>C.H. POECHOS II</c:v>
                  </c:pt>
                  <c:pt idx="15">
                    <c:v>C.H. HUASAHUASI I</c:v>
                  </c:pt>
                  <c:pt idx="16">
                    <c:v>C.H. HUASAHUASI II</c:v>
                  </c:pt>
                  <c:pt idx="17">
                    <c:v>C.H. ÁNGEL I</c:v>
                  </c:pt>
                  <c:pt idx="18">
                    <c:v>C.H. LAS PIZARRAS</c:v>
                  </c:pt>
                  <c:pt idx="19">
                    <c:v>C.H. CARHUAC</c:v>
                  </c:pt>
                  <c:pt idx="20">
                    <c:v>C.H. POTRERO</c:v>
                  </c:pt>
                  <c:pt idx="21">
                    <c:v>C.H. ÁNGEL III</c:v>
                  </c:pt>
                  <c:pt idx="22">
                    <c:v>C.H. 8 DE AGOSTO</c:v>
                  </c:pt>
                  <c:pt idx="23">
                    <c:v>C.H. RONCADOR</c:v>
                  </c:pt>
                  <c:pt idx="24">
                    <c:v>C.H. RUNATULLO II</c:v>
                  </c:pt>
                  <c:pt idx="25">
                    <c:v>C.H. SANTA CRUZ II</c:v>
                  </c:pt>
                  <c:pt idx="26">
                    <c:v>C.H. SANTA CRUZ I</c:v>
                  </c:pt>
                  <c:pt idx="27">
                    <c:v>C.H. PURMACANA</c:v>
                  </c:pt>
                  <c:pt idx="28">
                    <c:v>C.H. MANTA I</c:v>
                  </c:pt>
                  <c:pt idx="29">
                    <c:v>C.H. EL CARMEN</c:v>
                  </c:pt>
                  <c:pt idx="30">
                    <c:v>C.T. PARAMONGA</c:v>
                  </c:pt>
                  <c:pt idx="31">
                    <c:v>C.T. LA GRINGA</c:v>
                  </c:pt>
                  <c:pt idx="32">
                    <c:v>C.T. HUAYCOLORO</c:v>
                  </c:pt>
                  <c:pt idx="33">
                    <c:v>C.T. DOÑA CATALINA</c:v>
                  </c:pt>
                  <c:pt idx="34">
                    <c:v>C.T. CALLAO</c:v>
                  </c:pt>
                  <c:pt idx="35">
                    <c:v>C.E. MARCONA</c:v>
                  </c:pt>
                  <c:pt idx="36">
                    <c:v>C.E. TRES HERMANAS</c:v>
                  </c:pt>
                  <c:pt idx="37">
                    <c:v>C.E. WAYRA I</c:v>
                  </c:pt>
                  <c:pt idx="38">
                    <c:v>C.E. CUPISNIQUE</c:v>
                  </c:pt>
                  <c:pt idx="39">
                    <c:v>C.E. TALARA</c:v>
                  </c:pt>
                  <c:pt idx="40">
                    <c:v>C.S. RUBI</c:v>
                  </c:pt>
                  <c:pt idx="41">
                    <c:v>C.S. MOQUEGUA FV</c:v>
                  </c:pt>
                  <c:pt idx="42">
                    <c:v>C.S. PANAMERICANA SOLAR</c:v>
                  </c:pt>
                  <c:pt idx="43">
                    <c:v>C.S. TACNA SOLAR</c:v>
                  </c:pt>
                  <c:pt idx="44">
                    <c:v>C.S. INTIPAMPA</c:v>
                  </c:pt>
                  <c:pt idx="45">
                    <c:v>C.S. MAJES SOLAR</c:v>
                  </c:pt>
                  <c:pt idx="46">
                    <c:v>C.S. REPARTICION</c:v>
                  </c:pt>
                </c:lvl>
                <c:lvl>
                  <c:pt idx="0">
                    <c:v>HIDROELÉCTRICAS</c:v>
                  </c:pt>
                  <c:pt idx="30">
                    <c:v>EÓLICAS</c:v>
                  </c:pt>
                  <c:pt idx="35">
                    <c:v>SOLARES</c:v>
                  </c:pt>
                  <c:pt idx="42">
                    <c:v>TERMOELÉCTRICAS</c:v>
                  </c:pt>
                </c:lvl>
              </c:multiLvlStrCache>
            </c:multiLvlStrRef>
          </c:cat>
          <c:val>
            <c:numRef>
              <c:f>'6. FP RER'!$U$6:$U$52</c:f>
              <c:numCache>
                <c:formatCode>0.000</c:formatCode>
                <c:ptCount val="47"/>
                <c:pt idx="0">
                  <c:v>1</c:v>
                </c:pt>
                <c:pt idx="1">
                  <c:v>1</c:v>
                </c:pt>
                <c:pt idx="2">
                  <c:v>0.97380105304604681</c:v>
                </c:pt>
                <c:pt idx="3">
                  <c:v>0.94006781785504689</c:v>
                </c:pt>
                <c:pt idx="4">
                  <c:v>0.87539976767029271</c:v>
                </c:pt>
                <c:pt idx="5">
                  <c:v>0.84968111145344283</c:v>
                </c:pt>
                <c:pt idx="6">
                  <c:v>0.81369858606370749</c:v>
                </c:pt>
                <c:pt idx="7">
                  <c:v>0.81032130013828518</c:v>
                </c:pt>
                <c:pt idx="8">
                  <c:v>0.80959464602391784</c:v>
                </c:pt>
                <c:pt idx="9">
                  <c:v>0.77899780155575726</c:v>
                </c:pt>
                <c:pt idx="10">
                  <c:v>0.75106003028897173</c:v>
                </c:pt>
                <c:pt idx="11">
                  <c:v>0.7466409364510751</c:v>
                </c:pt>
                <c:pt idx="12">
                  <c:v>0.72930012645316356</c:v>
                </c:pt>
                <c:pt idx="13">
                  <c:v>0.72911850366023467</c:v>
                </c:pt>
                <c:pt idx="14">
                  <c:v>0.72355176939543964</c:v>
                </c:pt>
                <c:pt idx="15">
                  <c:v>0.72301567978797765</c:v>
                </c:pt>
                <c:pt idx="16">
                  <c:v>0.71259576725718776</c:v>
                </c:pt>
                <c:pt idx="17">
                  <c:v>0.70362525313435387</c:v>
                </c:pt>
                <c:pt idx="18">
                  <c:v>0.70314875757739514</c:v>
                </c:pt>
                <c:pt idx="19">
                  <c:v>0.68148519987284817</c:v>
                </c:pt>
                <c:pt idx="20">
                  <c:v>0.67968144362756666</c:v>
                </c:pt>
                <c:pt idx="21">
                  <c:v>0.66916122720116988</c:v>
                </c:pt>
                <c:pt idx="22">
                  <c:v>0.62612742937155097</c:v>
                </c:pt>
                <c:pt idx="23">
                  <c:v>0.62583245234899187</c:v>
                </c:pt>
                <c:pt idx="24">
                  <c:v>0.62266943660286744</c:v>
                </c:pt>
                <c:pt idx="25">
                  <c:v>0.58590899202687374</c:v>
                </c:pt>
                <c:pt idx="26">
                  <c:v>0.55753652103488349</c:v>
                </c:pt>
                <c:pt idx="27">
                  <c:v>0.34377401886197256</c:v>
                </c:pt>
                <c:pt idx="28">
                  <c:v>0.22591145833333334</c:v>
                </c:pt>
                <c:pt idx="29">
                  <c:v>0.21806897624170951</c:v>
                </c:pt>
                <c:pt idx="30">
                  <c:v>0.70583512958640771</c:v>
                </c:pt>
                <c:pt idx="31">
                  <c:v>0.52569889332193775</c:v>
                </c:pt>
                <c:pt idx="32">
                  <c:v>0.51786480743371932</c:v>
                </c:pt>
                <c:pt idx="33">
                  <c:v>0.43324562711919667</c:v>
                </c:pt>
                <c:pt idx="34">
                  <c:v>0.11614451754385963</c:v>
                </c:pt>
                <c:pt idx="35">
                  <c:v>0.56929372817634971</c:v>
                </c:pt>
                <c:pt idx="36">
                  <c:v>0.55106165388352868</c:v>
                </c:pt>
                <c:pt idx="37">
                  <c:v>0.48423904599333212</c:v>
                </c:pt>
                <c:pt idx="38">
                  <c:v>0.48068534477728936</c:v>
                </c:pt>
                <c:pt idx="39">
                  <c:v>0.45537427021941179</c:v>
                </c:pt>
                <c:pt idx="40">
                  <c:v>0.31045404364914186</c:v>
                </c:pt>
                <c:pt idx="41">
                  <c:v>0.30749834552890259</c:v>
                </c:pt>
                <c:pt idx="42">
                  <c:v>0.28139734223395929</c:v>
                </c:pt>
                <c:pt idx="43">
                  <c:v>0.25795542348884981</c:v>
                </c:pt>
                <c:pt idx="44">
                  <c:v>0.23882674827246417</c:v>
                </c:pt>
                <c:pt idx="45">
                  <c:v>0.23616527582159622</c:v>
                </c:pt>
                <c:pt idx="46">
                  <c:v>0.2303940043525039</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RER'!$S$6:$T$52</c:f>
              <c:multiLvlStrCache>
                <c:ptCount val="47"/>
                <c:lvl>
                  <c:pt idx="0">
                    <c:v>C.H. YARUCAYA</c:v>
                  </c:pt>
                  <c:pt idx="1">
                    <c:v>C.H. RENOVANDES H1</c:v>
                  </c:pt>
                  <c:pt idx="2">
                    <c:v>C.H. CARHUAQUERO IV</c:v>
                  </c:pt>
                  <c:pt idx="3">
                    <c:v>C.H. CHANCAY</c:v>
                  </c:pt>
                  <c:pt idx="4">
                    <c:v>C.H. LA JOYA</c:v>
                  </c:pt>
                  <c:pt idx="5">
                    <c:v>C.H. RUCUY</c:v>
                  </c:pt>
                  <c:pt idx="6">
                    <c:v>C.H. CAÑA BRAVA</c:v>
                  </c:pt>
                  <c:pt idx="7">
                    <c:v>C.H. YANAPAMPA</c:v>
                  </c:pt>
                  <c:pt idx="8">
                    <c:v>C.H. IMPERIAL</c:v>
                  </c:pt>
                  <c:pt idx="9">
                    <c:v>C.H. ZAÑA</c:v>
                  </c:pt>
                  <c:pt idx="10">
                    <c:v>C.H. RUNATULLO III</c:v>
                  </c:pt>
                  <c:pt idx="11">
                    <c:v>C.H. ÁNGEL II</c:v>
                  </c:pt>
                  <c:pt idx="12">
                    <c:v>C.H. HER 1</c:v>
                  </c:pt>
                  <c:pt idx="13">
                    <c:v>C.H. CANCHAYLLO</c:v>
                  </c:pt>
                  <c:pt idx="14">
                    <c:v>C.H. POECHOS II</c:v>
                  </c:pt>
                  <c:pt idx="15">
                    <c:v>C.H. HUASAHUASI I</c:v>
                  </c:pt>
                  <c:pt idx="16">
                    <c:v>C.H. HUASAHUASI II</c:v>
                  </c:pt>
                  <c:pt idx="17">
                    <c:v>C.H. ÁNGEL I</c:v>
                  </c:pt>
                  <c:pt idx="18">
                    <c:v>C.H. LAS PIZARRAS</c:v>
                  </c:pt>
                  <c:pt idx="19">
                    <c:v>C.H. CARHUAC</c:v>
                  </c:pt>
                  <c:pt idx="20">
                    <c:v>C.H. POTRERO</c:v>
                  </c:pt>
                  <c:pt idx="21">
                    <c:v>C.H. ÁNGEL III</c:v>
                  </c:pt>
                  <c:pt idx="22">
                    <c:v>C.H. 8 DE AGOSTO</c:v>
                  </c:pt>
                  <c:pt idx="23">
                    <c:v>C.H. RONCADOR</c:v>
                  </c:pt>
                  <c:pt idx="24">
                    <c:v>C.H. RUNATULLO II</c:v>
                  </c:pt>
                  <c:pt idx="25">
                    <c:v>C.H. SANTA CRUZ II</c:v>
                  </c:pt>
                  <c:pt idx="26">
                    <c:v>C.H. SANTA CRUZ I</c:v>
                  </c:pt>
                  <c:pt idx="27">
                    <c:v>C.H. PURMACANA</c:v>
                  </c:pt>
                  <c:pt idx="28">
                    <c:v>C.H. MANTA I</c:v>
                  </c:pt>
                  <c:pt idx="29">
                    <c:v>C.H. EL CARMEN</c:v>
                  </c:pt>
                  <c:pt idx="30">
                    <c:v>C.T. PARAMONGA</c:v>
                  </c:pt>
                  <c:pt idx="31">
                    <c:v>C.T. LA GRINGA</c:v>
                  </c:pt>
                  <c:pt idx="32">
                    <c:v>C.T. HUAYCOLORO</c:v>
                  </c:pt>
                  <c:pt idx="33">
                    <c:v>C.T. DOÑA CATALINA</c:v>
                  </c:pt>
                  <c:pt idx="34">
                    <c:v>C.T. CALLAO</c:v>
                  </c:pt>
                  <c:pt idx="35">
                    <c:v>C.E. MARCONA</c:v>
                  </c:pt>
                  <c:pt idx="36">
                    <c:v>C.E. TRES HERMANAS</c:v>
                  </c:pt>
                  <c:pt idx="37">
                    <c:v>C.E. WAYRA I</c:v>
                  </c:pt>
                  <c:pt idx="38">
                    <c:v>C.E. CUPISNIQUE</c:v>
                  </c:pt>
                  <c:pt idx="39">
                    <c:v>C.E. TALARA</c:v>
                  </c:pt>
                  <c:pt idx="40">
                    <c:v>C.S. RUBI</c:v>
                  </c:pt>
                  <c:pt idx="41">
                    <c:v>C.S. MOQUEGUA FV</c:v>
                  </c:pt>
                  <c:pt idx="42">
                    <c:v>C.S. PANAMERICANA SOLAR</c:v>
                  </c:pt>
                  <c:pt idx="43">
                    <c:v>C.S. TACNA SOLAR</c:v>
                  </c:pt>
                  <c:pt idx="44">
                    <c:v>C.S. INTIPAMPA</c:v>
                  </c:pt>
                  <c:pt idx="45">
                    <c:v>C.S. MAJES SOLAR</c:v>
                  </c:pt>
                  <c:pt idx="46">
                    <c:v>C.S. REPARTICION</c:v>
                  </c:pt>
                </c:lvl>
                <c:lvl>
                  <c:pt idx="0">
                    <c:v>HIDROELÉCTRICAS</c:v>
                  </c:pt>
                  <c:pt idx="30">
                    <c:v>EÓLICAS</c:v>
                  </c:pt>
                  <c:pt idx="35">
                    <c:v>SOLARES</c:v>
                  </c:pt>
                  <c:pt idx="42">
                    <c:v>TERMOELÉCTRICAS</c:v>
                  </c:pt>
                </c:lvl>
              </c:multiLvlStrCache>
            </c:multiLvlStrRef>
          </c:cat>
          <c:val>
            <c:numRef>
              <c:f>'6. FP RER'!$V$6:$V$52</c:f>
              <c:numCache>
                <c:formatCode>0.000</c:formatCode>
                <c:ptCount val="47"/>
                <c:pt idx="0">
                  <c:v>1</c:v>
                </c:pt>
                <c:pt idx="1">
                  <c:v>0.92702943358833012</c:v>
                </c:pt>
                <c:pt idx="2">
                  <c:v>0.84293252238514549</c:v>
                </c:pt>
                <c:pt idx="4">
                  <c:v>0.81440564172564167</c:v>
                </c:pt>
                <c:pt idx="6">
                  <c:v>0.82099758890788466</c:v>
                </c:pt>
                <c:pt idx="7">
                  <c:v>0.69415846264407466</c:v>
                </c:pt>
                <c:pt idx="8">
                  <c:v>0.8021932058336404</c:v>
                </c:pt>
                <c:pt idx="9">
                  <c:v>0.7510473887980631</c:v>
                </c:pt>
                <c:pt idx="10">
                  <c:v>0.76159283335719452</c:v>
                </c:pt>
                <c:pt idx="11">
                  <c:v>0.47977354717683063</c:v>
                </c:pt>
                <c:pt idx="12">
                  <c:v>0.621464428206424</c:v>
                </c:pt>
                <c:pt idx="13">
                  <c:v>0.70744135315195644</c:v>
                </c:pt>
                <c:pt idx="14">
                  <c:v>0.65880802486318157</c:v>
                </c:pt>
                <c:pt idx="15">
                  <c:v>0.68445808217005066</c:v>
                </c:pt>
                <c:pt idx="16">
                  <c:v>0.6947276285064341</c:v>
                </c:pt>
                <c:pt idx="17">
                  <c:v>0.43005923214227221</c:v>
                </c:pt>
                <c:pt idx="18">
                  <c:v>0.75169793449912137</c:v>
                </c:pt>
                <c:pt idx="19">
                  <c:v>0.66606059502751536</c:v>
                </c:pt>
                <c:pt idx="20">
                  <c:v>0.7538800854459009</c:v>
                </c:pt>
                <c:pt idx="21">
                  <c:v>0.47371061283220872</c:v>
                </c:pt>
                <c:pt idx="23">
                  <c:v>0.55299460529169409</c:v>
                </c:pt>
                <c:pt idx="24">
                  <c:v>0.62669924060824622</c:v>
                </c:pt>
                <c:pt idx="25">
                  <c:v>0.63851774422110497</c:v>
                </c:pt>
                <c:pt idx="26">
                  <c:v>0.63025424609370018</c:v>
                </c:pt>
                <c:pt idx="27">
                  <c:v>0.12166041267622175</c:v>
                </c:pt>
                <c:pt idx="30">
                  <c:v>0.81444546070124613</c:v>
                </c:pt>
                <c:pt idx="31">
                  <c:v>0.61082734192063304</c:v>
                </c:pt>
                <c:pt idx="32">
                  <c:v>0.89638895002213215</c:v>
                </c:pt>
                <c:pt idx="33">
                  <c:v>0.75586476799986946</c:v>
                </c:pt>
                <c:pt idx="35">
                  <c:v>0.57434254646349259</c:v>
                </c:pt>
                <c:pt idx="36">
                  <c:v>0.55707522702343026</c:v>
                </c:pt>
                <c:pt idx="37">
                  <c:v>0.49295078228247091</c:v>
                </c:pt>
                <c:pt idx="38">
                  <c:v>0.44169937798297759</c:v>
                </c:pt>
                <c:pt idx="39">
                  <c:v>0.41195506291155121</c:v>
                </c:pt>
                <c:pt idx="40">
                  <c:v>0.29602837182150077</c:v>
                </c:pt>
                <c:pt idx="41">
                  <c:v>0.30861600991303056</c:v>
                </c:pt>
                <c:pt idx="42">
                  <c:v>0.26766363342669031</c:v>
                </c:pt>
                <c:pt idx="43">
                  <c:v>0.25299442189956761</c:v>
                </c:pt>
                <c:pt idx="44">
                  <c:v>0.23956347256626434</c:v>
                </c:pt>
                <c:pt idx="45">
                  <c:v>0.24270940315448114</c:v>
                </c:pt>
                <c:pt idx="46">
                  <c:v>0.235783021545794</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2020</c:v>
                </c:pt>
              </c:strCache>
            </c:strRef>
          </c:tx>
          <c:spPr>
            <a:solidFill>
              <a:srgbClr val="0077A5"/>
            </a:solidFill>
          </c:spPr>
          <c:invertIfNegative val="0"/>
          <c:cat>
            <c:strRef>
              <c:f>'7. Generacion empresa'!$L$5:$L$63</c:f>
              <c:strCache>
                <c:ptCount val="59"/>
                <c:pt idx="0">
                  <c:v>TERMOSELVA</c:v>
                </c:pt>
                <c:pt idx="1">
                  <c:v>TERMOCHILCA</c:v>
                </c:pt>
                <c:pt idx="2">
                  <c:v>SHOUGESA</c:v>
                </c:pt>
                <c:pt idx="3">
                  <c:v>SDF ENERGIA</c:v>
                </c:pt>
                <c:pt idx="4">
                  <c:v>SAMAY I</c:v>
                </c:pt>
                <c:pt idx="5">
                  <c:v>CERRO VERDE</c:v>
                </c:pt>
                <c:pt idx="6">
                  <c:v>AGROAURORA</c:v>
                </c:pt>
                <c:pt idx="7">
                  <c:v>PLANTA  ETEN</c:v>
                </c:pt>
                <c:pt idx="8">
                  <c:v>HYDRO PATAPO</c:v>
                </c:pt>
                <c:pt idx="9">
                  <c:v>IYEPSA</c:v>
                </c:pt>
                <c:pt idx="10">
                  <c:v>ELECTRICA SANTA ROSA / ATRIA</c:v>
                </c:pt>
                <c:pt idx="11">
                  <c:v>MAJA ENERGIA</c:v>
                </c:pt>
                <c:pt idx="12">
                  <c:v>EGECSAC</c:v>
                </c:pt>
                <c:pt idx="13">
                  <c:v>ELECTRICA YANAPAMPA</c:v>
                </c:pt>
                <c:pt idx="14">
                  <c:v>SAN JACINTO</c:v>
                </c:pt>
                <c:pt idx="15">
                  <c:v>HIDROCAÑETE</c:v>
                </c:pt>
                <c:pt idx="16">
                  <c:v>INVERSION DE ENERGÍA RENOVABLES</c:v>
                </c:pt>
                <c:pt idx="17">
                  <c:v>AGUA AZUL</c:v>
                </c:pt>
                <c:pt idx="18">
                  <c:v>GTS MAJES</c:v>
                </c:pt>
                <c:pt idx="19">
                  <c:v>GTS REPARTICION</c:v>
                </c:pt>
                <c:pt idx="20">
                  <c:v>BIOENERGIA</c:v>
                </c:pt>
                <c:pt idx="21">
                  <c:v>TACNA SOLAR</c:v>
                </c:pt>
                <c:pt idx="22">
                  <c:v>MOQUEGUA FV</c:v>
                </c:pt>
                <c:pt idx="23">
                  <c:v>AIPSA</c:v>
                </c:pt>
                <c:pt idx="24">
                  <c:v>PANAMERICANA SOLAR</c:v>
                </c:pt>
                <c:pt idx="25">
                  <c:v>GENERACIÓN ANDINA</c:v>
                </c:pt>
                <c:pt idx="26">
                  <c:v>PETRAMAS</c:v>
                </c:pt>
                <c:pt idx="27">
                  <c:v>ELECTRO ZAÑA</c:v>
                </c:pt>
                <c:pt idx="28">
                  <c:v>RIO BAÑOS</c:v>
                </c:pt>
                <c:pt idx="29">
                  <c:v>RIO DOBLE</c:v>
                </c:pt>
                <c:pt idx="30">
                  <c:v>ANDEAN POWER</c:v>
                </c:pt>
                <c:pt idx="31">
                  <c:v>EGESUR</c:v>
                </c:pt>
                <c:pt idx="32">
                  <c:v>HIDROMARAÑON/ CELEPSA RENOVABLES</c:v>
                </c:pt>
                <c:pt idx="33">
                  <c:v>HUAURA POWER</c:v>
                </c:pt>
                <c:pt idx="34">
                  <c:v>EMGE JUNÍN / SANTA CRUZ</c:v>
                </c:pt>
                <c:pt idx="35">
                  <c:v>HIDROELECTRICA HUANCHOR</c:v>
                </c:pt>
                <c:pt idx="36">
                  <c:v>SANTA ANA</c:v>
                </c:pt>
                <c:pt idx="37">
                  <c:v>SINERSA</c:v>
                </c:pt>
                <c:pt idx="38">
                  <c:v>GEPSA</c:v>
                </c:pt>
                <c:pt idx="39">
                  <c:v>P.E. MARCONA</c:v>
                </c:pt>
                <c:pt idx="40">
                  <c:v>EMGE HUANZA</c:v>
                </c:pt>
                <c:pt idx="41">
                  <c:v>SAN GABAN</c:v>
                </c:pt>
                <c:pt idx="42">
                  <c:v>ENERGÍA EÓLICA</c:v>
                </c:pt>
                <c:pt idx="43">
                  <c:v>CHINANGO</c:v>
                </c:pt>
                <c:pt idx="44">
                  <c:v>INLAND</c:v>
                </c:pt>
                <c:pt idx="45">
                  <c:v>P.E. TRES HERMANAS</c:v>
                </c:pt>
                <c:pt idx="46">
                  <c:v>CELEPSA</c:v>
                </c:pt>
                <c:pt idx="47">
                  <c:v>ENEL GENERACION PIURA</c:v>
                </c:pt>
                <c:pt idx="48">
                  <c:v>EMGE HUALLAGA</c:v>
                </c:pt>
                <c:pt idx="49">
                  <c:v>EGASA</c:v>
                </c:pt>
                <c:pt idx="50">
                  <c:v>EGEMSA</c:v>
                </c:pt>
                <c:pt idx="51">
                  <c:v>ENEL GREEN POWER PERU</c:v>
                </c:pt>
                <c:pt idx="52">
                  <c:v>ORAZUL ENERGY PERÚ</c:v>
                </c:pt>
                <c:pt idx="53">
                  <c:v>STATKRAFT</c:v>
                </c:pt>
                <c:pt idx="54">
                  <c:v>FENIX POWER</c:v>
                </c:pt>
                <c:pt idx="55">
                  <c:v>ENEL GENERACION PERU</c:v>
                </c:pt>
                <c:pt idx="56">
                  <c:v>ELECTROPERU</c:v>
                </c:pt>
                <c:pt idx="57">
                  <c:v>ENGIE</c:v>
                </c:pt>
                <c:pt idx="58">
                  <c:v>KALLPA</c:v>
                </c:pt>
              </c:strCache>
            </c:strRef>
          </c:cat>
          <c:val>
            <c:numRef>
              <c:f>'7. Generacion empresa'!$M$5:$M$63</c:f>
              <c:numCache>
                <c:formatCode>General</c:formatCode>
                <c:ptCount val="59"/>
                <c:pt idx="0">
                  <c:v>0</c:v>
                </c:pt>
                <c:pt idx="1">
                  <c:v>0</c:v>
                </c:pt>
                <c:pt idx="2">
                  <c:v>0</c:v>
                </c:pt>
                <c:pt idx="3">
                  <c:v>0</c:v>
                </c:pt>
                <c:pt idx="4">
                  <c:v>0</c:v>
                </c:pt>
                <c:pt idx="5">
                  <c:v>0</c:v>
                </c:pt>
                <c:pt idx="6">
                  <c:v>0</c:v>
                </c:pt>
                <c:pt idx="7">
                  <c:v>2.2211900000000001E-3</c:v>
                </c:pt>
                <c:pt idx="8">
                  <c:v>2.6193000000000001E-2</c:v>
                </c:pt>
                <c:pt idx="9">
                  <c:v>0.21278664750000001</c:v>
                </c:pt>
                <c:pt idx="10">
                  <c:v>0.31237861249999999</c:v>
                </c:pt>
                <c:pt idx="11">
                  <c:v>0.73321645000000002</c:v>
                </c:pt>
                <c:pt idx="12">
                  <c:v>1.4166281825000002</c:v>
                </c:pt>
                <c:pt idx="13">
                  <c:v>1.4926283625000001</c:v>
                </c:pt>
                <c:pt idx="14">
                  <c:v>1.599664</c:v>
                </c:pt>
                <c:pt idx="15">
                  <c:v>2.3858000000000001</c:v>
                </c:pt>
                <c:pt idx="16">
                  <c:v>2.6257684399999999</c:v>
                </c:pt>
                <c:pt idx="17">
                  <c:v>3.0129477499999999</c:v>
                </c:pt>
                <c:pt idx="18">
                  <c:v>3.4835824</c:v>
                </c:pt>
                <c:pt idx="19">
                  <c:v>3.5239659825</c:v>
                </c:pt>
                <c:pt idx="20">
                  <c:v>3.7275999999999998</c:v>
                </c:pt>
                <c:pt idx="21">
                  <c:v>3.7283089899999999</c:v>
                </c:pt>
                <c:pt idx="22">
                  <c:v>3.7366510650000002</c:v>
                </c:pt>
                <c:pt idx="23">
                  <c:v>4.2733535975000008</c:v>
                </c:pt>
                <c:pt idx="24">
                  <c:v>4.4507572149999994</c:v>
                </c:pt>
                <c:pt idx="25">
                  <c:v>4.4928699924999993</c:v>
                </c:pt>
                <c:pt idx="26">
                  <c:v>4.605365795</c:v>
                </c:pt>
                <c:pt idx="27">
                  <c:v>5.1288364674999993</c:v>
                </c:pt>
                <c:pt idx="28">
                  <c:v>7.6888222000000006</c:v>
                </c:pt>
                <c:pt idx="29">
                  <c:v>7.9397423199999997</c:v>
                </c:pt>
                <c:pt idx="30">
                  <c:v>9.2961763949999998</c:v>
                </c:pt>
                <c:pt idx="31">
                  <c:v>9.7771559999999997</c:v>
                </c:pt>
                <c:pt idx="32">
                  <c:v>10.241985515</c:v>
                </c:pt>
                <c:pt idx="33">
                  <c:v>10.821367370000001</c:v>
                </c:pt>
                <c:pt idx="34">
                  <c:v>11.544124154999999</c:v>
                </c:pt>
                <c:pt idx="35">
                  <c:v>11.739442825000001</c:v>
                </c:pt>
                <c:pt idx="36">
                  <c:v>14.841791402499998</c:v>
                </c:pt>
                <c:pt idx="37">
                  <c:v>16.2382400475</c:v>
                </c:pt>
                <c:pt idx="38">
                  <c:v>16.402478439999999</c:v>
                </c:pt>
                <c:pt idx="39">
                  <c:v>17.020225054999997</c:v>
                </c:pt>
                <c:pt idx="40">
                  <c:v>36.881255449999998</c:v>
                </c:pt>
                <c:pt idx="41">
                  <c:v>41.121345155</c:v>
                </c:pt>
                <c:pt idx="42">
                  <c:v>41.574695089999999</c:v>
                </c:pt>
                <c:pt idx="43">
                  <c:v>46.380362959999999</c:v>
                </c:pt>
                <c:pt idx="44">
                  <c:v>47.694664169999996</c:v>
                </c:pt>
                <c:pt idx="45">
                  <c:v>49.661995284999996</c:v>
                </c:pt>
                <c:pt idx="46">
                  <c:v>52.447161485000002</c:v>
                </c:pt>
                <c:pt idx="47">
                  <c:v>66.20538873000001</c:v>
                </c:pt>
                <c:pt idx="48">
                  <c:v>71.363217202499996</c:v>
                </c:pt>
                <c:pt idx="49">
                  <c:v>72.200469607499983</c:v>
                </c:pt>
                <c:pt idx="50">
                  <c:v>92.219923397499997</c:v>
                </c:pt>
                <c:pt idx="51">
                  <c:v>95.162058802499999</c:v>
                </c:pt>
                <c:pt idx="52">
                  <c:v>114.47956201</c:v>
                </c:pt>
                <c:pt idx="53">
                  <c:v>151.89255702499997</c:v>
                </c:pt>
                <c:pt idx="54">
                  <c:v>311.54440941249999</c:v>
                </c:pt>
                <c:pt idx="55">
                  <c:v>593.37509311750011</c:v>
                </c:pt>
                <c:pt idx="56">
                  <c:v>619.89949139999999</c:v>
                </c:pt>
                <c:pt idx="57">
                  <c:v>670.71926315500002</c:v>
                </c:pt>
                <c:pt idx="58">
                  <c:v>766.07872023499999</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2019</c:v>
                </c:pt>
              </c:strCache>
            </c:strRef>
          </c:tx>
          <c:spPr>
            <a:solidFill>
              <a:schemeClr val="accent2"/>
            </a:solidFill>
          </c:spPr>
          <c:invertIfNegative val="0"/>
          <c:cat>
            <c:strRef>
              <c:f>'7. Generacion empresa'!$L$5:$L$63</c:f>
              <c:strCache>
                <c:ptCount val="59"/>
                <c:pt idx="0">
                  <c:v>TERMOSELVA</c:v>
                </c:pt>
                <c:pt idx="1">
                  <c:v>TERMOCHILCA</c:v>
                </c:pt>
                <c:pt idx="2">
                  <c:v>SHOUGESA</c:v>
                </c:pt>
                <c:pt idx="3">
                  <c:v>SDF ENERGIA</c:v>
                </c:pt>
                <c:pt idx="4">
                  <c:v>SAMAY I</c:v>
                </c:pt>
                <c:pt idx="5">
                  <c:v>CERRO VERDE</c:v>
                </c:pt>
                <c:pt idx="6">
                  <c:v>AGROAURORA</c:v>
                </c:pt>
                <c:pt idx="7">
                  <c:v>PLANTA  ETEN</c:v>
                </c:pt>
                <c:pt idx="8">
                  <c:v>HYDRO PATAPO</c:v>
                </c:pt>
                <c:pt idx="9">
                  <c:v>IYEPSA</c:v>
                </c:pt>
                <c:pt idx="10">
                  <c:v>ELECTRICA SANTA ROSA / ATRIA</c:v>
                </c:pt>
                <c:pt idx="11">
                  <c:v>MAJA ENERGIA</c:v>
                </c:pt>
                <c:pt idx="12">
                  <c:v>EGECSAC</c:v>
                </c:pt>
                <c:pt idx="13">
                  <c:v>ELECTRICA YANAPAMPA</c:v>
                </c:pt>
                <c:pt idx="14">
                  <c:v>SAN JACINTO</c:v>
                </c:pt>
                <c:pt idx="15">
                  <c:v>HIDROCAÑETE</c:v>
                </c:pt>
                <c:pt idx="16">
                  <c:v>INVERSION DE ENERGÍA RENOVABLES</c:v>
                </c:pt>
                <c:pt idx="17">
                  <c:v>AGUA AZUL</c:v>
                </c:pt>
                <c:pt idx="18">
                  <c:v>GTS MAJES</c:v>
                </c:pt>
                <c:pt idx="19">
                  <c:v>GTS REPARTICION</c:v>
                </c:pt>
                <c:pt idx="20">
                  <c:v>BIOENERGIA</c:v>
                </c:pt>
                <c:pt idx="21">
                  <c:v>TACNA SOLAR</c:v>
                </c:pt>
                <c:pt idx="22">
                  <c:v>MOQUEGUA FV</c:v>
                </c:pt>
                <c:pt idx="23">
                  <c:v>AIPSA</c:v>
                </c:pt>
                <c:pt idx="24">
                  <c:v>PANAMERICANA SOLAR</c:v>
                </c:pt>
                <c:pt idx="25">
                  <c:v>GENERACIÓN ANDINA</c:v>
                </c:pt>
                <c:pt idx="26">
                  <c:v>PETRAMAS</c:v>
                </c:pt>
                <c:pt idx="27">
                  <c:v>ELECTRO ZAÑA</c:v>
                </c:pt>
                <c:pt idx="28">
                  <c:v>RIO BAÑOS</c:v>
                </c:pt>
                <c:pt idx="29">
                  <c:v>RIO DOBLE</c:v>
                </c:pt>
                <c:pt idx="30">
                  <c:v>ANDEAN POWER</c:v>
                </c:pt>
                <c:pt idx="31">
                  <c:v>EGESUR</c:v>
                </c:pt>
                <c:pt idx="32">
                  <c:v>HIDROMARAÑON/ CELEPSA RENOVABLES</c:v>
                </c:pt>
                <c:pt idx="33">
                  <c:v>HUAURA POWER</c:v>
                </c:pt>
                <c:pt idx="34">
                  <c:v>EMGE JUNÍN / SANTA CRUZ</c:v>
                </c:pt>
                <c:pt idx="35">
                  <c:v>HIDROELECTRICA HUANCHOR</c:v>
                </c:pt>
                <c:pt idx="36">
                  <c:v>SANTA ANA</c:v>
                </c:pt>
                <c:pt idx="37">
                  <c:v>SINERSA</c:v>
                </c:pt>
                <c:pt idx="38">
                  <c:v>GEPSA</c:v>
                </c:pt>
                <c:pt idx="39">
                  <c:v>P.E. MARCONA</c:v>
                </c:pt>
                <c:pt idx="40">
                  <c:v>EMGE HUANZA</c:v>
                </c:pt>
                <c:pt idx="41">
                  <c:v>SAN GABAN</c:v>
                </c:pt>
                <c:pt idx="42">
                  <c:v>ENERGÍA EÓLICA</c:v>
                </c:pt>
                <c:pt idx="43">
                  <c:v>CHINANGO</c:v>
                </c:pt>
                <c:pt idx="44">
                  <c:v>INLAND</c:v>
                </c:pt>
                <c:pt idx="45">
                  <c:v>P.E. TRES HERMANAS</c:v>
                </c:pt>
                <c:pt idx="46">
                  <c:v>CELEPSA</c:v>
                </c:pt>
                <c:pt idx="47">
                  <c:v>ENEL GENERACION PIURA</c:v>
                </c:pt>
                <c:pt idx="48">
                  <c:v>EMGE HUALLAGA</c:v>
                </c:pt>
                <c:pt idx="49">
                  <c:v>EGASA</c:v>
                </c:pt>
                <c:pt idx="50">
                  <c:v>EGEMSA</c:v>
                </c:pt>
                <c:pt idx="51">
                  <c:v>ENEL GREEN POWER PERU</c:v>
                </c:pt>
                <c:pt idx="52">
                  <c:v>ORAZUL ENERGY PERÚ</c:v>
                </c:pt>
                <c:pt idx="53">
                  <c:v>STATKRAFT</c:v>
                </c:pt>
                <c:pt idx="54">
                  <c:v>FENIX POWER</c:v>
                </c:pt>
                <c:pt idx="55">
                  <c:v>ENEL GENERACION PERU</c:v>
                </c:pt>
                <c:pt idx="56">
                  <c:v>ELECTROPERU</c:v>
                </c:pt>
                <c:pt idx="57">
                  <c:v>ENGIE</c:v>
                </c:pt>
                <c:pt idx="58">
                  <c:v>KALLPA</c:v>
                </c:pt>
              </c:strCache>
            </c:strRef>
          </c:cat>
          <c:val>
            <c:numRef>
              <c:f>'7. Generacion empresa'!$N$5:$N$63</c:f>
              <c:numCache>
                <c:formatCode>General</c:formatCode>
                <c:ptCount val="59"/>
                <c:pt idx="0">
                  <c:v>27.007340322499999</c:v>
                </c:pt>
                <c:pt idx="1">
                  <c:v>194.84912664500001</c:v>
                </c:pt>
                <c:pt idx="2">
                  <c:v>7.51934925E-2</c:v>
                </c:pt>
                <c:pt idx="3">
                  <c:v>20.584662175000002</c:v>
                </c:pt>
                <c:pt idx="4">
                  <c:v>0.40410757000000003</c:v>
                </c:pt>
                <c:pt idx="5">
                  <c:v>0</c:v>
                </c:pt>
                <c:pt idx="6">
                  <c:v>5.9208024450000005</c:v>
                </c:pt>
                <c:pt idx="7">
                  <c:v>2.5215424999999996E-3</c:v>
                </c:pt>
                <c:pt idx="8">
                  <c:v>9.8008250000000005E-2</c:v>
                </c:pt>
                <c:pt idx="9">
                  <c:v>2.73475525E-2</c:v>
                </c:pt>
                <c:pt idx="10">
                  <c:v>0.24919130749999999</c:v>
                </c:pt>
                <c:pt idx="11">
                  <c:v>1.1403937000000002</c:v>
                </c:pt>
                <c:pt idx="12">
                  <c:v>2.6711766675000002</c:v>
                </c:pt>
                <c:pt idx="13">
                  <c:v>1.72368308</c:v>
                </c:pt>
                <c:pt idx="14">
                  <c:v>5.0063399400000002</c:v>
                </c:pt>
                <c:pt idx="15">
                  <c:v>2.3740999999999999</c:v>
                </c:pt>
                <c:pt idx="17">
                  <c:v>3.8167390024999999</c:v>
                </c:pt>
                <c:pt idx="18">
                  <c:v>3.4995767999999998</c:v>
                </c:pt>
                <c:pt idx="19">
                  <c:v>3.5730533725</c:v>
                </c:pt>
                <c:pt idx="21">
                  <c:v>2.9160315799999998</c:v>
                </c:pt>
                <c:pt idx="22">
                  <c:v>3.669384355</c:v>
                </c:pt>
                <c:pt idx="23">
                  <c:v>8.3256122875000003</c:v>
                </c:pt>
                <c:pt idx="24">
                  <c:v>3.93006923</c:v>
                </c:pt>
                <c:pt idx="26">
                  <c:v>6.232259792499999</c:v>
                </c:pt>
                <c:pt idx="27">
                  <c:v>5.7604991300000004</c:v>
                </c:pt>
                <c:pt idx="28">
                  <c:v>8.3234360350000003</c:v>
                </c:pt>
                <c:pt idx="29">
                  <c:v>3.9679316425</c:v>
                </c:pt>
                <c:pt idx="30">
                  <c:v>9.1813251700000009</c:v>
                </c:pt>
                <c:pt idx="31">
                  <c:v>9.4009940399999987</c:v>
                </c:pt>
                <c:pt idx="32">
                  <c:v>10.435492195</c:v>
                </c:pt>
                <c:pt idx="33">
                  <c:v>11.135751145</c:v>
                </c:pt>
                <c:pt idx="34">
                  <c:v>13.905980764999999</c:v>
                </c:pt>
                <c:pt idx="35">
                  <c:v>12.621841</c:v>
                </c:pt>
                <c:pt idx="36">
                  <c:v>14.703850147499999</c:v>
                </c:pt>
                <c:pt idx="37">
                  <c:v>15.966832397499999</c:v>
                </c:pt>
                <c:pt idx="38">
                  <c:v>17.591430482500002</c:v>
                </c:pt>
                <c:pt idx="39">
                  <c:v>15.786855662500001</c:v>
                </c:pt>
                <c:pt idx="40">
                  <c:v>35.189583937500004</c:v>
                </c:pt>
                <c:pt idx="41">
                  <c:v>42.822244964999996</c:v>
                </c:pt>
                <c:pt idx="42">
                  <c:v>38.501667577500001</c:v>
                </c:pt>
                <c:pt idx="43">
                  <c:v>51.123578004999999</c:v>
                </c:pt>
                <c:pt idx="44">
                  <c:v>48.790832967500002</c:v>
                </c:pt>
                <c:pt idx="45">
                  <c:v>44.431992664999996</c:v>
                </c:pt>
                <c:pt idx="46">
                  <c:v>56.944604062499998</c:v>
                </c:pt>
                <c:pt idx="47">
                  <c:v>64.338034284999992</c:v>
                </c:pt>
                <c:pt idx="48">
                  <c:v>92.340128859999993</c:v>
                </c:pt>
                <c:pt idx="49">
                  <c:v>71.220666857499992</c:v>
                </c:pt>
                <c:pt idx="50">
                  <c:v>93.4875355625</c:v>
                </c:pt>
                <c:pt idx="51">
                  <c:v>90.229592492500004</c:v>
                </c:pt>
                <c:pt idx="52">
                  <c:v>91.60953804750001</c:v>
                </c:pt>
                <c:pt idx="53">
                  <c:v>155.29043071249998</c:v>
                </c:pt>
                <c:pt idx="54">
                  <c:v>404.84561240500005</c:v>
                </c:pt>
                <c:pt idx="55">
                  <c:v>578.89770246500007</c:v>
                </c:pt>
                <c:pt idx="56">
                  <c:v>629.67828553749996</c:v>
                </c:pt>
                <c:pt idx="57">
                  <c:v>601.88591489999976</c:v>
                </c:pt>
                <c:pt idx="58">
                  <c:v>759.43477554499998</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4604.1638600000006</c:v>
                </c:pt>
                <c:pt idx="1">
                  <c:v>4580.6239199999991</c:v>
                </c:pt>
                <c:pt idx="2">
                  <c:v>4457.8647499999988</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2265.9101700000001</c:v>
                </c:pt>
                <c:pt idx="1">
                  <c:v>2106.5043700000006</c:v>
                </c:pt>
                <c:pt idx="2">
                  <c:v>1943.7948299999998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255.22534999999999</c:v>
                </c:pt>
                <c:pt idx="1">
                  <c:v>303.54068999999998</c:v>
                </c:pt>
                <c:pt idx="2">
                  <c:v>309.01528000000002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Empresa'!$L$7:$L$65</c:f>
              <c:strCache>
                <c:ptCount val="59"/>
                <c:pt idx="0">
                  <c:v>SAN JACINTO</c:v>
                </c:pt>
                <c:pt idx="1">
                  <c:v>TERMOSELVA</c:v>
                </c:pt>
                <c:pt idx="2">
                  <c:v>TERMOCHILCA</c:v>
                </c:pt>
                <c:pt idx="3">
                  <c:v>TACNA SOLAR</c:v>
                </c:pt>
                <c:pt idx="4">
                  <c:v>SHOUGESA</c:v>
                </c:pt>
                <c:pt idx="5">
                  <c:v>SDF ENERGIA</c:v>
                </c:pt>
                <c:pt idx="6">
                  <c:v>SAMAY I</c:v>
                </c:pt>
                <c:pt idx="7">
                  <c:v>PLANTA  ETEN</c:v>
                </c:pt>
                <c:pt idx="8">
                  <c:v>PANAMERICANA SOLAR</c:v>
                </c:pt>
                <c:pt idx="9">
                  <c:v>MOQUEGUA FV</c:v>
                </c:pt>
                <c:pt idx="10">
                  <c:v>IYEPSA</c:v>
                </c:pt>
                <c:pt idx="11">
                  <c:v>HYDRO PATAPO</c:v>
                </c:pt>
                <c:pt idx="12">
                  <c:v>GTS REPARTICION</c:v>
                </c:pt>
                <c:pt idx="13">
                  <c:v>GTS MAJES</c:v>
                </c:pt>
                <c:pt idx="14">
                  <c:v>CERRO VERDE</c:v>
                </c:pt>
                <c:pt idx="15">
                  <c:v>BIOENERGIA</c:v>
                </c:pt>
                <c:pt idx="16">
                  <c:v>AIPSA</c:v>
                </c:pt>
                <c:pt idx="17">
                  <c:v>AGROAURORA</c:v>
                </c:pt>
                <c:pt idx="18">
                  <c:v>ELECTRICA SANTA ROSA / ATRIA</c:v>
                </c:pt>
                <c:pt idx="19">
                  <c:v>MAJA ENERGIA</c:v>
                </c:pt>
                <c:pt idx="20">
                  <c:v>EGECSAC</c:v>
                </c:pt>
                <c:pt idx="21">
                  <c:v>ELECTRICA YANAPAMPA</c:v>
                </c:pt>
                <c:pt idx="22">
                  <c:v>AGUA AZUL</c:v>
                </c:pt>
                <c:pt idx="23">
                  <c:v>HIDROCAÑETE</c:v>
                </c:pt>
                <c:pt idx="24">
                  <c:v>INVERSION DE ENERGÍA RENOVABLES</c:v>
                </c:pt>
                <c:pt idx="25">
                  <c:v>GENERACIÓN ANDINA</c:v>
                </c:pt>
                <c:pt idx="26">
                  <c:v>EMGE HUALLAGA</c:v>
                </c:pt>
                <c:pt idx="27">
                  <c:v>ELECTRO ZAÑA</c:v>
                </c:pt>
                <c:pt idx="28">
                  <c:v>PETRAMAS</c:v>
                </c:pt>
                <c:pt idx="29">
                  <c:v>RIO DOBLE</c:v>
                </c:pt>
                <c:pt idx="30">
                  <c:v>RIO BAÑOS</c:v>
                </c:pt>
                <c:pt idx="31">
                  <c:v>HIDROMARAÑON/ CELEPSA RENOVABLES</c:v>
                </c:pt>
                <c:pt idx="32">
                  <c:v>EGESUR</c:v>
                </c:pt>
                <c:pt idx="33">
                  <c:v>EMGE JUNÍN / SANTA CRUZ</c:v>
                </c:pt>
                <c:pt idx="34">
                  <c:v>HUAURA POWER</c:v>
                </c:pt>
                <c:pt idx="35">
                  <c:v>HIDROELECTRICA HUANCHOR</c:v>
                </c:pt>
                <c:pt idx="36">
                  <c:v>ANDEAN POWER</c:v>
                </c:pt>
                <c:pt idx="37">
                  <c:v>SANTA ANA</c:v>
                </c:pt>
                <c:pt idx="38">
                  <c:v>GEPSA</c:v>
                </c:pt>
                <c:pt idx="39">
                  <c:v>SINERSA</c:v>
                </c:pt>
                <c:pt idx="40">
                  <c:v>P.E. MARCONA</c:v>
                </c:pt>
                <c:pt idx="41">
                  <c:v>INLAND</c:v>
                </c:pt>
                <c:pt idx="42">
                  <c:v>EMGE HUANZA</c:v>
                </c:pt>
                <c:pt idx="43">
                  <c:v>SAN GABAN</c:v>
                </c:pt>
                <c:pt idx="44">
                  <c:v>ENEL GENERACION PIURA</c:v>
                </c:pt>
                <c:pt idx="45">
                  <c:v>P.E. TRES HERMANAS</c:v>
                </c:pt>
                <c:pt idx="46">
                  <c:v>ENERGÍA EÓLICA</c:v>
                </c:pt>
                <c:pt idx="47">
                  <c:v>CHINANGO</c:v>
                </c:pt>
                <c:pt idx="48">
                  <c:v>EGEMSA</c:v>
                </c:pt>
                <c:pt idx="49">
                  <c:v>ENEL GREEN POWER PERU</c:v>
                </c:pt>
                <c:pt idx="50">
                  <c:v>CELEPSA</c:v>
                </c:pt>
                <c:pt idx="51">
                  <c:v>EGASA</c:v>
                </c:pt>
                <c:pt idx="52">
                  <c:v>ORAZUL ENERGY PERÚ</c:v>
                </c:pt>
                <c:pt idx="53">
                  <c:v>STATKRAFT</c:v>
                </c:pt>
                <c:pt idx="54">
                  <c:v>FENIX POWER</c:v>
                </c:pt>
                <c:pt idx="55">
                  <c:v>ENGIE</c:v>
                </c:pt>
                <c:pt idx="56">
                  <c:v>ELECTROPERU</c:v>
                </c:pt>
                <c:pt idx="57">
                  <c:v>ENEL GENERACION PERU</c:v>
                </c:pt>
                <c:pt idx="58">
                  <c:v>KALLPA</c:v>
                </c:pt>
              </c:strCache>
            </c:strRef>
          </c:cat>
          <c:val>
            <c:numRef>
              <c:f>'9. Pot. Empresa'!$M$7:$M$65</c:f>
              <c:numCache>
                <c:formatCode>0</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0.81805000000000005</c:v>
                </c:pt>
                <c:pt idx="19">
                  <c:v>0.83913000000000004</c:v>
                </c:pt>
                <c:pt idx="20">
                  <c:v>1.7296</c:v>
                </c:pt>
                <c:pt idx="21">
                  <c:v>2.0139</c:v>
                </c:pt>
                <c:pt idx="22">
                  <c:v>3.0442100000000001</c:v>
                </c:pt>
                <c:pt idx="23">
                  <c:v>3.6</c:v>
                </c:pt>
                <c:pt idx="24">
                  <c:v>4.21774</c:v>
                </c:pt>
                <c:pt idx="25">
                  <c:v>4.6867700000000001</c:v>
                </c:pt>
                <c:pt idx="26">
                  <c:v>6.4439500000000001</c:v>
                </c:pt>
                <c:pt idx="27">
                  <c:v>6.5736999999999997</c:v>
                </c:pt>
                <c:pt idx="28">
                  <c:v>6.61374</c:v>
                </c:pt>
                <c:pt idx="29">
                  <c:v>7.8823400000000001</c:v>
                </c:pt>
                <c:pt idx="30">
                  <c:v>9.7921300000000002</c:v>
                </c:pt>
                <c:pt idx="31">
                  <c:v>12.229009999999999</c:v>
                </c:pt>
                <c:pt idx="32">
                  <c:v>13.41</c:v>
                </c:pt>
                <c:pt idx="33">
                  <c:v>13.482089999999999</c:v>
                </c:pt>
                <c:pt idx="34">
                  <c:v>13.62419</c:v>
                </c:pt>
                <c:pt idx="35">
                  <c:v>16.170090000000002</c:v>
                </c:pt>
                <c:pt idx="36">
                  <c:v>17.384630000000001</c:v>
                </c:pt>
                <c:pt idx="37">
                  <c:v>20.144839999999999</c:v>
                </c:pt>
                <c:pt idx="38">
                  <c:v>21.141729999999999</c:v>
                </c:pt>
                <c:pt idx="39">
                  <c:v>21.43946</c:v>
                </c:pt>
                <c:pt idx="40">
                  <c:v>31.946929999999998</c:v>
                </c:pt>
                <c:pt idx="41">
                  <c:v>60.02216</c:v>
                </c:pt>
                <c:pt idx="42">
                  <c:v>67.475179999999995</c:v>
                </c:pt>
                <c:pt idx="43">
                  <c:v>78.888030000000001</c:v>
                </c:pt>
                <c:pt idx="44">
                  <c:v>91.021820000000005</c:v>
                </c:pt>
                <c:pt idx="45">
                  <c:v>91.666669999999996</c:v>
                </c:pt>
                <c:pt idx="46">
                  <c:v>99.272949999999994</c:v>
                </c:pt>
                <c:pt idx="47">
                  <c:v>115.36628999999999</c:v>
                </c:pt>
                <c:pt idx="48">
                  <c:v>117.06838</c:v>
                </c:pt>
                <c:pt idx="49">
                  <c:v>125.65469</c:v>
                </c:pt>
                <c:pt idx="50">
                  <c:v>137.56891000000002</c:v>
                </c:pt>
                <c:pt idx="51">
                  <c:v>146.96161999999995</c:v>
                </c:pt>
                <c:pt idx="52">
                  <c:v>157.02723</c:v>
                </c:pt>
                <c:pt idx="53">
                  <c:v>279.18975</c:v>
                </c:pt>
                <c:pt idx="54">
                  <c:v>544.87508000000003</c:v>
                </c:pt>
                <c:pt idx="55">
                  <c:v>785.97140000000013</c:v>
                </c:pt>
                <c:pt idx="56">
                  <c:v>847.23167999999998</c:v>
                </c:pt>
                <c:pt idx="57">
                  <c:v>1090.2225800000001</c:v>
                </c:pt>
                <c:pt idx="58">
                  <c:v>1262.5481599999998</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Empresa'!$L$7:$L$65</c:f>
              <c:strCache>
                <c:ptCount val="59"/>
                <c:pt idx="0">
                  <c:v>SAN JACINTO</c:v>
                </c:pt>
                <c:pt idx="1">
                  <c:v>TERMOSELVA</c:v>
                </c:pt>
                <c:pt idx="2">
                  <c:v>TERMOCHILCA</c:v>
                </c:pt>
                <c:pt idx="3">
                  <c:v>TACNA SOLAR</c:v>
                </c:pt>
                <c:pt idx="4">
                  <c:v>SHOUGESA</c:v>
                </c:pt>
                <c:pt idx="5">
                  <c:v>SDF ENERGIA</c:v>
                </c:pt>
                <c:pt idx="6">
                  <c:v>SAMAY I</c:v>
                </c:pt>
                <c:pt idx="7">
                  <c:v>PLANTA  ETEN</c:v>
                </c:pt>
                <c:pt idx="8">
                  <c:v>PANAMERICANA SOLAR</c:v>
                </c:pt>
                <c:pt idx="9">
                  <c:v>MOQUEGUA FV</c:v>
                </c:pt>
                <c:pt idx="10">
                  <c:v>IYEPSA</c:v>
                </c:pt>
                <c:pt idx="11">
                  <c:v>HYDRO PATAPO</c:v>
                </c:pt>
                <c:pt idx="12">
                  <c:v>GTS REPARTICION</c:v>
                </c:pt>
                <c:pt idx="13">
                  <c:v>GTS MAJES</c:v>
                </c:pt>
                <c:pt idx="14">
                  <c:v>CERRO VERDE</c:v>
                </c:pt>
                <c:pt idx="15">
                  <c:v>BIOENERGIA</c:v>
                </c:pt>
                <c:pt idx="16">
                  <c:v>AIPSA</c:v>
                </c:pt>
                <c:pt idx="17">
                  <c:v>AGROAURORA</c:v>
                </c:pt>
                <c:pt idx="18">
                  <c:v>ELECTRICA SANTA ROSA / ATRIA</c:v>
                </c:pt>
                <c:pt idx="19">
                  <c:v>MAJA ENERGIA</c:v>
                </c:pt>
                <c:pt idx="20">
                  <c:v>EGECSAC</c:v>
                </c:pt>
                <c:pt idx="21">
                  <c:v>ELECTRICA YANAPAMPA</c:v>
                </c:pt>
                <c:pt idx="22">
                  <c:v>AGUA AZUL</c:v>
                </c:pt>
                <c:pt idx="23">
                  <c:v>HIDROCAÑETE</c:v>
                </c:pt>
                <c:pt idx="24">
                  <c:v>INVERSION DE ENERGÍA RENOVABLES</c:v>
                </c:pt>
                <c:pt idx="25">
                  <c:v>GENERACIÓN ANDINA</c:v>
                </c:pt>
                <c:pt idx="26">
                  <c:v>EMGE HUALLAGA</c:v>
                </c:pt>
                <c:pt idx="27">
                  <c:v>ELECTRO ZAÑA</c:v>
                </c:pt>
                <c:pt idx="28">
                  <c:v>PETRAMAS</c:v>
                </c:pt>
                <c:pt idx="29">
                  <c:v>RIO DOBLE</c:v>
                </c:pt>
                <c:pt idx="30">
                  <c:v>RIO BAÑOS</c:v>
                </c:pt>
                <c:pt idx="31">
                  <c:v>HIDROMARAÑON/ CELEPSA RENOVABLES</c:v>
                </c:pt>
                <c:pt idx="32">
                  <c:v>EGESUR</c:v>
                </c:pt>
                <c:pt idx="33">
                  <c:v>EMGE JUNÍN / SANTA CRUZ</c:v>
                </c:pt>
                <c:pt idx="34">
                  <c:v>HUAURA POWER</c:v>
                </c:pt>
                <c:pt idx="35">
                  <c:v>HIDROELECTRICA HUANCHOR</c:v>
                </c:pt>
                <c:pt idx="36">
                  <c:v>ANDEAN POWER</c:v>
                </c:pt>
                <c:pt idx="37">
                  <c:v>SANTA ANA</c:v>
                </c:pt>
                <c:pt idx="38">
                  <c:v>GEPSA</c:v>
                </c:pt>
                <c:pt idx="39">
                  <c:v>SINERSA</c:v>
                </c:pt>
                <c:pt idx="40">
                  <c:v>P.E. MARCONA</c:v>
                </c:pt>
                <c:pt idx="41">
                  <c:v>INLAND</c:v>
                </c:pt>
                <c:pt idx="42">
                  <c:v>EMGE HUANZA</c:v>
                </c:pt>
                <c:pt idx="43">
                  <c:v>SAN GABAN</c:v>
                </c:pt>
                <c:pt idx="44">
                  <c:v>ENEL GENERACION PIURA</c:v>
                </c:pt>
                <c:pt idx="45">
                  <c:v>P.E. TRES HERMANAS</c:v>
                </c:pt>
                <c:pt idx="46">
                  <c:v>ENERGÍA EÓLICA</c:v>
                </c:pt>
                <c:pt idx="47">
                  <c:v>CHINANGO</c:v>
                </c:pt>
                <c:pt idx="48">
                  <c:v>EGEMSA</c:v>
                </c:pt>
                <c:pt idx="49">
                  <c:v>ENEL GREEN POWER PERU</c:v>
                </c:pt>
                <c:pt idx="50">
                  <c:v>CELEPSA</c:v>
                </c:pt>
                <c:pt idx="51">
                  <c:v>EGASA</c:v>
                </c:pt>
                <c:pt idx="52">
                  <c:v>ORAZUL ENERGY PERÚ</c:v>
                </c:pt>
                <c:pt idx="53">
                  <c:v>STATKRAFT</c:v>
                </c:pt>
                <c:pt idx="54">
                  <c:v>FENIX POWER</c:v>
                </c:pt>
                <c:pt idx="55">
                  <c:v>ENGIE</c:v>
                </c:pt>
                <c:pt idx="56">
                  <c:v>ELECTROPERU</c:v>
                </c:pt>
                <c:pt idx="57">
                  <c:v>ENEL GENERACION PERU</c:v>
                </c:pt>
                <c:pt idx="58">
                  <c:v>KALLPA</c:v>
                </c:pt>
              </c:strCache>
            </c:strRef>
          </c:cat>
          <c:val>
            <c:numRef>
              <c:f>'9. Pot. Empresa'!$N$7:$N$65</c:f>
              <c:numCache>
                <c:formatCode>0</c:formatCode>
                <c:ptCount val="59"/>
                <c:pt idx="0">
                  <c:v>6.8680000000000003</c:v>
                </c:pt>
                <c:pt idx="1">
                  <c:v>167.28831</c:v>
                </c:pt>
                <c:pt idx="2">
                  <c:v>287.88475</c:v>
                </c:pt>
                <c:pt idx="3">
                  <c:v>0</c:v>
                </c:pt>
                <c:pt idx="4">
                  <c:v>0</c:v>
                </c:pt>
                <c:pt idx="5">
                  <c:v>28.627479999999998</c:v>
                </c:pt>
                <c:pt idx="6">
                  <c:v>0</c:v>
                </c:pt>
                <c:pt idx="7">
                  <c:v>0</c:v>
                </c:pt>
                <c:pt idx="8">
                  <c:v>0</c:v>
                </c:pt>
                <c:pt idx="9">
                  <c:v>0</c:v>
                </c:pt>
                <c:pt idx="10">
                  <c:v>0</c:v>
                </c:pt>
                <c:pt idx="11">
                  <c:v>0</c:v>
                </c:pt>
                <c:pt idx="12">
                  <c:v>0</c:v>
                </c:pt>
                <c:pt idx="13">
                  <c:v>0</c:v>
                </c:pt>
                <c:pt idx="14">
                  <c:v>0</c:v>
                </c:pt>
                <c:pt idx="16">
                  <c:v>14.317920000000001</c:v>
                </c:pt>
                <c:pt idx="17">
                  <c:v>0</c:v>
                </c:pt>
                <c:pt idx="18">
                  <c:v>1.728E-2</c:v>
                </c:pt>
                <c:pt idx="19">
                  <c:v>1.7833999999999999</c:v>
                </c:pt>
                <c:pt idx="20">
                  <c:v>4.9809799999999997</c:v>
                </c:pt>
                <c:pt idx="21">
                  <c:v>1.8469500000000001</c:v>
                </c:pt>
                <c:pt idx="22">
                  <c:v>3.5552600000000001</c:v>
                </c:pt>
                <c:pt idx="23">
                  <c:v>3.6</c:v>
                </c:pt>
                <c:pt idx="26">
                  <c:v>6.4285699999999997</c:v>
                </c:pt>
                <c:pt idx="27">
                  <c:v>6.9106399999999999</c:v>
                </c:pt>
                <c:pt idx="28">
                  <c:v>7.7927999999999997</c:v>
                </c:pt>
                <c:pt idx="29">
                  <c:v>4.5350599999999996</c:v>
                </c:pt>
                <c:pt idx="30">
                  <c:v>12.18479</c:v>
                </c:pt>
                <c:pt idx="31">
                  <c:v>13.182869999999999</c:v>
                </c:pt>
                <c:pt idx="32">
                  <c:v>25.86</c:v>
                </c:pt>
                <c:pt idx="33">
                  <c:v>16.225819999999999</c:v>
                </c:pt>
                <c:pt idx="34">
                  <c:v>14.84337</c:v>
                </c:pt>
                <c:pt idx="35">
                  <c:v>18.527999999999999</c:v>
                </c:pt>
                <c:pt idx="36">
                  <c:v>15.855229999999999</c:v>
                </c:pt>
                <c:pt idx="37">
                  <c:v>20.00085</c:v>
                </c:pt>
                <c:pt idx="38">
                  <c:v>22.363440000000001</c:v>
                </c:pt>
                <c:pt idx="39">
                  <c:v>23.643570000000004</c:v>
                </c:pt>
                <c:pt idx="40">
                  <c:v>30.807130000000001</c:v>
                </c:pt>
                <c:pt idx="41">
                  <c:v>65.870020000000011</c:v>
                </c:pt>
                <c:pt idx="42">
                  <c:v>59.373419999999996</c:v>
                </c:pt>
                <c:pt idx="43">
                  <c:v>99.512879999999996</c:v>
                </c:pt>
                <c:pt idx="44">
                  <c:v>91.333510000000004</c:v>
                </c:pt>
                <c:pt idx="45">
                  <c:v>87.321700000000007</c:v>
                </c:pt>
                <c:pt idx="46">
                  <c:v>61.083310000000004</c:v>
                </c:pt>
                <c:pt idx="47">
                  <c:v>87.994110000000006</c:v>
                </c:pt>
                <c:pt idx="48">
                  <c:v>126.30718999999999</c:v>
                </c:pt>
                <c:pt idx="49">
                  <c:v>129.72591</c:v>
                </c:pt>
                <c:pt idx="50">
                  <c:v>57.046239999999997</c:v>
                </c:pt>
                <c:pt idx="51">
                  <c:v>150.46375000000003</c:v>
                </c:pt>
                <c:pt idx="52">
                  <c:v>147.59696</c:v>
                </c:pt>
                <c:pt idx="53">
                  <c:v>225.76106999999999</c:v>
                </c:pt>
                <c:pt idx="54">
                  <c:v>545.92955000000006</c:v>
                </c:pt>
                <c:pt idx="55">
                  <c:v>917.55417000000011</c:v>
                </c:pt>
                <c:pt idx="56">
                  <c:v>856.78128000000004</c:v>
                </c:pt>
                <c:pt idx="57">
                  <c:v>1169.6795699999998</c:v>
                </c:pt>
                <c:pt idx="58">
                  <c:v>1052.8701000000001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formatCode="0.0">
                  <c:v>226.44200129999999</c:v>
                </c:pt>
                <c:pt idx="18" formatCode="0.0">
                  <c:v>227.14199830000001</c:v>
                </c:pt>
                <c:pt idx="19" formatCode="0.0">
                  <c:v>227.625</c:v>
                </c:pt>
                <c:pt idx="20" formatCode="0.0">
                  <c:v>227.75800000000001</c:v>
                </c:pt>
                <c:pt idx="21" formatCode="0.0">
                  <c:v>226.41700739999999</c:v>
                </c:pt>
                <c:pt idx="22" formatCode="0.0">
                  <c:v>224.4589996</c:v>
                </c:pt>
                <c:pt idx="23" formatCode="0.0">
                  <c:v>220.634994506835</c:v>
                </c:pt>
                <c:pt idx="24" formatCode="0.0">
                  <c:v>218.28599550000001</c:v>
                </c:pt>
                <c:pt idx="25" formatCode="0.0">
                  <c:v>214.90499879999999</c:v>
                </c:pt>
                <c:pt idx="26" formatCode="0.0">
                  <c:v>210.91799926757801</c:v>
                </c:pt>
                <c:pt idx="27" formatCode="0.0">
                  <c:v>207.96099849999999</c:v>
                </c:pt>
                <c:pt idx="28" formatCode="0.0">
                  <c:v>205.66700739999999</c:v>
                </c:pt>
                <c:pt idx="29" formatCode="0.0">
                  <c:v>197.3999939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_(* #,##0.00_);_(* \(#,##0.00\);_(* "-"??_);_(@_)</c:formatCode>
                <c:ptCount val="53"/>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formatCode="General">
                  <c:v>296.54501340000002</c:v>
                </c:pt>
                <c:pt idx="14" formatCode="General">
                  <c:v>289.60299680000003</c:v>
                </c:pt>
                <c:pt idx="15" formatCode="General">
                  <c:v>285.006012</c:v>
                </c:pt>
                <c:pt idx="16" formatCode="General">
                  <c:v>285.00601196289</c:v>
                </c:pt>
                <c:pt idx="17" formatCode="General">
                  <c:v>285.006012</c:v>
                </c:pt>
                <c:pt idx="18" formatCode="General">
                  <c:v>314.7409973</c:v>
                </c:pt>
                <c:pt idx="19" formatCode="General">
                  <c:v>314.14801030000001</c:v>
                </c:pt>
                <c:pt idx="20" formatCode="0.000">
                  <c:v>312.37200927734301</c:v>
                </c:pt>
                <c:pt idx="21" formatCode="0.000">
                  <c:v>310.60000609999997</c:v>
                </c:pt>
                <c:pt idx="22" formatCode="0.000">
                  <c:v>307.06500240000003</c:v>
                </c:pt>
                <c:pt idx="23" formatCode="0.000">
                  <c:v>300.621002197265</c:v>
                </c:pt>
                <c:pt idx="24" formatCode="0.000">
                  <c:v>286.72698969999999</c:v>
                </c:pt>
                <c:pt idx="25" formatCode="0.000">
                  <c:v>266.86801150000002</c:v>
                </c:pt>
                <c:pt idx="26" formatCode="0.000">
                  <c:v>255.73500061035099</c:v>
                </c:pt>
                <c:pt idx="27" formatCode="0.000">
                  <c:v>244.7590027</c:v>
                </c:pt>
                <c:pt idx="28" formatCode="0.000">
                  <c:v>231.25799559999999</c:v>
                </c:pt>
                <c:pt idx="29" formatCode="0.000">
                  <c:v>219.58000179999999</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formatCode="General">
                  <c:v>398.93495940999998</c:v>
                </c:pt>
                <c:pt idx="14" formatCode="General">
                  <c:v>388.01895332999999</c:v>
                </c:pt>
                <c:pt idx="15" formatCode="General">
                  <c:v>383.39695458999995</c:v>
                </c:pt>
                <c:pt idx="16" formatCode="General">
                  <c:v>381.56399345397853</c:v>
                </c:pt>
                <c:pt idx="17" formatCode="General">
                  <c:v>379.87400246999994</c:v>
                </c:pt>
                <c:pt idx="18" formatCode="General">
                  <c:v>375.69400404000004</c:v>
                </c:pt>
                <c:pt idx="19" formatCode="General">
                  <c:v>370.56599616999995</c:v>
                </c:pt>
                <c:pt idx="20" formatCode="General">
                  <c:v>365.52200794219863</c:v>
                </c:pt>
                <c:pt idx="21" formatCode="General">
                  <c:v>359.19900507300002</c:v>
                </c:pt>
                <c:pt idx="22" formatCode="General">
                  <c:v>354.24799921000005</c:v>
                </c:pt>
                <c:pt idx="23" formatCode="General">
                  <c:v>348.87000203132561</c:v>
                </c:pt>
                <c:pt idx="24" formatCode="General">
                  <c:v>343.83099551700002</c:v>
                </c:pt>
                <c:pt idx="25" formatCode="General">
                  <c:v>338.47100355099997</c:v>
                </c:pt>
                <c:pt idx="26" formatCode="General">
                  <c:v>333.23996639251612</c:v>
                </c:pt>
                <c:pt idx="27" formatCode="General">
                  <c:v>327.71050074999999</c:v>
                </c:pt>
                <c:pt idx="28" formatCode="General">
                  <c:v>322.11699965099996</c:v>
                </c:pt>
                <c:pt idx="29" formatCode="General">
                  <c:v>316.39600081599997</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2070.9468782574995</c:v>
                </c:pt>
                <c:pt idx="1">
                  <c:v>2081.8791732974996</c:v>
                </c:pt>
                <c:pt idx="2">
                  <c:v>4.104278055</c:v>
                </c:pt>
                <c:pt idx="3">
                  <c:v>1.0549771399999999</c:v>
                </c:pt>
                <c:pt idx="4">
                  <c:v>25.485014464999999</c:v>
                </c:pt>
                <c:pt idx="5">
                  <c:v>157.13154374249999</c:v>
                </c:pt>
                <c:pt idx="6">
                  <c:v>57.339797814999997</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1851.0561698024999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0.21856425000000002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14.2059833925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169.46536025500001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61.040101507499998</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'12.Caudales'!$J$4:$K$190</c:f>
              <c:multiLvlStrCache>
                <c:ptCount val="187"/>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0">
                    <c:v>24</c:v>
                  </c:pt>
                  <c:pt idx="186">
                    <c:v>30</c:v>
                  </c:pt>
                </c:lvl>
                <c:lvl>
                  <c:pt idx="0">
                    <c:v>2017</c:v>
                  </c:pt>
                  <c:pt idx="52">
                    <c:v>2018</c:v>
                  </c:pt>
                  <c:pt idx="104">
                    <c:v>2019</c:v>
                  </c:pt>
                  <c:pt idx="157">
                    <c:v>2020</c:v>
                  </c:pt>
                </c:lvl>
              </c:multiLvlStrCache>
            </c:multiLvlStrRef>
          </c:cat>
          <c:val>
            <c:numRef>
              <c:f>'12.Caudales'!$N$4:$N$190</c:f>
              <c:numCache>
                <c:formatCode>0.0</c:formatCode>
                <c:ptCount val="187"/>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pt idx="161">
                  <c:v>189.96014404285714</c:v>
                </c:pt>
                <c:pt idx="162">
                  <c:v>184.55100359235459</c:v>
                </c:pt>
                <c:pt idx="163">
                  <c:v>141.4891401142857</c:v>
                </c:pt>
                <c:pt idx="164">
                  <c:v>83.969571794782198</c:v>
                </c:pt>
                <c:pt idx="165">
                  <c:v>124.34114185428572</c:v>
                </c:pt>
                <c:pt idx="166">
                  <c:v>110.96499854142857</c:v>
                </c:pt>
                <c:pt idx="167">
                  <c:v>130.17914037142856</c:v>
                </c:pt>
                <c:pt idx="168">
                  <c:v>127.86657169886942</c:v>
                </c:pt>
                <c:pt idx="169">
                  <c:v>138.12900325230143</c:v>
                </c:pt>
                <c:pt idx="170">
                  <c:v>109.14457049285714</c:v>
                </c:pt>
                <c:pt idx="171">
                  <c:v>80.133571635714276</c:v>
                </c:pt>
                <c:pt idx="172">
                  <c:v>57.13714327142857</c:v>
                </c:pt>
                <c:pt idx="173">
                  <c:v>55.184285845075259</c:v>
                </c:pt>
                <c:pt idx="174">
                  <c:v>80.201000221428572</c:v>
                </c:pt>
                <c:pt idx="175">
                  <c:v>73.398713792857151</c:v>
                </c:pt>
                <c:pt idx="176">
                  <c:v>57.629714421428567</c:v>
                </c:pt>
                <c:pt idx="177">
                  <c:v>47.208427974155924</c:v>
                </c:pt>
                <c:pt idx="178">
                  <c:v>39.635571071428572</c:v>
                </c:pt>
                <c:pt idx="179">
                  <c:v>49.136857168571431</c:v>
                </c:pt>
                <c:pt idx="180">
                  <c:v>34.150428227015844</c:v>
                </c:pt>
                <c:pt idx="181">
                  <c:v>32.288857598571425</c:v>
                </c:pt>
                <c:pt idx="182">
                  <c:v>29.45585686714286</c:v>
                </c:pt>
                <c:pt idx="183">
                  <c:v>27.986428669520745</c:v>
                </c:pt>
                <c:pt idx="184">
                  <c:v>24.371857235714284</c:v>
                </c:pt>
                <c:pt idx="185">
                  <c:v>23.620857238571428</c:v>
                </c:pt>
                <c:pt idx="186">
                  <c:v>26.757428577142853</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'12.Caudales'!$J$4:$K$190</c:f>
              <c:multiLvlStrCache>
                <c:ptCount val="187"/>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0">
                    <c:v>24</c:v>
                  </c:pt>
                  <c:pt idx="186">
                    <c:v>30</c:v>
                  </c:pt>
                </c:lvl>
                <c:lvl>
                  <c:pt idx="0">
                    <c:v>2017</c:v>
                  </c:pt>
                  <c:pt idx="52">
                    <c:v>2018</c:v>
                  </c:pt>
                  <c:pt idx="104">
                    <c:v>2019</c:v>
                  </c:pt>
                  <c:pt idx="157">
                    <c:v>2020</c:v>
                  </c:pt>
                </c:lvl>
              </c:multiLvlStrCache>
            </c:multiLvlStrRef>
          </c:cat>
          <c:val>
            <c:numRef>
              <c:f>'12.Caudales'!$O$4:$O$190</c:f>
              <c:numCache>
                <c:formatCode>0.0</c:formatCode>
                <c:ptCount val="187"/>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pt idx="161">
                  <c:v>16.347999845714288</c:v>
                </c:pt>
                <c:pt idx="162">
                  <c:v>24.545571190970243</c:v>
                </c:pt>
                <c:pt idx="163">
                  <c:v>17.933714184285712</c:v>
                </c:pt>
                <c:pt idx="164">
                  <c:v>15.5625712530953</c:v>
                </c:pt>
                <c:pt idx="165">
                  <c:v>23.340428760000002</c:v>
                </c:pt>
                <c:pt idx="166">
                  <c:v>51.143429344285714</c:v>
                </c:pt>
                <c:pt idx="167">
                  <c:v>73.820713587142862</c:v>
                </c:pt>
                <c:pt idx="168">
                  <c:v>34.1388571602957</c:v>
                </c:pt>
                <c:pt idx="169">
                  <c:v>66.457714898245612</c:v>
                </c:pt>
                <c:pt idx="170">
                  <c:v>82.626999985714278</c:v>
                </c:pt>
                <c:pt idx="171">
                  <c:v>89.91342707714287</c:v>
                </c:pt>
                <c:pt idx="172">
                  <c:v>73.487428932857142</c:v>
                </c:pt>
                <c:pt idx="173">
                  <c:v>80.585714067731558</c:v>
                </c:pt>
                <c:pt idx="174">
                  <c:v>93.131286082857144</c:v>
                </c:pt>
                <c:pt idx="175">
                  <c:v>43.960427964285714</c:v>
                </c:pt>
                <c:pt idx="176">
                  <c:v>29.038571492857141</c:v>
                </c:pt>
                <c:pt idx="177">
                  <c:v>20.747856957571798</c:v>
                </c:pt>
                <c:pt idx="178">
                  <c:v>28.597570964285715</c:v>
                </c:pt>
                <c:pt idx="179">
                  <c:v>19.104714530000003</c:v>
                </c:pt>
                <c:pt idx="180">
                  <c:v>14.211285591125442</c:v>
                </c:pt>
                <c:pt idx="181">
                  <c:v>11.628714288571429</c:v>
                </c:pt>
                <c:pt idx="182">
                  <c:v>11.67571422</c:v>
                </c:pt>
                <c:pt idx="183">
                  <c:v>27.48885754176543</c:v>
                </c:pt>
                <c:pt idx="184">
                  <c:v>32.395143782857147</c:v>
                </c:pt>
                <c:pt idx="185">
                  <c:v>14.974999971428572</c:v>
                </c:pt>
                <c:pt idx="186">
                  <c:v>14.12842846</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'12.Caudales'!$J$4:$K$190</c:f>
              <c:multiLvlStrCache>
                <c:ptCount val="187"/>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0">
                    <c:v>24</c:v>
                  </c:pt>
                  <c:pt idx="186">
                    <c:v>30</c:v>
                  </c:pt>
                </c:lvl>
                <c:lvl>
                  <c:pt idx="0">
                    <c:v>2017</c:v>
                  </c:pt>
                  <c:pt idx="52">
                    <c:v>2018</c:v>
                  </c:pt>
                  <c:pt idx="104">
                    <c:v>2019</c:v>
                  </c:pt>
                  <c:pt idx="157">
                    <c:v>2020</c:v>
                  </c:pt>
                </c:lvl>
              </c:multiLvlStrCache>
            </c:multiLvlStrRef>
          </c:cat>
          <c:val>
            <c:numRef>
              <c:f>'12.Caudales'!$M$4:$M$190</c:f>
              <c:numCache>
                <c:formatCode>0.0</c:formatCode>
                <c:ptCount val="187"/>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pt idx="161">
                  <c:v>85.997285015714283</c:v>
                </c:pt>
                <c:pt idx="162">
                  <c:v>79.643857683454215</c:v>
                </c:pt>
                <c:pt idx="163">
                  <c:v>62.11542837857143</c:v>
                </c:pt>
                <c:pt idx="164">
                  <c:v>41.134571620396166</c:v>
                </c:pt>
                <c:pt idx="165">
                  <c:v>70.027142117142859</c:v>
                </c:pt>
                <c:pt idx="166">
                  <c:v>51.713285718571434</c:v>
                </c:pt>
                <c:pt idx="167">
                  <c:v>64.999999455714274</c:v>
                </c:pt>
                <c:pt idx="168">
                  <c:v>70.530143192836164</c:v>
                </c:pt>
                <c:pt idx="169">
                  <c:v>73.710714612688278</c:v>
                </c:pt>
                <c:pt idx="170">
                  <c:v>57.796857017142862</c:v>
                </c:pt>
                <c:pt idx="171">
                  <c:v>44.430285317142861</c:v>
                </c:pt>
                <c:pt idx="172">
                  <c:v>30.701856885714285</c:v>
                </c:pt>
                <c:pt idx="173">
                  <c:v>24.932857240949314</c:v>
                </c:pt>
                <c:pt idx="174">
                  <c:v>46.867285591428576</c:v>
                </c:pt>
                <c:pt idx="175">
                  <c:v>39.880857740000003</c:v>
                </c:pt>
                <c:pt idx="176">
                  <c:v>34.332998821428575</c:v>
                </c:pt>
                <c:pt idx="177">
                  <c:v>28.39914212908057</c:v>
                </c:pt>
                <c:pt idx="178">
                  <c:v>19.016142710000004</c:v>
                </c:pt>
                <c:pt idx="179">
                  <c:v>16.323713982857143</c:v>
                </c:pt>
                <c:pt idx="180">
                  <c:v>14.458999906267413</c:v>
                </c:pt>
                <c:pt idx="181">
                  <c:v>13.476999827142858</c:v>
                </c:pt>
                <c:pt idx="182">
                  <c:v>14.175142699999999</c:v>
                </c:pt>
                <c:pt idx="183">
                  <c:v>12.859571456909155</c:v>
                </c:pt>
                <c:pt idx="184">
                  <c:v>11.472142902857144</c:v>
                </c:pt>
                <c:pt idx="185">
                  <c:v>11.32885715142857</c:v>
                </c:pt>
                <c:pt idx="186">
                  <c:v>11.152000155714285</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'13.Caudales'!$N$4:$O$190</c:f>
              <c:multiLvlStrCache>
                <c:ptCount val="187"/>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6">
                    <c:v>30</c:v>
                  </c:pt>
                </c:lvl>
                <c:lvl>
                  <c:pt idx="0">
                    <c:v>2017</c:v>
                  </c:pt>
                  <c:pt idx="52">
                    <c:v>2018</c:v>
                  </c:pt>
                  <c:pt idx="104">
                    <c:v>2019</c:v>
                  </c:pt>
                  <c:pt idx="157">
                    <c:v>2020</c:v>
                  </c:pt>
                </c:lvl>
              </c:multiLvlStrCache>
            </c:multiLvlStrRef>
          </c:cat>
          <c:val>
            <c:numRef>
              <c:f>'13.Caudales'!$Q$4:$Q$190</c:f>
              <c:numCache>
                <c:formatCode>0.0</c:formatCode>
                <c:ptCount val="187"/>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pt idx="161">
                  <c:v>25.675428661428576</c:v>
                </c:pt>
                <c:pt idx="162">
                  <c:v>22.638571330479174</c:v>
                </c:pt>
                <c:pt idx="163">
                  <c:v>24.818285805714286</c:v>
                </c:pt>
                <c:pt idx="164">
                  <c:v>16.877285957336387</c:v>
                </c:pt>
                <c:pt idx="165">
                  <c:v>20.463000162857146</c:v>
                </c:pt>
                <c:pt idx="166">
                  <c:v>20.001714159999999</c:v>
                </c:pt>
                <c:pt idx="167">
                  <c:v>20.464285714285715</c:v>
                </c:pt>
                <c:pt idx="168">
                  <c:v>23.032714026314846</c:v>
                </c:pt>
                <c:pt idx="169">
                  <c:v>27.558857236589642</c:v>
                </c:pt>
                <c:pt idx="170">
                  <c:v>18.795857294285714</c:v>
                </c:pt>
                <c:pt idx="171" formatCode="0.00">
                  <c:v>16.380999974285714</c:v>
                </c:pt>
                <c:pt idx="172">
                  <c:v>15.142857142857142</c:v>
                </c:pt>
                <c:pt idx="173">
                  <c:v>14.535142626081141</c:v>
                </c:pt>
                <c:pt idx="174">
                  <c:v>15.919285638571427</c:v>
                </c:pt>
                <c:pt idx="175">
                  <c:v>16.148714472857144</c:v>
                </c:pt>
                <c:pt idx="176">
                  <c:v>13.91285719</c:v>
                </c:pt>
                <c:pt idx="177">
                  <c:v>12.832571710859</c:v>
                </c:pt>
                <c:pt idx="178">
                  <c:v>11.589857237142857</c:v>
                </c:pt>
                <c:pt idx="179">
                  <c:v>10.866000038571428</c:v>
                </c:pt>
                <c:pt idx="180">
                  <c:v>10.893428530011814</c:v>
                </c:pt>
                <c:pt idx="181">
                  <c:v>9.7685713087142858</c:v>
                </c:pt>
                <c:pt idx="182">
                  <c:v>9.3011428291428579</c:v>
                </c:pt>
                <c:pt idx="183">
                  <c:v>9.0898572376796078</c:v>
                </c:pt>
                <c:pt idx="184">
                  <c:v>8.3315715788571421</c:v>
                </c:pt>
                <c:pt idx="185">
                  <c:v>8.7399999755714273</c:v>
                </c:pt>
                <c:pt idx="186">
                  <c:v>8.2612857819999999</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'13.Caudales'!$N$4:$O$190</c:f>
              <c:multiLvlStrCache>
                <c:ptCount val="187"/>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6">
                    <c:v>30</c:v>
                  </c:pt>
                </c:lvl>
                <c:lvl>
                  <c:pt idx="0">
                    <c:v>2017</c:v>
                  </c:pt>
                  <c:pt idx="52">
                    <c:v>2018</c:v>
                  </c:pt>
                  <c:pt idx="104">
                    <c:v>2019</c:v>
                  </c:pt>
                  <c:pt idx="157">
                    <c:v>2020</c:v>
                  </c:pt>
                </c:lvl>
              </c:multiLvlStrCache>
            </c:multiLvlStrRef>
          </c:cat>
          <c:val>
            <c:numRef>
              <c:f>'13.Caudales'!$R$4:$R$190</c:f>
              <c:numCache>
                <c:formatCode>0.0</c:formatCode>
                <c:ptCount val="187"/>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pt idx="161">
                  <c:v>18.254856927142857</c:v>
                </c:pt>
                <c:pt idx="162">
                  <c:v>17.332571574619813</c:v>
                </c:pt>
                <c:pt idx="163">
                  <c:v>19.436000279999998</c:v>
                </c:pt>
                <c:pt idx="164">
                  <c:v>13.084142684936484</c:v>
                </c:pt>
                <c:pt idx="165">
                  <c:v>16.131428717142857</c:v>
                </c:pt>
                <c:pt idx="166">
                  <c:v>16.133428572857145</c:v>
                </c:pt>
                <c:pt idx="167">
                  <c:v>16.275285719999999</c:v>
                </c:pt>
                <c:pt idx="168">
                  <c:v>20.180714198521169</c:v>
                </c:pt>
                <c:pt idx="169">
                  <c:v>21.319143022809669</c:v>
                </c:pt>
                <c:pt idx="170">
                  <c:v>18.168000220000003</c:v>
                </c:pt>
                <c:pt idx="171" formatCode="0.00">
                  <c:v>14.786285537142858</c:v>
                </c:pt>
                <c:pt idx="172">
                  <c:v>11.113285608857142</c:v>
                </c:pt>
                <c:pt idx="173">
                  <c:v>7.95871441704886</c:v>
                </c:pt>
                <c:pt idx="174">
                  <c:v>12.133857388142859</c:v>
                </c:pt>
                <c:pt idx="175">
                  <c:v>14.776714189999998</c:v>
                </c:pt>
                <c:pt idx="176">
                  <c:v>10.484285559</c:v>
                </c:pt>
                <c:pt idx="177">
                  <c:v>8.7072857448032899</c:v>
                </c:pt>
                <c:pt idx="178">
                  <c:v>7.6087141037142851</c:v>
                </c:pt>
                <c:pt idx="179">
                  <c:v>6.6898570742857144</c:v>
                </c:pt>
                <c:pt idx="180">
                  <c:v>6.3937142235892095</c:v>
                </c:pt>
                <c:pt idx="181">
                  <c:v>5.4858571460000007</c:v>
                </c:pt>
                <c:pt idx="182">
                  <c:v>5.6422856875714285</c:v>
                </c:pt>
                <c:pt idx="183">
                  <c:v>4.8411428587777223</c:v>
                </c:pt>
                <c:pt idx="184">
                  <c:v>4.0902857780000001</c:v>
                </c:pt>
                <c:pt idx="185">
                  <c:v>3.3690000857142857</c:v>
                </c:pt>
                <c:pt idx="186">
                  <c:v>3.9334286622857135</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'13.Caudales'!$N$4:$O$1750</c:f>
              <c:multiLvlStrCache>
                <c:ptCount val="187"/>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6">
                    <c:v>30</c:v>
                  </c:pt>
                </c:lvl>
                <c:lvl>
                  <c:pt idx="0">
                    <c:v>2017</c:v>
                  </c:pt>
                  <c:pt idx="52">
                    <c:v>2018</c:v>
                  </c:pt>
                  <c:pt idx="104">
                    <c:v>2019</c:v>
                  </c:pt>
                  <c:pt idx="157">
                    <c:v>2020</c:v>
                  </c:pt>
                </c:lvl>
              </c:multiLvlStrCache>
            </c:multiLvlStrRef>
          </c:cat>
          <c:val>
            <c:numRef>
              <c:f>'13.Caudales'!$S$4:$S$190</c:f>
              <c:numCache>
                <c:formatCode>0.0</c:formatCode>
                <c:ptCount val="187"/>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pt idx="161">
                  <c:v>392.82542635714287</c:v>
                </c:pt>
                <c:pt idx="162">
                  <c:v>448.59157017299066</c:v>
                </c:pt>
                <c:pt idx="163">
                  <c:v>374.25799560000002</c:v>
                </c:pt>
                <c:pt idx="164">
                  <c:v>289.19357081821948</c:v>
                </c:pt>
                <c:pt idx="165">
                  <c:v>302.38613892857137</c:v>
                </c:pt>
                <c:pt idx="166">
                  <c:v>219.49971445714283</c:v>
                </c:pt>
                <c:pt idx="167">
                  <c:v>210.39014761428572</c:v>
                </c:pt>
                <c:pt idx="168">
                  <c:v>335.19785417829189</c:v>
                </c:pt>
                <c:pt idx="169">
                  <c:v>569.31741768973188</c:v>
                </c:pt>
                <c:pt idx="170">
                  <c:v>298.48543221428571</c:v>
                </c:pt>
                <c:pt idx="171" formatCode="0.00">
                  <c:v>196.30642698571427</c:v>
                </c:pt>
                <c:pt idx="172">
                  <c:v>144.25785718571427</c:v>
                </c:pt>
                <c:pt idx="173">
                  <c:v>118.61742946079741</c:v>
                </c:pt>
                <c:pt idx="174">
                  <c:v>119.46943012857146</c:v>
                </c:pt>
                <c:pt idx="175">
                  <c:v>179.62085941428572</c:v>
                </c:pt>
                <c:pt idx="176">
                  <c:v>132.41042655714287</c:v>
                </c:pt>
                <c:pt idx="177">
                  <c:v>118.96285901750787</c:v>
                </c:pt>
                <c:pt idx="178">
                  <c:v>92.527713229999989</c:v>
                </c:pt>
                <c:pt idx="179">
                  <c:v>86.262142725714284</c:v>
                </c:pt>
                <c:pt idx="180">
                  <c:v>80.154999869210343</c:v>
                </c:pt>
                <c:pt idx="181">
                  <c:v>71.438000270000003</c:v>
                </c:pt>
                <c:pt idx="182">
                  <c:v>70.798141479999998</c:v>
                </c:pt>
                <c:pt idx="183">
                  <c:v>72.323284694126613</c:v>
                </c:pt>
                <c:pt idx="184">
                  <c:v>70.352427891428562</c:v>
                </c:pt>
                <c:pt idx="185">
                  <c:v>69.363000051428585</c:v>
                </c:pt>
                <c:pt idx="186">
                  <c:v>68.101856775714282</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'13.Caudales'!$N$4:$O$1750</c:f>
              <c:multiLvlStrCache>
                <c:ptCount val="187"/>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6">
                    <c:v>30</c:v>
                  </c:pt>
                </c:lvl>
                <c:lvl>
                  <c:pt idx="0">
                    <c:v>2017</c:v>
                  </c:pt>
                  <c:pt idx="52">
                    <c:v>2018</c:v>
                  </c:pt>
                  <c:pt idx="104">
                    <c:v>2019</c:v>
                  </c:pt>
                  <c:pt idx="157">
                    <c:v>2020</c:v>
                  </c:pt>
                </c:lvl>
              </c:multiLvlStrCache>
            </c:multiLvlStrRef>
          </c:cat>
          <c:val>
            <c:numRef>
              <c:f>'13.Caudales'!$T$4:$T$190</c:f>
              <c:numCache>
                <c:formatCode>0.0</c:formatCode>
                <c:ptCount val="187"/>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pt idx="161">
                  <c:v>216.11300005714287</c:v>
                </c:pt>
                <c:pt idx="162">
                  <c:v>221.35714285714261</c:v>
                </c:pt>
                <c:pt idx="163">
                  <c:v>142.54771639999998</c:v>
                </c:pt>
                <c:pt idx="164">
                  <c:v>162.01200212751087</c:v>
                </c:pt>
                <c:pt idx="165">
                  <c:v>174.72028894285717</c:v>
                </c:pt>
                <c:pt idx="166">
                  <c:v>118.91071428571429</c:v>
                </c:pt>
                <c:pt idx="167">
                  <c:v>145.36899785714286</c:v>
                </c:pt>
                <c:pt idx="168">
                  <c:v>171.26185716901472</c:v>
                </c:pt>
                <c:pt idx="169">
                  <c:v>241.59529113769531</c:v>
                </c:pt>
                <c:pt idx="170">
                  <c:v>156.28586031428571</c:v>
                </c:pt>
                <c:pt idx="171" formatCode="0.00">
                  <c:v>126.20242854857143</c:v>
                </c:pt>
                <c:pt idx="172">
                  <c:v>112.32742854857143</c:v>
                </c:pt>
                <c:pt idx="173">
                  <c:v>86.636999947684131</c:v>
                </c:pt>
                <c:pt idx="174">
                  <c:v>95.79771531714286</c:v>
                </c:pt>
                <c:pt idx="175">
                  <c:v>63.654857091428575</c:v>
                </c:pt>
                <c:pt idx="176">
                  <c:v>63.017857142857146</c:v>
                </c:pt>
                <c:pt idx="177">
                  <c:v>55.553428649902308</c:v>
                </c:pt>
                <c:pt idx="178">
                  <c:v>48.85114288285714</c:v>
                </c:pt>
                <c:pt idx="179">
                  <c:v>49.02971431142857</c:v>
                </c:pt>
                <c:pt idx="180">
                  <c:v>39.363000052315797</c:v>
                </c:pt>
                <c:pt idx="181">
                  <c:v>31.88514287142857</c:v>
                </c:pt>
                <c:pt idx="182">
                  <c:v>29.80342864857143</c:v>
                </c:pt>
                <c:pt idx="183">
                  <c:v>28.875142778669062</c:v>
                </c:pt>
                <c:pt idx="184">
                  <c:v>27.071428571428573</c:v>
                </c:pt>
                <c:pt idx="185">
                  <c:v>26.369142805714286</c:v>
                </c:pt>
                <c:pt idx="186">
                  <c:v>26.369142805714286</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'13.Caudales'!$N$4:$O$190</c:f>
              <c:multiLvlStrCache>
                <c:ptCount val="187"/>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6">
                    <c:v>30</c:v>
                  </c:pt>
                </c:lvl>
                <c:lvl>
                  <c:pt idx="0">
                    <c:v>2017</c:v>
                  </c:pt>
                  <c:pt idx="52">
                    <c:v>2018</c:v>
                  </c:pt>
                  <c:pt idx="104">
                    <c:v>2019</c:v>
                  </c:pt>
                  <c:pt idx="157">
                    <c:v>2020</c:v>
                  </c:pt>
                </c:lvl>
              </c:multiLvlStrCache>
            </c:multiLvlStrRef>
          </c:cat>
          <c:val>
            <c:numRef>
              <c:f>'13.Caudales'!$U$4:$U$190</c:f>
              <c:numCache>
                <c:formatCode>0.0</c:formatCode>
                <c:ptCount val="187"/>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pt idx="161">
                  <c:v>48.707714625714289</c:v>
                </c:pt>
                <c:pt idx="162">
                  <c:v>51.925000326974022</c:v>
                </c:pt>
                <c:pt idx="163">
                  <c:v>37.997142247142854</c:v>
                </c:pt>
                <c:pt idx="164">
                  <c:v>30.780285699026873</c:v>
                </c:pt>
                <c:pt idx="165">
                  <c:v>36.13400023285714</c:v>
                </c:pt>
                <c:pt idx="166">
                  <c:v>22.61842863857143</c:v>
                </c:pt>
                <c:pt idx="167">
                  <c:v>39.343428748571434</c:v>
                </c:pt>
                <c:pt idx="168">
                  <c:v>46.286999838692772</c:v>
                </c:pt>
                <c:pt idx="169">
                  <c:v>63.414285387311629</c:v>
                </c:pt>
                <c:pt idx="170">
                  <c:v>40.567142485714285</c:v>
                </c:pt>
                <c:pt idx="171" formatCode="0.00">
                  <c:v>27.609000341428576</c:v>
                </c:pt>
                <c:pt idx="172">
                  <c:v>23.319143022857144</c:v>
                </c:pt>
                <c:pt idx="173">
                  <c:v>19.662570953369116</c:v>
                </c:pt>
                <c:pt idx="174">
                  <c:v>21.329571314285715</c:v>
                </c:pt>
                <c:pt idx="175">
                  <c:v>18.961428234285709</c:v>
                </c:pt>
                <c:pt idx="176">
                  <c:v>17.724285941428572</c:v>
                </c:pt>
                <c:pt idx="177">
                  <c:v>14.547714369637587</c:v>
                </c:pt>
                <c:pt idx="178">
                  <c:v>12.851142882857143</c:v>
                </c:pt>
                <c:pt idx="179">
                  <c:v>13.300571305714286</c:v>
                </c:pt>
                <c:pt idx="180">
                  <c:v>11.205857140677287</c:v>
                </c:pt>
                <c:pt idx="181">
                  <c:v>9.1724285395714276</c:v>
                </c:pt>
                <c:pt idx="182">
                  <c:v>8.6642858641428564</c:v>
                </c:pt>
                <c:pt idx="183">
                  <c:v>8.3150001253400507</c:v>
                </c:pt>
                <c:pt idx="184">
                  <c:v>7.9792855807142846</c:v>
                </c:pt>
                <c:pt idx="185">
                  <c:v>7.2952857698571441</c:v>
                </c:pt>
                <c:pt idx="186">
                  <c:v>7.5452858379999999</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'13.Caudales'!$N$4:$O$190</c:f>
              <c:multiLvlStrCache>
                <c:ptCount val="187"/>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6">
                    <c:v>30</c:v>
                  </c:pt>
                </c:lvl>
                <c:lvl>
                  <c:pt idx="0">
                    <c:v>2017</c:v>
                  </c:pt>
                  <c:pt idx="52">
                    <c:v>2018</c:v>
                  </c:pt>
                  <c:pt idx="104">
                    <c:v>2019</c:v>
                  </c:pt>
                  <c:pt idx="157">
                    <c:v>2020</c:v>
                  </c:pt>
                </c:lvl>
              </c:multiLvlStrCache>
            </c:multiLvlStrRef>
          </c:cat>
          <c:val>
            <c:numRef>
              <c:f>'13.Caudales'!$V$4:$V$190</c:f>
              <c:numCache>
                <c:formatCode>0.0</c:formatCode>
                <c:ptCount val="187"/>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pt idx="161">
                  <c:v>14.496191432857142</c:v>
                </c:pt>
                <c:pt idx="162">
                  <c:v>17.659045491899729</c:v>
                </c:pt>
                <c:pt idx="163">
                  <c:v>23.642735891428568</c:v>
                </c:pt>
                <c:pt idx="164">
                  <c:v>23.681545802525072</c:v>
                </c:pt>
                <c:pt idx="165">
                  <c:v>23.625475747142854</c:v>
                </c:pt>
                <c:pt idx="166">
                  <c:v>23.72583552857143</c:v>
                </c:pt>
                <c:pt idx="167">
                  <c:v>23.714347295714287</c:v>
                </c:pt>
                <c:pt idx="168">
                  <c:v>23.623331614903002</c:v>
                </c:pt>
                <c:pt idx="169">
                  <c:v>22.128154209681874</c:v>
                </c:pt>
                <c:pt idx="170">
                  <c:v>21.36</c:v>
                </c:pt>
                <c:pt idx="171" formatCode="0.00">
                  <c:v>23.601429802857144</c:v>
                </c:pt>
                <c:pt idx="172">
                  <c:v>16.145714351428573</c:v>
                </c:pt>
                <c:pt idx="173">
                  <c:v>14.007261548723459</c:v>
                </c:pt>
                <c:pt idx="174">
                  <c:v>12.484048571428572</c:v>
                </c:pt>
                <c:pt idx="175">
                  <c:v>11.436902861999998</c:v>
                </c:pt>
                <c:pt idx="176">
                  <c:v>12.01881</c:v>
                </c:pt>
                <c:pt idx="177">
                  <c:v>11.963334356035457</c:v>
                </c:pt>
                <c:pt idx="178">
                  <c:v>11.972144264285713</c:v>
                </c:pt>
                <c:pt idx="179">
                  <c:v>12.060297148571431</c:v>
                </c:pt>
                <c:pt idx="180">
                  <c:v>12.025059972490542</c:v>
                </c:pt>
                <c:pt idx="181">
                  <c:v>11.867550168571428</c:v>
                </c:pt>
                <c:pt idx="182">
                  <c:v>11.961507115714285</c:v>
                </c:pt>
                <c:pt idx="183">
                  <c:v>12.125935554504371</c:v>
                </c:pt>
                <c:pt idx="184">
                  <c:v>12.036131450000001</c:v>
                </c:pt>
                <c:pt idx="185">
                  <c:v>12.01250158142857</c:v>
                </c:pt>
                <c:pt idx="186">
                  <c:v>12.065415654285715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'13.Caudales'!$N$4:$O$190</c:f>
              <c:multiLvlStrCache>
                <c:ptCount val="187"/>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6">
                    <c:v>30</c:v>
                  </c:pt>
                </c:lvl>
                <c:lvl>
                  <c:pt idx="0">
                    <c:v>2017</c:v>
                  </c:pt>
                  <c:pt idx="52">
                    <c:v>2018</c:v>
                  </c:pt>
                  <c:pt idx="104">
                    <c:v>2019</c:v>
                  </c:pt>
                  <c:pt idx="157">
                    <c:v>2020</c:v>
                  </c:pt>
                </c:lvl>
              </c:multiLvlStrCache>
            </c:multiLvlStrRef>
          </c:cat>
          <c:val>
            <c:numRef>
              <c:f>'13.Caudales'!$W$4:$W$190</c:f>
              <c:numCache>
                <c:formatCode>0.0</c:formatCode>
                <c:ptCount val="187"/>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pt idx="161">
                  <c:v>2.6891428574285712</c:v>
                </c:pt>
                <c:pt idx="162">
                  <c:v>9.7964284079415354</c:v>
                </c:pt>
                <c:pt idx="163">
                  <c:v>10.810714449000001</c:v>
                </c:pt>
                <c:pt idx="164">
                  <c:v>21.290571621486073</c:v>
                </c:pt>
                <c:pt idx="165">
                  <c:v>11.064000130142858</c:v>
                </c:pt>
                <c:pt idx="166">
                  <c:v>5.0324285712857142</c:v>
                </c:pt>
                <c:pt idx="167">
                  <c:v>12.165999821428571</c:v>
                </c:pt>
                <c:pt idx="168">
                  <c:v>11.119714055742502</c:v>
                </c:pt>
                <c:pt idx="169">
                  <c:v>6.0048571995326432</c:v>
                </c:pt>
                <c:pt idx="170">
                  <c:v>4.6619999238571435</c:v>
                </c:pt>
                <c:pt idx="171" formatCode="0.00">
                  <c:v>2.5870000464285714</c:v>
                </c:pt>
                <c:pt idx="172">
                  <c:v>1.9568571534285717</c:v>
                </c:pt>
                <c:pt idx="173">
                  <c:v>2.0897142546517471</c:v>
                </c:pt>
                <c:pt idx="174">
                  <c:v>2.074857081857143</c:v>
                </c:pt>
                <c:pt idx="175">
                  <c:v>1.6491428614285712</c:v>
                </c:pt>
                <c:pt idx="176">
                  <c:v>1.6491428614285712</c:v>
                </c:pt>
                <c:pt idx="177">
                  <c:v>1.6175714560917398</c:v>
                </c:pt>
                <c:pt idx="178">
                  <c:v>1.7258571555714286</c:v>
                </c:pt>
                <c:pt idx="179">
                  <c:v>2.2755714314285713</c:v>
                </c:pt>
                <c:pt idx="180">
                  <c:v>2.2755714314324473</c:v>
                </c:pt>
                <c:pt idx="181">
                  <c:v>1.7577142885714285</c:v>
                </c:pt>
                <c:pt idx="182">
                  <c:v>1.7387143204285713</c:v>
                </c:pt>
                <c:pt idx="183">
                  <c:v>2.0545714242117699</c:v>
                </c:pt>
                <c:pt idx="184">
                  <c:v>1.862857103571429</c:v>
                </c:pt>
                <c:pt idx="185">
                  <c:v>2.1428571427142855</c:v>
                </c:pt>
                <c:pt idx="186">
                  <c:v>2.0148571899999999</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'13.Caudales'!$Y$4:$Y$190</c:f>
              <c:numCache>
                <c:formatCode>0.0</c:formatCode>
                <c:ptCount val="187"/>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pt idx="161">
                  <c:v>99.128998899999985</c:v>
                </c:pt>
                <c:pt idx="162">
                  <c:v>151.47385733468144</c:v>
                </c:pt>
                <c:pt idx="163">
                  <c:v>148.12728554285715</c:v>
                </c:pt>
                <c:pt idx="164">
                  <c:v>143.28899928501644</c:v>
                </c:pt>
                <c:pt idx="165">
                  <c:v>84.357999531428575</c:v>
                </c:pt>
                <c:pt idx="166">
                  <c:v>76.472572329999977</c:v>
                </c:pt>
                <c:pt idx="167">
                  <c:v>110.78628649857141</c:v>
                </c:pt>
                <c:pt idx="168">
                  <c:v>113.32999965122723</c:v>
                </c:pt>
                <c:pt idx="169">
                  <c:v>97.158571515764294</c:v>
                </c:pt>
                <c:pt idx="170">
                  <c:v>87.023999895714283</c:v>
                </c:pt>
                <c:pt idx="171" formatCode="0.00">
                  <c:v>56.692000798571428</c:v>
                </c:pt>
                <c:pt idx="172">
                  <c:v>41.578285762857142</c:v>
                </c:pt>
                <c:pt idx="173">
                  <c:v>32.277857099260544</c:v>
                </c:pt>
                <c:pt idx="174">
                  <c:v>27.218570980000003</c:v>
                </c:pt>
                <c:pt idx="175">
                  <c:v>23.996714454285712</c:v>
                </c:pt>
                <c:pt idx="176">
                  <c:v>27.218570980000003</c:v>
                </c:pt>
                <c:pt idx="177">
                  <c:v>17.639571326119512</c:v>
                </c:pt>
                <c:pt idx="178">
                  <c:v>13.389714241428573</c:v>
                </c:pt>
                <c:pt idx="179">
                  <c:v>13.06000001</c:v>
                </c:pt>
                <c:pt idx="180">
                  <c:v>10.094714164733857</c:v>
                </c:pt>
                <c:pt idx="181">
                  <c:v>9.1595716474285691</c:v>
                </c:pt>
                <c:pt idx="182">
                  <c:v>8.8348572594285706</c:v>
                </c:pt>
                <c:pt idx="183">
                  <c:v>8.4665715353829452</c:v>
                </c:pt>
                <c:pt idx="184">
                  <c:v>7.6952857290000001</c:v>
                </c:pt>
                <c:pt idx="185">
                  <c:v>7.1297142847142867</c:v>
                </c:pt>
                <c:pt idx="186">
                  <c:v>8.1214285577142853</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'13.Caudales'!$X$4:$X$190</c:f>
              <c:numCache>
                <c:formatCode>0.0</c:formatCode>
                <c:ptCount val="187"/>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pt idx="161">
                  <c:v>410.15428595714286</c:v>
                </c:pt>
                <c:pt idx="162">
                  <c:v>622.45499965122758</c:v>
                </c:pt>
                <c:pt idx="163">
                  <c:v>434.32357352857144</c:v>
                </c:pt>
                <c:pt idx="164">
                  <c:v>403.40571376255542</c:v>
                </c:pt>
                <c:pt idx="165">
                  <c:v>388.35356794285718</c:v>
                </c:pt>
                <c:pt idx="166">
                  <c:v>317.96785625714284</c:v>
                </c:pt>
                <c:pt idx="167">
                  <c:v>377.62500435714281</c:v>
                </c:pt>
                <c:pt idx="168">
                  <c:v>380.85929216657314</c:v>
                </c:pt>
                <c:pt idx="169">
                  <c:v>332.15285818917374</c:v>
                </c:pt>
                <c:pt idx="170">
                  <c:v>272.16142927142863</c:v>
                </c:pt>
                <c:pt idx="171" formatCode="0.00">
                  <c:v>174.17928642857143</c:v>
                </c:pt>
                <c:pt idx="172">
                  <c:v>124.01500048571428</c:v>
                </c:pt>
                <c:pt idx="173">
                  <c:v>109.72071402413471</c:v>
                </c:pt>
                <c:pt idx="174">
                  <c:v>121.69785745714287</c:v>
                </c:pt>
                <c:pt idx="175">
                  <c:v>98.23285565285714</c:v>
                </c:pt>
                <c:pt idx="176">
                  <c:v>74.486427307142861</c:v>
                </c:pt>
                <c:pt idx="177">
                  <c:v>66.354285648890865</c:v>
                </c:pt>
                <c:pt idx="178">
                  <c:v>60.742857795714293</c:v>
                </c:pt>
                <c:pt idx="179">
                  <c:v>60.932143074285719</c:v>
                </c:pt>
                <c:pt idx="180">
                  <c:v>56.771429334367994</c:v>
                </c:pt>
                <c:pt idx="181">
                  <c:v>51.780714305714291</c:v>
                </c:pt>
                <c:pt idx="182">
                  <c:v>47.265713828571435</c:v>
                </c:pt>
                <c:pt idx="183">
                  <c:v>44.601428440638877</c:v>
                </c:pt>
                <c:pt idx="184">
                  <c:v>42.742857252857149</c:v>
                </c:pt>
                <c:pt idx="185">
                  <c:v>40.262857164285712</c:v>
                </c:pt>
                <c:pt idx="186">
                  <c:v>39.827141895714291</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7.4282128616697765E-2"/>
          <c:y val="0.12071755064387545"/>
          <c:w val="0.84969306143383616"/>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9.8358921657571745</c:v>
                </c:pt>
                <c:pt idx="1">
                  <c:v>9.8083182682581</c:v>
                </c:pt>
                <c:pt idx="2">
                  <c:v>9.6537095549700513</c:v>
                </c:pt>
                <c:pt idx="3">
                  <c:v>9.5913849806671188</c:v>
                </c:pt>
                <c:pt idx="4">
                  <c:v>9.740226160088282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9.251370191150432</c:v>
                </c:pt>
                <c:pt idx="1">
                  <c:v>9.235581430703192</c:v>
                </c:pt>
                <c:pt idx="2">
                  <c:v>9.2509171880761158</c:v>
                </c:pt>
                <c:pt idx="3">
                  <c:v>9.1657451102158092</c:v>
                </c:pt>
                <c:pt idx="4">
                  <c:v>9.3006456651797524</c:v>
                </c:pt>
                <c:pt idx="5">
                  <c:v>9.1108387955633479</c:v>
                </c:pt>
                <c:pt idx="6">
                  <c:v>9.0760426854906981</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10.147878130170271</c:v>
                </c:pt>
                <c:pt idx="1">
                  <c:v>9.7799285303491423</c:v>
                </c:pt>
                <c:pt idx="2">
                  <c:v>9.7704929463097194</c:v>
                </c:pt>
                <c:pt idx="3">
                  <c:v>9.9535346447789355</c:v>
                </c:pt>
                <c:pt idx="4">
                  <c:v>9.5260912715914614</c:v>
                </c:pt>
                <c:pt idx="5">
                  <c:v>9.4385826780485456</c:v>
                </c:pt>
                <c:pt idx="6">
                  <c:v>9.604025027651069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69856504737218861"/>
        </c:manualLayout>
      </c:layout>
      <c:barChart>
        <c:barDir val="col"/>
        <c:grouping val="clustered"/>
        <c:varyColors val="0"/>
        <c:ser>
          <c:idx val="2"/>
          <c:order val="0"/>
          <c:tx>
            <c:strRef>
              <c:f>'16. Congestiones'!$F$6</c:f>
              <c:strCache>
                <c:ptCount val="1"/>
                <c:pt idx="0">
                  <c:v>JULIO
 2018</c:v>
                </c:pt>
              </c:strCache>
            </c:strRef>
          </c:tx>
          <c:spPr>
            <a:solidFill>
              <a:schemeClr val="accent6"/>
            </a:solidFill>
          </c:spPr>
          <c:invertIfNegative val="0"/>
          <c:cat>
            <c:strRef>
              <c:f>'16. Congestiones'!$C$7:$C$10</c:f>
              <c:strCache>
                <c:ptCount val="4"/>
                <c:pt idx="0">
                  <c:v>ENLACE CENTRO - SUR</c:v>
                </c:pt>
                <c:pt idx="1">
                  <c:v>SAN JUAN - SANTA ROSA N.</c:v>
                </c:pt>
                <c:pt idx="2">
                  <c:v>MARCONA</c:v>
                </c:pt>
                <c:pt idx="3">
                  <c:v>POROMA - YARABAMBA</c:v>
                </c:pt>
              </c:strCache>
            </c:strRef>
          </c:cat>
          <c:val>
            <c:numRef>
              <c:f>'16. Congestiones'!$F$7:$F$10</c:f>
              <c:numCache>
                <c:formatCode>#,##0.00</c:formatCode>
                <c:ptCount val="4"/>
                <c:pt idx="0">
                  <c:v>14.133333333333336</c:v>
                </c:pt>
                <c:pt idx="1">
                  <c:v>7.0500000000000025</c:v>
                </c:pt>
                <c:pt idx="2">
                  <c:v>24.283333333333331</c:v>
                </c:pt>
                <c:pt idx="3">
                  <c:v>5.0166666666666675</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JULIO
 2019</c:v>
                </c:pt>
              </c:strCache>
            </c:strRef>
          </c:tx>
          <c:invertIfNegative val="0"/>
          <c:cat>
            <c:strRef>
              <c:f>'16. Congestiones'!$C$7:$C$10</c:f>
              <c:strCache>
                <c:ptCount val="4"/>
                <c:pt idx="0">
                  <c:v>ENLACE CENTRO - SUR</c:v>
                </c:pt>
                <c:pt idx="1">
                  <c:v>SAN JUAN - SANTA ROSA N.</c:v>
                </c:pt>
                <c:pt idx="2">
                  <c:v>MARCONA</c:v>
                </c:pt>
                <c:pt idx="3">
                  <c:v>POROMA - YARABAMBA</c:v>
                </c:pt>
              </c:strCache>
            </c:strRef>
          </c:cat>
          <c:val>
            <c:numRef>
              <c:f>'16. Congestiones'!$E$7:$E$10</c:f>
              <c:numCache>
                <c:formatCode>#,##0.00</c:formatCode>
                <c:ptCount val="4"/>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JULIO
 2020</c:v>
                </c:pt>
              </c:strCache>
            </c:strRef>
          </c:tx>
          <c:invertIfNegative val="0"/>
          <c:cat>
            <c:strRef>
              <c:f>'16. Congestiones'!$C$7:$C$10</c:f>
              <c:strCache>
                <c:ptCount val="4"/>
                <c:pt idx="0">
                  <c:v>ENLACE CENTRO - SUR</c:v>
                </c:pt>
                <c:pt idx="1">
                  <c:v>SAN JUAN - SANTA ROSA N.</c:v>
                </c:pt>
                <c:pt idx="2">
                  <c:v>MARCONA</c:v>
                </c:pt>
                <c:pt idx="3">
                  <c:v>POROMA - YARABAMBA</c:v>
                </c:pt>
              </c:strCache>
            </c:strRef>
          </c:cat>
          <c:val>
            <c:numRef>
              <c:f>'16. Congestiones'!$D$7:$D$10</c:f>
              <c:numCache>
                <c:formatCode>#,##0.00</c:formatCode>
                <c:ptCount val="4"/>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3.2987727827109257E-2"/>
                  <c:y val="-2.992339137634367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763457106020121"/>
                      <c:h val="0.17799981070423421"/>
                    </c:manualLayout>
                  </c15:layout>
                </c:ext>
                <c:ext xmlns:c16="http://schemas.microsoft.com/office/drawing/2014/chart" uri="{C3380CC4-5D6E-409C-BE32-E72D297353CC}">
                  <c16:uniqueId val="{00000003-E0CC-4AD3-904F-2124A98CD904}"/>
                </c:ext>
              </c:extLst>
            </c:dLbl>
            <c:dLbl>
              <c:idx val="2"/>
              <c:layout>
                <c:manualLayout>
                  <c:x val="-2.7469654071552899E-2"/>
                  <c:y val="7.3564931180043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4.8836308006119326E-3"/>
                  <c:y val="1.953927395918034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3431067080997267E-3"/>
                  <c:y val="-7.93531794616280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4.0812780271382944E-2"/>
                  <c:y val="-5.66498174618021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5</c:v>
                </c:pt>
                <c:pt idx="1">
                  <c:v>7</c:v>
                </c:pt>
                <c:pt idx="2">
                  <c:v>4</c:v>
                </c:pt>
                <c:pt idx="3">
                  <c:v>2</c:v>
                </c:pt>
                <c:pt idx="4">
                  <c:v>4</c:v>
                </c:pt>
                <c:pt idx="5">
                  <c:v>3</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Eventos'!$A$8:$A$10</c:f>
              <c:strCache>
                <c:ptCount val="3"/>
                <c:pt idx="0">
                  <c:v> LINEA DE TRANSMISION</c:v>
                </c:pt>
                <c:pt idx="1">
                  <c:v> BARRA</c:v>
                </c:pt>
                <c:pt idx="2">
                  <c:v> TRANSFORMADOR 3D</c:v>
                </c:pt>
              </c:strCache>
            </c:strRef>
          </c:cat>
          <c:val>
            <c:numRef>
              <c:f>'17. Eventos'!$J$8:$J$10</c:f>
              <c:numCache>
                <c:formatCode>#,##0.00</c:formatCode>
                <c:ptCount val="3"/>
                <c:pt idx="0">
                  <c:v>268.40000000000003</c:v>
                </c:pt>
                <c:pt idx="1">
                  <c:v>195.76000000000002</c:v>
                </c:pt>
                <c:pt idx="2">
                  <c:v>5.54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generación'!$B$30:$C$30</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generación'!$D$29:$E$29</c:f>
              <c:strCache>
                <c:ptCount val="2"/>
                <c:pt idx="0">
                  <c:v>JULIO 2020</c:v>
                </c:pt>
                <c:pt idx="1">
                  <c:v>JULIO 2019</c:v>
                </c:pt>
              </c:strCache>
            </c:strRef>
          </c:cat>
          <c:val>
            <c:numRef>
              <c:f>'2. Oferta de generación'!$D$30:$E$30</c:f>
              <c:numCache>
                <c:formatCode>#,##0.0</c:formatCode>
                <c:ptCount val="2"/>
                <c:pt idx="0">
                  <c:v>5183.1192474999998</c:v>
                </c:pt>
                <c:pt idx="1">
                  <c:v>5122.3492474999994</c:v>
                </c:pt>
              </c:numCache>
            </c:numRef>
          </c:val>
          <c:extLst>
            <c:ext xmlns:c16="http://schemas.microsoft.com/office/drawing/2014/chart" uri="{C3380CC4-5D6E-409C-BE32-E72D297353CC}">
              <c16:uniqueId val="{00000004-54B0-402D-913D-0304413B844F}"/>
            </c:ext>
          </c:extLst>
        </c:ser>
        <c:ser>
          <c:idx val="1"/>
          <c:order val="1"/>
          <c:tx>
            <c:strRef>
              <c:f>'2. Oferta de generación'!$B$31:$C$31</c:f>
              <c:strCache>
                <c:ptCount val="2"/>
                <c:pt idx="0">
                  <c:v>TERMOELÉCTRICA</c:v>
                </c:pt>
              </c:strCache>
            </c:strRef>
          </c:tx>
          <c:spPr>
            <a:solidFill>
              <a:schemeClr val="accent2"/>
            </a:solidFill>
          </c:spPr>
          <c:invertIfNegative val="0"/>
          <c:cat>
            <c:strRef>
              <c:f>'2. Oferta de generación'!$D$29:$E$29</c:f>
              <c:strCache>
                <c:ptCount val="2"/>
                <c:pt idx="0">
                  <c:v>JULIO 2020</c:v>
                </c:pt>
                <c:pt idx="1">
                  <c:v>JULIO 2019</c:v>
                </c:pt>
              </c:strCache>
            </c:strRef>
          </c:cat>
          <c:val>
            <c:numRef>
              <c:f>'2. Oferta de generación'!$D$31:$E$31</c:f>
              <c:numCache>
                <c:formatCode>#,##0.0</c:formatCode>
                <c:ptCount val="2"/>
                <c:pt idx="0">
                  <c:v>7398.3644999999997</c:v>
                </c:pt>
                <c:pt idx="1">
                  <c:v>7417.6745000000001</c:v>
                </c:pt>
              </c:numCache>
            </c:numRef>
          </c:val>
          <c:extLst>
            <c:ext xmlns:c16="http://schemas.microsoft.com/office/drawing/2014/chart" uri="{C3380CC4-5D6E-409C-BE32-E72D297353CC}">
              <c16:uniqueId val="{00000005-54B0-402D-913D-0304413B844F}"/>
            </c:ext>
          </c:extLst>
        </c:ser>
        <c:ser>
          <c:idx val="2"/>
          <c:order val="2"/>
          <c:tx>
            <c:strRef>
              <c:f>'2. Oferta de generación'!$B$32:$C$32</c:f>
              <c:strCache>
                <c:ptCount val="2"/>
                <c:pt idx="0">
                  <c:v>EÓLICA</c:v>
                </c:pt>
              </c:strCache>
            </c:strRef>
          </c:tx>
          <c:spPr>
            <a:solidFill>
              <a:srgbClr val="6DA6D9"/>
            </a:solidFill>
          </c:spPr>
          <c:invertIfNegative val="0"/>
          <c:cat>
            <c:strRef>
              <c:f>'2. Oferta de generación'!$D$29:$E$29</c:f>
              <c:strCache>
                <c:ptCount val="2"/>
                <c:pt idx="0">
                  <c:v>JULIO 2020</c:v>
                </c:pt>
                <c:pt idx="1">
                  <c:v>JULIO 2019</c:v>
                </c:pt>
              </c:strCache>
            </c:strRef>
          </c:cat>
          <c:val>
            <c:numRef>
              <c:f>'2. Oferta de generación'!$D$32:$E$32</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generación'!$B$33:$C$33</c:f>
              <c:strCache>
                <c:ptCount val="2"/>
                <c:pt idx="0">
                  <c:v>SOLAR</c:v>
                </c:pt>
              </c:strCache>
            </c:strRef>
          </c:tx>
          <c:invertIfNegative val="0"/>
          <c:cat>
            <c:strRef>
              <c:f>'2. Oferta de generación'!$D$29:$E$29</c:f>
              <c:strCache>
                <c:ptCount val="2"/>
                <c:pt idx="0">
                  <c:v>JULIO 2020</c:v>
                </c:pt>
                <c:pt idx="1">
                  <c:v>JULIO 2019</c:v>
                </c:pt>
              </c:strCache>
            </c:strRef>
          </c:cat>
          <c:val>
            <c:numRef>
              <c:f>'2. Oferta de generación'!$D$33:$E$33</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1">
                  <c:v> LINEA DE TRANSMISION</c:v>
                </c:pt>
                <c:pt idx="2">
                  <c:v> BARRA</c:v>
                </c:pt>
                <c:pt idx="3">
                  <c:v> TRANSFORMADOR 3D</c:v>
                </c:pt>
              </c:strCache>
            </c:strRef>
          </c:cat>
          <c:val>
            <c:numRef>
              <c:f>'17. Eventos'!$B$7:$B$10</c:f>
              <c:numCache>
                <c:formatCode>General</c:formatCode>
                <c:ptCount val="4"/>
                <c:pt idx="1">
                  <c:v>5</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1">
                  <c:v> LINEA DE TRANSMISION</c:v>
                </c:pt>
                <c:pt idx="2">
                  <c:v> BARRA</c:v>
                </c:pt>
                <c:pt idx="3">
                  <c:v> TRANSFORMADOR 3D</c:v>
                </c:pt>
              </c:strCache>
            </c:strRef>
          </c:cat>
          <c:val>
            <c:numRef>
              <c:f>'17. Eventos'!$C$7:$C$10</c:f>
              <c:numCache>
                <c:formatCode>General</c:formatCode>
                <c:ptCount val="4"/>
                <c:pt idx="1">
                  <c:v>7</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1">
                  <c:v> LINEA DE TRANSMISION</c:v>
                </c:pt>
                <c:pt idx="2">
                  <c:v> BARRA</c:v>
                </c:pt>
                <c:pt idx="3">
                  <c:v> TRANSFORMADOR 3D</c:v>
                </c:pt>
              </c:strCache>
            </c:strRef>
          </c:cat>
          <c:val>
            <c:numRef>
              <c:f>'17. Eventos'!$D$7:$D$10</c:f>
              <c:numCache>
                <c:formatCode>General</c:formatCode>
                <c:ptCount val="4"/>
                <c:pt idx="1">
                  <c:v>3</c:v>
                </c:pt>
                <c:pt idx="2">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1">
                  <c:v> LINEA DE TRANSMISION</c:v>
                </c:pt>
                <c:pt idx="2">
                  <c:v> BARRA</c:v>
                </c:pt>
                <c:pt idx="3">
                  <c:v> TRANSFORMADOR 3D</c:v>
                </c:pt>
              </c:strCache>
            </c:strRef>
          </c:cat>
          <c:val>
            <c:numRef>
              <c:f>'17. Eventos'!$E$7:$E$10</c:f>
              <c:numCache>
                <c:formatCode>General</c:formatCode>
                <c:ptCount val="4"/>
                <c:pt idx="1">
                  <c:v>1</c:v>
                </c:pt>
                <c:pt idx="3">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4"/>
                <c:pt idx="1">
                  <c:v> LINEA DE TRANSMISION</c:v>
                </c:pt>
                <c:pt idx="2">
                  <c:v> BARRA</c:v>
                </c:pt>
                <c:pt idx="3">
                  <c:v> TRANSFORMADOR 3D</c:v>
                </c:pt>
              </c:strCache>
            </c:strRef>
          </c:cat>
          <c:val>
            <c:numRef>
              <c:f>'17. Eventos'!$F$7:$F$10</c:f>
              <c:numCache>
                <c:formatCode>General</c:formatCode>
                <c:ptCount val="4"/>
                <c:pt idx="1">
                  <c:v>4</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1">
                  <c:v> LINEA DE TRANSMISION</c:v>
                </c:pt>
                <c:pt idx="2">
                  <c:v> BARRA</c:v>
                </c:pt>
                <c:pt idx="3">
                  <c:v> TRANSFORMADOR 3D</c:v>
                </c:pt>
              </c:strCache>
            </c:strRef>
          </c:cat>
          <c:val>
            <c:numRef>
              <c:f>'17. Eventos'!$G$7:$G$10</c:f>
              <c:numCache>
                <c:formatCode>General</c:formatCode>
                <c:ptCount val="4"/>
                <c:pt idx="1">
                  <c:v>1</c:v>
                </c:pt>
                <c:pt idx="2">
                  <c:v>2</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1">
                  <c:v> LINEA DE TRANSMISION</c:v>
                </c:pt>
                <c:pt idx="2">
                  <c:v> BARRA</c:v>
                </c:pt>
                <c:pt idx="3">
                  <c:v> TRANSFORMADOR 3D</c:v>
                </c:pt>
              </c:strCache>
            </c:strRef>
          </c:cat>
          <c:val>
            <c:numRef>
              <c:f>'17. Eventos'!$H$7:$H$10</c:f>
              <c:numCache>
                <c:formatCode>General</c:formatCode>
                <c:ptCount val="4"/>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generación'!$L$9:$L$13</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generación'!$L$9:$L$13</c:f>
              <c:strCache>
                <c:ptCount val="5"/>
                <c:pt idx="0">
                  <c:v>Central Solar</c:v>
                </c:pt>
                <c:pt idx="1">
                  <c:v>Central Hidroeléctrica</c:v>
                </c:pt>
                <c:pt idx="2">
                  <c:v>Turbina de Vapor</c:v>
                </c:pt>
                <c:pt idx="3">
                  <c:v>Central Eólica</c:v>
                </c:pt>
                <c:pt idx="4">
                  <c:v>Central a Biogás</c:v>
                </c:pt>
              </c:strCache>
            </c:strRef>
          </c:cat>
          <c:val>
            <c:numRef>
              <c:f>'2. Oferta de generación'!$M$9:$M$13</c:f>
              <c:numCache>
                <c:formatCode>General</c:formatCode>
                <c:ptCount val="5"/>
                <c:pt idx="1">
                  <c:v>20</c:v>
                </c:pt>
                <c:pt idx="2">
                  <c:v>0</c:v>
                </c:pt>
                <c:pt idx="3">
                  <c:v>0</c:v>
                </c:pt>
                <c:pt idx="4">
                  <c:v>2.4</c:v>
                </c:pt>
              </c:numCache>
            </c:numRef>
          </c:val>
          <c:extLst>
            <c:ext xmlns:c16="http://schemas.microsoft.com/office/drawing/2014/chart" uri="{C3380CC4-5D6E-409C-BE32-E72D297353CC}">
              <c16:uniqueId val="{00000000-0EAF-4A51-B4A1-B2457F36CE6D}"/>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18325.8867875875</c:v>
                </c:pt>
                <c:pt idx="1">
                  <c:v>9826.5087753150001</c:v>
                </c:pt>
                <c:pt idx="2">
                  <c:v>788.91402797000001</c:v>
                </c:pt>
                <c:pt idx="3">
                  <c:v>380.15961603249997</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18664.025510720006</c:v>
                </c:pt>
                <c:pt idx="1">
                  <c:v>10731.105528872504</c:v>
                </c:pt>
                <c:pt idx="2">
                  <c:v>952.25199118749993</c:v>
                </c:pt>
                <c:pt idx="3">
                  <c:v>398.70179571499995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19011.547974722496</c:v>
                </c:pt>
                <c:pt idx="1">
                  <c:v>6889.4531550949996</c:v>
                </c:pt>
                <c:pt idx="2">
                  <c:v>970.46055232249989</c:v>
                </c:pt>
                <c:pt idx="3">
                  <c:v>411.66914550499996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19011.547974722496</c:v>
                </c:pt>
                <c:pt idx="1">
                  <c:v>6428.8481556825009</c:v>
                </c:pt>
                <c:pt idx="2">
                  <c:v>293.64369171749996</c:v>
                </c:pt>
                <c:pt idx="3">
                  <c:v>15.849400752499999</c:v>
                </c:pt>
                <c:pt idx="4">
                  <c:v>0</c:v>
                </c:pt>
                <c:pt idx="5">
                  <c:v>0</c:v>
                </c:pt>
                <c:pt idx="6">
                  <c:v>1.2236413724999999</c:v>
                </c:pt>
                <c:pt idx="7">
                  <c:v>0</c:v>
                </c:pt>
                <c:pt idx="8">
                  <c:v>8.2789819600000012</c:v>
                </c:pt>
                <c:pt idx="9">
                  <c:v>115.9836123</c:v>
                </c:pt>
                <c:pt idx="10">
                  <c:v>25.625671309999998</c:v>
                </c:pt>
                <c:pt idx="11">
                  <c:v>411.66914550499996</c:v>
                </c:pt>
                <c:pt idx="12">
                  <c:v>970.46055232249989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18664.025510720006</c:v>
                </c:pt>
                <c:pt idx="1">
                  <c:v>9986.6223478845313</c:v>
                </c:pt>
                <c:pt idx="2">
                  <c:v>315.18083659999991</c:v>
                </c:pt>
                <c:pt idx="3">
                  <c:v>134.0848241875</c:v>
                </c:pt>
                <c:pt idx="4">
                  <c:v>0</c:v>
                </c:pt>
                <c:pt idx="5">
                  <c:v>22.387534665</c:v>
                </c:pt>
                <c:pt idx="6">
                  <c:v>42.024336214999991</c:v>
                </c:pt>
                <c:pt idx="7">
                  <c:v>0.226881735</c:v>
                </c:pt>
                <c:pt idx="8">
                  <c:v>97.011641615468776</c:v>
                </c:pt>
                <c:pt idx="9">
                  <c:v>95.716811860000007</c:v>
                </c:pt>
                <c:pt idx="10">
                  <c:v>37.850314109999999</c:v>
                </c:pt>
                <c:pt idx="11">
                  <c:v>398.70179571499995</c:v>
                </c:pt>
                <c:pt idx="12">
                  <c:v>952.25199118749993</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18325.8867875875</c:v>
                </c:pt>
                <c:pt idx="1">
                  <c:v>9168.6644676100004</c:v>
                </c:pt>
                <c:pt idx="2">
                  <c:v>290.84472570249994</c:v>
                </c:pt>
                <c:pt idx="3">
                  <c:v>175.03820562000001</c:v>
                </c:pt>
                <c:pt idx="4">
                  <c:v>0</c:v>
                </c:pt>
                <c:pt idx="5">
                  <c:v>37.679417740000005</c:v>
                </c:pt>
                <c:pt idx="6">
                  <c:v>4.3479444000000003</c:v>
                </c:pt>
                <c:pt idx="7">
                  <c:v>1.99292362</c:v>
                </c:pt>
                <c:pt idx="8">
                  <c:v>71.633362834999986</c:v>
                </c:pt>
                <c:pt idx="9">
                  <c:v>50.502784532499994</c:v>
                </c:pt>
                <c:pt idx="10">
                  <c:v>25.804943254999998</c:v>
                </c:pt>
                <c:pt idx="11">
                  <c:v>380.15961603249997</c:v>
                </c:pt>
                <c:pt idx="12">
                  <c:v>788.91402797000001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741.27550776999999</c:v>
                </c:pt>
                <c:pt idx="1">
                  <c:v>788.91402797000001</c:v>
                </c:pt>
                <c:pt idx="2">
                  <c:v>380.15961603249997</c:v>
                </c:pt>
                <c:pt idx="3">
                  <c:v>50.502784532499994</c:v>
                </c:pt>
                <c:pt idx="4">
                  <c:v>25.804943254999998</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1079.5675434675002</c:v>
                </c:pt>
                <c:pt idx="1">
                  <c:v>952.25199118749993</c:v>
                </c:pt>
                <c:pt idx="2">
                  <c:v>398.70179571499995</c:v>
                </c:pt>
                <c:pt idx="3">
                  <c:v>95.716811860000007</c:v>
                </c:pt>
                <c:pt idx="4">
                  <c:v>37.850314109999999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1396.4754959024999</c:v>
                </c:pt>
                <c:pt idx="1">
                  <c:v>970.46055232249989</c:v>
                </c:pt>
                <c:pt idx="2">
                  <c:v>411.66914550499996</c:v>
                </c:pt>
                <c:pt idx="3">
                  <c:v>115.9836123</c:v>
                </c:pt>
                <c:pt idx="4">
                  <c:v>25.625671309999998</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27691091736328E-2"/>
                  <c:y val="-5.245496337221310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8,958%</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3768.6147095549991</c:v>
                </c:pt>
                <c:pt idx="1">
                  <c:v>126.10076339999996</c:v>
                </c:pt>
                <c:pt idx="2">
                  <c:v>169.46536025500001</c:v>
                </c:pt>
                <c:pt idx="3">
                  <c:v>61.040101507499998</c:v>
                </c:pt>
                <c:pt idx="4">
                  <c:v>9.6006175975000012</c:v>
                </c:pt>
                <c:pt idx="5">
                  <c:v>4.605365795</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RENOVANDES H1</c:v>
                </c:pt>
                <c:pt idx="1">
                  <c:v>C.H. CHANCAY</c:v>
                </c:pt>
                <c:pt idx="2">
                  <c:v>C.H. YARUCAYA</c:v>
                </c:pt>
                <c:pt idx="3">
                  <c:v>C.H. CARHUAC</c:v>
                </c:pt>
                <c:pt idx="4">
                  <c:v>C.H. LAS PIZARRAS</c:v>
                </c:pt>
                <c:pt idx="5">
                  <c:v>C.H. RUCUY</c:v>
                </c:pt>
                <c:pt idx="6">
                  <c:v>C.H. CARHUAQUERO IV</c:v>
                </c:pt>
                <c:pt idx="7">
                  <c:v>C.H. LA JOYA</c:v>
                </c:pt>
                <c:pt idx="8">
                  <c:v>C.H. ZAÑA</c:v>
                </c:pt>
                <c:pt idx="9">
                  <c:v>C.H. 8 DE AGOSTO</c:v>
                </c:pt>
                <c:pt idx="10">
                  <c:v>C.H. ÁNGEL III</c:v>
                </c:pt>
                <c:pt idx="11">
                  <c:v>C.H. ÁNGEL II</c:v>
                </c:pt>
                <c:pt idx="12">
                  <c:v>C.H. POECHOS II</c:v>
                </c:pt>
                <c:pt idx="13">
                  <c:v>C.H. RUNATULLO III</c:v>
                </c:pt>
                <c:pt idx="14">
                  <c:v>C.H. POTRERO</c:v>
                </c:pt>
                <c:pt idx="15">
                  <c:v>C.H. ÁNGEL I</c:v>
                </c:pt>
                <c:pt idx="16">
                  <c:v>C.H. MANTA I</c:v>
                </c:pt>
                <c:pt idx="17">
                  <c:v>C.H. CAÑA BRAVA</c:v>
                </c:pt>
                <c:pt idx="18">
                  <c:v>C.H. RUNATULLO II</c:v>
                </c:pt>
                <c:pt idx="19">
                  <c:v>C.H. IMPERIAL</c:v>
                </c:pt>
                <c:pt idx="20">
                  <c:v>C.H. HUASAHUASI II</c:v>
                </c:pt>
                <c:pt idx="21">
                  <c:v>C.H. HUASAHUASI I</c:v>
                </c:pt>
                <c:pt idx="22">
                  <c:v>C.H. YANAPAMPA</c:v>
                </c:pt>
                <c:pt idx="23">
                  <c:v>C.H. SANTA CRUZ II</c:v>
                </c:pt>
                <c:pt idx="24">
                  <c:v>C.H. CANCHAYLLO</c:v>
                </c:pt>
                <c:pt idx="25">
                  <c:v>C.H. SANTA CRUZ I</c:v>
                </c:pt>
                <c:pt idx="26">
                  <c:v>C.H. RONCADOR</c:v>
                </c:pt>
                <c:pt idx="27">
                  <c:v>C.H. HER 1</c:v>
                </c:pt>
                <c:pt idx="28">
                  <c:v>C.H. PURMACANA</c:v>
                </c:pt>
                <c:pt idx="29">
                  <c:v>C.H. EL CARMEN</c:v>
                </c:pt>
              </c:strCache>
            </c:strRef>
          </c:cat>
          <c:val>
            <c:numRef>
              <c:f>'6. FP RER'!$O$6:$O$35</c:f>
              <c:numCache>
                <c:formatCode>0.00</c:formatCode>
                <c:ptCount val="30"/>
                <c:pt idx="0">
                  <c:v>14.841791402499998</c:v>
                </c:pt>
                <c:pt idx="1">
                  <c:v>12.491518962499999</c:v>
                </c:pt>
                <c:pt idx="2">
                  <c:v>10.821367370000001</c:v>
                </c:pt>
                <c:pt idx="3">
                  <c:v>9.2961763949999998</c:v>
                </c:pt>
                <c:pt idx="4">
                  <c:v>7.9397423199999997</c:v>
                </c:pt>
                <c:pt idx="5">
                  <c:v>7.6888222000000006</c:v>
                </c:pt>
                <c:pt idx="6">
                  <c:v>6.7422930975000002</c:v>
                </c:pt>
                <c:pt idx="7">
                  <c:v>5.2861174050000006</c:v>
                </c:pt>
                <c:pt idx="8">
                  <c:v>5.1288364674999993</c:v>
                </c:pt>
                <c:pt idx="9">
                  <c:v>4.4528898574999998</c:v>
                </c:pt>
                <c:pt idx="10">
                  <c:v>4.148478645</c:v>
                </c:pt>
                <c:pt idx="11">
                  <c:v>4.1176321374999993</c:v>
                </c:pt>
                <c:pt idx="12">
                  <c:v>3.7467210850000003</c:v>
                </c:pt>
                <c:pt idx="13">
                  <c:v>3.239539535</c:v>
                </c:pt>
                <c:pt idx="14">
                  <c:v>3.0129477499999999</c:v>
                </c:pt>
                <c:pt idx="15">
                  <c:v>2.8502502525</c:v>
                </c:pt>
                <c:pt idx="16">
                  <c:v>1.7350000000000001</c:v>
                </c:pt>
                <c:pt idx="17">
                  <c:v>2.5572662449999997</c:v>
                </c:pt>
                <c:pt idx="18">
                  <c:v>2.4534559574999997</c:v>
                </c:pt>
                <c:pt idx="19">
                  <c:v>2.3858000000000001</c:v>
                </c:pt>
                <c:pt idx="20">
                  <c:v>1.6654359349999999</c:v>
                </c:pt>
                <c:pt idx="21">
                  <c:v>1.5727042524999999</c:v>
                </c:pt>
                <c:pt idx="22">
                  <c:v>1.4926283625000001</c:v>
                </c:pt>
                <c:pt idx="23">
                  <c:v>1.41893169</c:v>
                </c:pt>
                <c:pt idx="24">
                  <c:v>1.4166281825000002</c:v>
                </c:pt>
                <c:pt idx="25">
                  <c:v>1.1940567849999999</c:v>
                </c:pt>
                <c:pt idx="26">
                  <c:v>0.73321645000000002</c:v>
                </c:pt>
                <c:pt idx="27">
                  <c:v>0.42738746999999999</c:v>
                </c:pt>
                <c:pt idx="28">
                  <c:v>0.31237861249999999</c:v>
                </c:pt>
                <c:pt idx="29">
                  <c:v>3.9980135E-2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RENOVANDES H1</c:v>
                </c:pt>
                <c:pt idx="1">
                  <c:v>C.H. CHANCAY</c:v>
                </c:pt>
                <c:pt idx="2">
                  <c:v>C.H. YARUCAYA</c:v>
                </c:pt>
                <c:pt idx="3">
                  <c:v>C.H. CARHUAC</c:v>
                </c:pt>
                <c:pt idx="4">
                  <c:v>C.H. LAS PIZARRAS</c:v>
                </c:pt>
                <c:pt idx="5">
                  <c:v>C.H. RUCUY</c:v>
                </c:pt>
                <c:pt idx="6">
                  <c:v>C.H. CARHUAQUERO IV</c:v>
                </c:pt>
                <c:pt idx="7">
                  <c:v>C.H. LA JOYA</c:v>
                </c:pt>
                <c:pt idx="8">
                  <c:v>C.H. ZAÑA</c:v>
                </c:pt>
                <c:pt idx="9">
                  <c:v>C.H. 8 DE AGOSTO</c:v>
                </c:pt>
                <c:pt idx="10">
                  <c:v>C.H. ÁNGEL III</c:v>
                </c:pt>
                <c:pt idx="11">
                  <c:v>C.H. ÁNGEL II</c:v>
                </c:pt>
                <c:pt idx="12">
                  <c:v>C.H. POECHOS II</c:v>
                </c:pt>
                <c:pt idx="13">
                  <c:v>C.H. RUNATULLO III</c:v>
                </c:pt>
                <c:pt idx="14">
                  <c:v>C.H. POTRERO</c:v>
                </c:pt>
                <c:pt idx="15">
                  <c:v>C.H. ÁNGEL I</c:v>
                </c:pt>
                <c:pt idx="16">
                  <c:v>C.H. MANTA I</c:v>
                </c:pt>
                <c:pt idx="17">
                  <c:v>C.H. CAÑA BRAVA</c:v>
                </c:pt>
                <c:pt idx="18">
                  <c:v>C.H. RUNATULLO II</c:v>
                </c:pt>
                <c:pt idx="19">
                  <c:v>C.H. IMPERIAL</c:v>
                </c:pt>
                <c:pt idx="20">
                  <c:v>C.H. HUASAHUASI II</c:v>
                </c:pt>
                <c:pt idx="21">
                  <c:v>C.H. HUASAHUASI I</c:v>
                </c:pt>
                <c:pt idx="22">
                  <c:v>C.H. YANAPAMPA</c:v>
                </c:pt>
                <c:pt idx="23">
                  <c:v>C.H. SANTA CRUZ II</c:v>
                </c:pt>
                <c:pt idx="24">
                  <c:v>C.H. CANCHAYLLO</c:v>
                </c:pt>
                <c:pt idx="25">
                  <c:v>C.H. SANTA CRUZ I</c:v>
                </c:pt>
                <c:pt idx="26">
                  <c:v>C.H. RONCADOR</c:v>
                </c:pt>
                <c:pt idx="27">
                  <c:v>C.H. HER 1</c:v>
                </c:pt>
                <c:pt idx="28">
                  <c:v>C.H. PURMACANA</c:v>
                </c:pt>
                <c:pt idx="29">
                  <c:v>C.H. EL CARMEN</c:v>
                </c:pt>
              </c:strCache>
            </c:strRef>
          </c:cat>
          <c:val>
            <c:numRef>
              <c:f>'6. FP RER'!$P$6:$P$35</c:f>
              <c:numCache>
                <c:formatCode>0.00</c:formatCode>
                <c:ptCount val="30"/>
                <c:pt idx="0">
                  <c:v>1</c:v>
                </c:pt>
                <c:pt idx="1">
                  <c:v>0.83948380124327948</c:v>
                </c:pt>
                <c:pt idx="2">
                  <c:v>1</c:v>
                </c:pt>
                <c:pt idx="3">
                  <c:v>0.62474303729838709</c:v>
                </c:pt>
                <c:pt idx="4">
                  <c:v>0.55583200951413658</c:v>
                </c:pt>
                <c:pt idx="5">
                  <c:v>0.51672192204301082</c:v>
                </c:pt>
                <c:pt idx="6">
                  <c:v>0.90776539169006654</c:v>
                </c:pt>
                <c:pt idx="7">
                  <c:v>0.91736559226556169</c:v>
                </c:pt>
                <c:pt idx="8">
                  <c:v>0.5222422274661942</c:v>
                </c:pt>
                <c:pt idx="9">
                  <c:v>0.31500352698783246</c:v>
                </c:pt>
                <c:pt idx="10">
                  <c:v>0.27658294430843572</c:v>
                </c:pt>
                <c:pt idx="11">
                  <c:v>0.27452637885491338</c:v>
                </c:pt>
                <c:pt idx="12">
                  <c:v>0.52643899611414979</c:v>
                </c:pt>
                <c:pt idx="13">
                  <c:v>0.21808172919500782</c:v>
                </c:pt>
                <c:pt idx="14">
                  <c:v>0.20350055046739071</c:v>
                </c:pt>
                <c:pt idx="15">
                  <c:v>0.19002884534610215</c:v>
                </c:pt>
                <c:pt idx="16">
                  <c:v>0.22591145833333334</c:v>
                </c:pt>
                <c:pt idx="17">
                  <c:v>0.60620561078872015</c:v>
                </c:pt>
                <c:pt idx="18">
                  <c:v>0.16515529908623422</c:v>
                </c:pt>
                <c:pt idx="19">
                  <c:v>0.80896075431572334</c:v>
                </c:pt>
                <c:pt idx="20">
                  <c:v>0.21898739580769289</c:v>
                </c:pt>
                <c:pt idx="21">
                  <c:v>0.21460404078652912</c:v>
                </c:pt>
                <c:pt idx="22">
                  <c:v>0.51228634760105041</c:v>
                </c:pt>
                <c:pt idx="23">
                  <c:v>0.25689200565732756</c:v>
                </c:pt>
                <c:pt idx="24">
                  <c:v>0.36694356094985886</c:v>
                </c:pt>
                <c:pt idx="25">
                  <c:v>0.23065752135702075</c:v>
                </c:pt>
                <c:pt idx="26">
                  <c:v>0.28319137390310223</c:v>
                </c:pt>
                <c:pt idx="27">
                  <c:v>0.82063646313364069</c:v>
                </c:pt>
                <c:pt idx="28">
                  <c:v>0.24496133400145545</c:v>
                </c:pt>
                <c:pt idx="29">
                  <c:v>6.3972310227854573E-3</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agosto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Julio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INFSGI-MES-07-2020</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66</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0707"/>
          <a:ext cx="6553551" cy="8688150"/>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(9,74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(9,81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(9,59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(9,84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(9,44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(9,53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(9,65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(9,95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(9,25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(9,78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(9,6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(9,25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(9,3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(9,08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(10,15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(9,11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(9,17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(9,24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(9,77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13</xdr:row>
      <xdr:rowOff>124238</xdr:rowOff>
    </xdr:from>
    <xdr:to>
      <xdr:col>7</xdr:col>
      <xdr:colOff>430696</xdr:colOff>
      <xdr:row>51</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34605</xdr:colOff>
      <xdr:row>16</xdr:row>
      <xdr:rowOff>62670</xdr:rowOff>
    </xdr:from>
    <xdr:to>
      <xdr:col>3</xdr:col>
      <xdr:colOff>146277</xdr:colOff>
      <xdr:row>31</xdr:row>
      <xdr:rowOff>79093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36</xdr:row>
      <xdr:rowOff>5953</xdr:rowOff>
    </xdr:from>
    <xdr:to>
      <xdr:col>8</xdr:col>
      <xdr:colOff>71437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15</xdr:row>
      <xdr:rowOff>54428</xdr:rowOff>
    </xdr:from>
    <xdr:to>
      <xdr:col>9</xdr:col>
      <xdr:colOff>571499</xdr:colOff>
      <xdr:row>32</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239124</xdr:colOff>
      <xdr:row>51</xdr:row>
      <xdr:rowOff>30615</xdr:rowOff>
    </xdr:from>
    <xdr:to>
      <xdr:col>7</xdr:col>
      <xdr:colOff>329711</xdr:colOff>
      <xdr:row>66</xdr:row>
      <xdr:rowOff>27976</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43720" y="7518730"/>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36</xdr:row>
      <xdr:rowOff>43543</xdr:rowOff>
    </xdr:from>
    <xdr:to>
      <xdr:col>9</xdr:col>
      <xdr:colOff>581525</xdr:colOff>
      <xdr:row>48</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597776</xdr:colOff>
      <xdr:row>11</xdr:row>
      <xdr:rowOff>229913</xdr:rowOff>
    </xdr:from>
    <xdr:to>
      <xdr:col>8</xdr:col>
      <xdr:colOff>315294</xdr:colOff>
      <xdr:row>22</xdr:row>
      <xdr:rowOff>78827</xdr:rowOff>
    </xdr:to>
    <xdr:graphicFrame macro="">
      <xdr:nvGraphicFramePr>
        <xdr:cNvPr id="3" name="Chart 2">
          <a:extLst>
            <a:ext uri="{FF2B5EF4-FFF2-40B4-BE49-F238E27FC236}">
              <a16:creationId xmlns:a16="http://schemas.microsoft.com/office/drawing/2014/main" id="{66D0FF3D-0083-4A48-800E-90332BB6F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170793</xdr:colOff>
      <xdr:row>11</xdr:row>
      <xdr:rowOff>190500</xdr:rowOff>
    </xdr:from>
    <xdr:to>
      <xdr:col>1</xdr:col>
      <xdr:colOff>522484</xdr:colOff>
      <xdr:row>11</xdr:row>
      <xdr:rowOff>363385</xdr:rowOff>
    </xdr:to>
    <xdr:sp macro="" textlink="">
      <xdr:nvSpPr>
        <xdr:cNvPr id="4" name="Rectangle 3">
          <a:extLst>
            <a:ext uri="{FF2B5EF4-FFF2-40B4-BE49-F238E27FC236}">
              <a16:creationId xmlns:a16="http://schemas.microsoft.com/office/drawing/2014/main" id="{5CAF75DB-0808-4ED5-8221-746950134588}"/>
            </a:ext>
          </a:extLst>
        </xdr:cNvPr>
        <xdr:cNvSpPr/>
      </xdr:nvSpPr>
      <xdr:spPr>
        <a:xfrm>
          <a:off x="853965" y="3139966"/>
          <a:ext cx="351691" cy="1728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64</xdr:row>
      <xdr:rowOff>124239</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Normal="70" zoomScaleSheetLayoutView="100" zoomScalePageLayoutView="115" workbookViewId="0">
      <selection activeCell="V29" sqref="V29"/>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468"/>
    </row>
    <row r="12" spans="9:9" ht="15.6">
      <c r="I12" s="468"/>
    </row>
    <row r="13" spans="9:9" ht="15.6">
      <c r="I13" s="468"/>
    </row>
    <row r="14" spans="9:9" ht="15.6">
      <c r="I14" s="468"/>
    </row>
    <row r="15" spans="9:9" ht="15.6">
      <c r="I15" s="468"/>
    </row>
  </sheetData>
  <pageMargins left="0.59055118110236227" right="0.39370078740157483" top="0.55000000000000004" bottom="0.62992125984251968" header="0.31496062992125984" footer="0.31496062992125984"/>
  <pageSetup paperSize="9" scale="89"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N53" sqref="N53"/>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946" t="s">
        <v>246</v>
      </c>
      <c r="B2" s="946"/>
      <c r="C2" s="946"/>
      <c r="D2" s="946"/>
      <c r="E2" s="946"/>
      <c r="F2" s="946"/>
      <c r="G2" s="946"/>
      <c r="H2" s="946"/>
      <c r="I2" s="946"/>
      <c r="J2" s="946"/>
      <c r="K2" s="946"/>
    </row>
    <row r="3" spans="1:12" ht="11.25" customHeight="1">
      <c r="A3" s="17"/>
      <c r="B3" s="17"/>
      <c r="C3" s="17"/>
      <c r="D3" s="17"/>
      <c r="E3" s="17"/>
      <c r="F3" s="17"/>
      <c r="G3" s="17"/>
      <c r="H3" s="17"/>
      <c r="I3" s="17"/>
      <c r="J3" s="17"/>
      <c r="K3" s="17"/>
      <c r="L3" s="36"/>
    </row>
    <row r="4" spans="1:12" ht="11.25" customHeight="1">
      <c r="A4" s="947" t="s">
        <v>383</v>
      </c>
      <c r="B4" s="947"/>
      <c r="C4" s="947"/>
      <c r="D4" s="947"/>
      <c r="E4" s="947"/>
      <c r="F4" s="947"/>
      <c r="G4" s="947"/>
      <c r="H4" s="947"/>
      <c r="I4" s="947"/>
      <c r="J4" s="947"/>
      <c r="K4" s="947"/>
      <c r="L4" s="36"/>
    </row>
    <row r="5" spans="1:12" ht="11.25" customHeight="1">
      <c r="A5" s="17"/>
      <c r="B5" s="67"/>
      <c r="C5" s="68"/>
      <c r="D5" s="69"/>
      <c r="E5" s="69"/>
      <c r="F5" s="69"/>
      <c r="G5" s="69"/>
      <c r="H5" s="70"/>
      <c r="I5" s="66"/>
      <c r="J5" s="66"/>
      <c r="K5" s="71"/>
      <c r="L5" s="8"/>
    </row>
    <row r="6" spans="1:12" ht="12.75" customHeight="1">
      <c r="A6" s="953" t="s">
        <v>214</v>
      </c>
      <c r="B6" s="948" t="s">
        <v>249</v>
      </c>
      <c r="C6" s="949"/>
      <c r="D6" s="949"/>
      <c r="E6" s="949" t="s">
        <v>34</v>
      </c>
      <c r="F6" s="949"/>
      <c r="G6" s="950" t="s">
        <v>248</v>
      </c>
      <c r="H6" s="950"/>
      <c r="I6" s="950"/>
      <c r="J6" s="950"/>
      <c r="K6" s="950"/>
      <c r="L6" s="15"/>
    </row>
    <row r="7" spans="1:12" ht="12.75" customHeight="1">
      <c r="A7" s="953"/>
      <c r="B7" s="571">
        <v>43978.791666666664</v>
      </c>
      <c r="C7" s="571">
        <v>44011.8125</v>
      </c>
      <c r="D7" s="571">
        <v>44035.8125</v>
      </c>
      <c r="E7" s="571">
        <v>43668.854166666664</v>
      </c>
      <c r="F7" s="951" t="s">
        <v>122</v>
      </c>
      <c r="G7" s="828">
        <v>2020</v>
      </c>
      <c r="H7" s="828">
        <v>2019</v>
      </c>
      <c r="I7" s="951" t="s">
        <v>476</v>
      </c>
      <c r="J7" s="828">
        <v>2018</v>
      </c>
      <c r="K7" s="951" t="s">
        <v>423</v>
      </c>
      <c r="L7" s="13"/>
    </row>
    <row r="8" spans="1:12" ht="12.75" customHeight="1">
      <c r="A8" s="953"/>
      <c r="B8" s="572">
        <v>43978.791666666664</v>
      </c>
      <c r="C8" s="572">
        <v>44011.8125</v>
      </c>
      <c r="D8" s="572">
        <v>44035.8125</v>
      </c>
      <c r="E8" s="572">
        <v>43668.854166666664</v>
      </c>
      <c r="F8" s="952"/>
      <c r="G8" s="573">
        <v>43886.8125</v>
      </c>
      <c r="H8" s="573">
        <v>43549.791666666664</v>
      </c>
      <c r="I8" s="952"/>
      <c r="J8" s="573">
        <v>43214.78125</v>
      </c>
      <c r="K8" s="952"/>
      <c r="L8" s="14"/>
    </row>
    <row r="9" spans="1:12" ht="12.75" customHeight="1">
      <c r="A9" s="953"/>
      <c r="B9" s="574">
        <v>43978.791666666664</v>
      </c>
      <c r="C9" s="574">
        <v>44011.8125</v>
      </c>
      <c r="D9" s="574">
        <v>44035.8125</v>
      </c>
      <c r="E9" s="574">
        <v>43668.854166666664</v>
      </c>
      <c r="F9" s="952"/>
      <c r="G9" s="575">
        <v>43886.8125</v>
      </c>
      <c r="H9" s="575">
        <v>43549.791666666664</v>
      </c>
      <c r="I9" s="952"/>
      <c r="J9" s="575">
        <v>43214.78125</v>
      </c>
      <c r="K9" s="952"/>
      <c r="L9" s="14"/>
    </row>
    <row r="10" spans="1:12" ht="12.75" customHeight="1">
      <c r="A10" s="576" t="s">
        <v>36</v>
      </c>
      <c r="B10" s="577">
        <v>4078.0458799999992</v>
      </c>
      <c r="C10" s="578">
        <v>3418.7987400000006</v>
      </c>
      <c r="D10" s="579">
        <v>3099.1131699999992</v>
      </c>
      <c r="E10" s="577">
        <v>2904.1955399999997</v>
      </c>
      <c r="F10" s="580">
        <f>+IF(E10=0,"",D10/E10-1)</f>
        <v>6.7115876777360306E-2</v>
      </c>
      <c r="G10" s="577">
        <v>4604.1638600000006</v>
      </c>
      <c r="H10" s="578">
        <v>4580.6239199999991</v>
      </c>
      <c r="I10" s="580">
        <f>+IF(H10=0,"",G10/H10-1)</f>
        <v>5.1390248165148478E-3</v>
      </c>
      <c r="J10" s="577">
        <v>4457.8647499999988</v>
      </c>
      <c r="K10" s="580">
        <f t="shared" ref="K10:K18" si="0">+IF(J10=0,"",H10/J10-1)</f>
        <v>2.7537661388224111E-2</v>
      </c>
      <c r="L10" s="14"/>
    </row>
    <row r="11" spans="1:12" ht="12.75" customHeight="1">
      <c r="A11" s="581" t="s">
        <v>37</v>
      </c>
      <c r="B11" s="582">
        <v>1514.6047800000001</v>
      </c>
      <c r="C11" s="583">
        <v>2303.9215900000004</v>
      </c>
      <c r="D11" s="584">
        <v>2889.6063999999992</v>
      </c>
      <c r="E11" s="582">
        <v>3479.0036200000004</v>
      </c>
      <c r="F11" s="585">
        <f>+IF(E11=0,"",D11/E11-1)</f>
        <v>-0.16941552363202228</v>
      </c>
      <c r="G11" s="582">
        <v>2265.9101700000001</v>
      </c>
      <c r="H11" s="583">
        <v>2106.5043700000006</v>
      </c>
      <c r="I11" s="585">
        <f>+IF(H11=0,"",G11/H11-1)</f>
        <v>7.567313995175784E-2</v>
      </c>
      <c r="J11" s="582">
        <v>1943.7948299999998</v>
      </c>
      <c r="K11" s="585">
        <f>+IF(J11=0,"",H11/J11-1)</f>
        <v>8.3707157509005592E-2</v>
      </c>
      <c r="L11" s="14"/>
    </row>
    <row r="12" spans="1:12" ht="12.75" customHeight="1">
      <c r="A12" s="586" t="s">
        <v>38</v>
      </c>
      <c r="B12" s="587">
        <v>89.387140000000002</v>
      </c>
      <c r="C12" s="588">
        <v>340.21674000000002</v>
      </c>
      <c r="D12" s="589">
        <v>348.54124000000002</v>
      </c>
      <c r="E12" s="587">
        <v>308.93804999999998</v>
      </c>
      <c r="F12" s="590">
        <f>+IF(E12=0,"",D12/E12-1)</f>
        <v>0.12819136393202468</v>
      </c>
      <c r="G12" s="587">
        <v>255.22534999999999</v>
      </c>
      <c r="H12" s="588">
        <v>303.54068999999998</v>
      </c>
      <c r="I12" s="590">
        <f>+IF(H12=0,"",G12/H12-1)</f>
        <v>-0.15917253136638776</v>
      </c>
      <c r="J12" s="587">
        <v>309.01528000000002</v>
      </c>
      <c r="K12" s="590">
        <f>+IF(J12=0,"",H12/J12-1)</f>
        <v>-1.7716243675717336E-2</v>
      </c>
      <c r="L12" s="13"/>
    </row>
    <row r="13" spans="1:12" ht="12.75" customHeight="1">
      <c r="A13" s="591" t="s">
        <v>30</v>
      </c>
      <c r="B13" s="592">
        <v>0</v>
      </c>
      <c r="C13" s="593">
        <v>0</v>
      </c>
      <c r="D13" s="594">
        <v>0</v>
      </c>
      <c r="E13" s="592">
        <v>0</v>
      </c>
      <c r="F13" s="595" t="str">
        <f>+IF(E13=0,"",D13/E13-1)</f>
        <v/>
      </c>
      <c r="G13" s="592">
        <v>0</v>
      </c>
      <c r="H13" s="593">
        <v>0</v>
      </c>
      <c r="I13" s="595" t="str">
        <f>+IF(H13=0,"",G13/H13-1)</f>
        <v/>
      </c>
      <c r="J13" s="592">
        <v>0</v>
      </c>
      <c r="K13" s="595" t="str">
        <f t="shared" si="0"/>
        <v/>
      </c>
      <c r="L13" s="14"/>
    </row>
    <row r="14" spans="1:12" ht="12.75" customHeight="1">
      <c r="A14" s="596" t="s">
        <v>42</v>
      </c>
      <c r="B14" s="567">
        <f>+SUM(B10:B13)</f>
        <v>5682.0377999999992</v>
      </c>
      <c r="C14" s="568">
        <f t="shared" ref="C14:J14" si="1">+SUM(C10:C13)</f>
        <v>6062.9370700000009</v>
      </c>
      <c r="D14" s="569">
        <f t="shared" si="1"/>
        <v>6337.2608099999979</v>
      </c>
      <c r="E14" s="567">
        <f t="shared" si="1"/>
        <v>6692.1372099999999</v>
      </c>
      <c r="F14" s="625">
        <f>+IF(E14=0,"",D14/E14-1)</f>
        <v>-5.3028858922634314E-2</v>
      </c>
      <c r="G14" s="622">
        <f t="shared" si="1"/>
        <v>7125.2993800000004</v>
      </c>
      <c r="H14" s="568">
        <f t="shared" si="1"/>
        <v>6990.6689799999995</v>
      </c>
      <c r="I14" s="625">
        <f>+IF(H14=0,"",G14/H14-1)</f>
        <v>1.9258586035924896E-2</v>
      </c>
      <c r="J14" s="567">
        <f t="shared" si="1"/>
        <v>6710.6748599999983</v>
      </c>
      <c r="K14" s="625">
        <f>+IF(J14=0,"",H14/J14-1)</f>
        <v>4.1723690365174537E-2</v>
      </c>
      <c r="L14" s="14"/>
    </row>
    <row r="15" spans="1:12" ht="6.75" customHeight="1">
      <c r="A15" s="597"/>
      <c r="B15" s="597"/>
      <c r="C15" s="597"/>
      <c r="D15" s="597"/>
      <c r="E15" s="597"/>
      <c r="F15" s="598"/>
      <c r="G15" s="597"/>
      <c r="H15" s="597"/>
      <c r="I15" s="598"/>
      <c r="J15" s="597"/>
      <c r="K15" s="598"/>
      <c r="L15" s="14"/>
    </row>
    <row r="16" spans="1:12" ht="12.75" customHeight="1">
      <c r="A16" s="599" t="s">
        <v>39</v>
      </c>
      <c r="B16" s="600">
        <v>0</v>
      </c>
      <c r="C16" s="601">
        <v>38.844000000000001</v>
      </c>
      <c r="D16" s="602">
        <v>45.825920000000004</v>
      </c>
      <c r="E16" s="600">
        <v>47.143999999999998</v>
      </c>
      <c r="F16" s="602">
        <v>0</v>
      </c>
      <c r="G16" s="600">
        <v>0</v>
      </c>
      <c r="H16" s="601">
        <v>0</v>
      </c>
      <c r="I16" s="602">
        <v>0</v>
      </c>
      <c r="J16" s="600">
        <v>0</v>
      </c>
      <c r="K16" s="603" t="str">
        <f t="shared" si="0"/>
        <v/>
      </c>
      <c r="L16" s="15"/>
    </row>
    <row r="17" spans="1:12" ht="12.75" customHeight="1">
      <c r="A17" s="604" t="s">
        <v>40</v>
      </c>
      <c r="B17" s="605">
        <v>0</v>
      </c>
      <c r="C17" s="606">
        <v>0</v>
      </c>
      <c r="D17" s="607">
        <v>0</v>
      </c>
      <c r="E17" s="605">
        <v>0</v>
      </c>
      <c r="F17" s="607">
        <v>0</v>
      </c>
      <c r="G17" s="605">
        <v>0</v>
      </c>
      <c r="H17" s="606">
        <v>0</v>
      </c>
      <c r="I17" s="607">
        <v>0</v>
      </c>
      <c r="J17" s="605">
        <v>0</v>
      </c>
      <c r="K17" s="608" t="str">
        <f t="shared" si="0"/>
        <v/>
      </c>
      <c r="L17" s="15"/>
    </row>
    <row r="18" spans="1:12" ht="24" customHeight="1">
      <c r="A18" s="609" t="s">
        <v>41</v>
      </c>
      <c r="B18" s="610">
        <f t="shared" ref="B18:J18" si="2">+B17-B16</f>
        <v>0</v>
      </c>
      <c r="C18" s="611">
        <f t="shared" si="2"/>
        <v>-38.844000000000001</v>
      </c>
      <c r="D18" s="612">
        <f t="shared" si="2"/>
        <v>-45.825920000000004</v>
      </c>
      <c r="E18" s="610">
        <f t="shared" si="2"/>
        <v>-47.143999999999998</v>
      </c>
      <c r="F18" s="612">
        <f t="shared" si="2"/>
        <v>0</v>
      </c>
      <c r="G18" s="610">
        <f t="shared" si="2"/>
        <v>0</v>
      </c>
      <c r="H18" s="611">
        <f t="shared" si="2"/>
        <v>0</v>
      </c>
      <c r="I18" s="612">
        <f t="shared" si="2"/>
        <v>0</v>
      </c>
      <c r="J18" s="610">
        <f t="shared" si="2"/>
        <v>0</v>
      </c>
      <c r="K18" s="613" t="str">
        <f t="shared" si="0"/>
        <v/>
      </c>
      <c r="L18" s="15"/>
    </row>
    <row r="19" spans="1:12" ht="6" customHeight="1">
      <c r="A19" s="614"/>
      <c r="B19" s="614"/>
      <c r="C19" s="614"/>
      <c r="D19" s="614"/>
      <c r="E19" s="614"/>
      <c r="F19" s="615"/>
      <c r="G19" s="614"/>
      <c r="H19" s="614"/>
      <c r="I19" s="615"/>
      <c r="J19" s="614"/>
      <c r="K19" s="615"/>
      <c r="L19" s="15"/>
    </row>
    <row r="20" spans="1:12" ht="24" customHeight="1">
      <c r="A20" s="616" t="s">
        <v>247</v>
      </c>
      <c r="B20" s="617">
        <f>+B14-B18</f>
        <v>5682.0377999999992</v>
      </c>
      <c r="C20" s="618">
        <f t="shared" ref="C20" si="3">+C14-C18</f>
        <v>6101.7810700000009</v>
      </c>
      <c r="D20" s="621">
        <f>+D14-D18</f>
        <v>6383.0867299999982</v>
      </c>
      <c r="E20" s="617">
        <f>+E14-E18</f>
        <v>6739.2812100000001</v>
      </c>
      <c r="F20" s="570">
        <f>+IF(E20=0,"",D20/E20-1)</f>
        <v>-5.2853482278119923E-2</v>
      </c>
      <c r="G20" s="764">
        <f>+G14-G18</f>
        <v>7125.2993800000004</v>
      </c>
      <c r="H20" s="617">
        <f>+H14-H18</f>
        <v>6990.6689799999995</v>
      </c>
      <c r="I20" s="570">
        <f>+IF(H20=0,"",G20/H20-1)</f>
        <v>1.9258586035924896E-2</v>
      </c>
      <c r="J20" s="617">
        <f>+J14-J18</f>
        <v>6710.6748599999983</v>
      </c>
      <c r="K20" s="570">
        <f>+IF(J20=0,"",H20/J20-1)</f>
        <v>4.1723690365174537E-2</v>
      </c>
      <c r="L20" s="15"/>
    </row>
    <row r="21" spans="1:12" ht="11.25" customHeight="1">
      <c r="A21" s="264" t="s">
        <v>405</v>
      </c>
      <c r="B21" s="138"/>
      <c r="C21" s="138"/>
      <c r="D21" s="138"/>
      <c r="E21" s="138"/>
      <c r="F21" s="138"/>
      <c r="G21" s="138"/>
      <c r="H21" s="138"/>
      <c r="I21" s="138"/>
      <c r="J21" s="138"/>
      <c r="K21" s="138"/>
      <c r="L21" s="16"/>
    </row>
    <row r="22" spans="1:12" ht="17.25" customHeight="1">
      <c r="A22" s="944"/>
      <c r="B22" s="944"/>
      <c r="C22" s="944"/>
      <c r="D22" s="944"/>
      <c r="E22" s="944"/>
      <c r="F22" s="944"/>
      <c r="G22" s="944"/>
      <c r="H22" s="944"/>
      <c r="I22" s="944"/>
      <c r="J22" s="944"/>
      <c r="K22" s="944"/>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945" t="str">
        <f>"Gráfico N° 11: Comparación de la máxima potencia coincidente de potencia (MW) por tipo de generación en el SEIN en "&amp;'1. Resumen'!Q4</f>
        <v>Gráfico N° 11: Comparación de la máxima potencia coincidente de potencia (MW) por tipo de generación en el SEIN en julio</v>
      </c>
      <c r="B58" s="945"/>
      <c r="C58" s="945"/>
      <c r="D58" s="945"/>
      <c r="E58" s="945"/>
      <c r="F58" s="945"/>
      <c r="G58" s="945"/>
      <c r="H58" s="945"/>
      <c r="I58" s="945"/>
      <c r="J58" s="945"/>
      <c r="K58" s="945"/>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4"/>
  <sheetViews>
    <sheetView showGridLines="0" view="pageBreakPreview" zoomScaleNormal="100" zoomScaleSheetLayoutView="100" zoomScalePageLayoutView="115" workbookViewId="0">
      <selection activeCell="L35" sqref="L35"/>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customWidth="1"/>
    <col min="12" max="12" width="27.85546875" style="422" customWidth="1"/>
    <col min="13" max="14" width="9.28515625" style="630"/>
    <col min="15" max="15" width="9.28515625" style="707"/>
  </cols>
  <sheetData>
    <row r="1" spans="1:15" ht="25.5" customHeight="1">
      <c r="A1" s="954" t="s">
        <v>251</v>
      </c>
      <c r="B1" s="954"/>
      <c r="C1" s="954"/>
      <c r="D1" s="954"/>
      <c r="E1" s="954"/>
      <c r="F1" s="954"/>
      <c r="G1" s="954"/>
      <c r="H1" s="954"/>
      <c r="I1" s="954"/>
      <c r="J1" s="954"/>
    </row>
    <row r="2" spans="1:15" ht="7.5" customHeight="1">
      <c r="A2" s="74"/>
      <c r="B2" s="73"/>
      <c r="C2" s="73"/>
      <c r="D2" s="73"/>
      <c r="E2" s="73"/>
      <c r="F2" s="73"/>
      <c r="G2" s="73"/>
      <c r="H2" s="73"/>
      <c r="I2" s="73"/>
      <c r="J2" s="73"/>
      <c r="K2" s="36"/>
      <c r="L2" s="745"/>
    </row>
    <row r="3" spans="1:15" ht="11.25" customHeight="1">
      <c r="A3" s="955" t="s">
        <v>123</v>
      </c>
      <c r="B3" s="957" t="str">
        <f>+'1. Resumen'!Q4</f>
        <v>julio</v>
      </c>
      <c r="C3" s="958"/>
      <c r="D3" s="959"/>
      <c r="E3" s="138"/>
      <c r="F3" s="138"/>
      <c r="G3" s="960" t="s">
        <v>478</v>
      </c>
      <c r="H3" s="960"/>
      <c r="I3" s="960"/>
      <c r="J3" s="138"/>
      <c r="K3" s="148"/>
      <c r="L3" s="745"/>
    </row>
    <row r="4" spans="1:15" ht="11.25" customHeight="1">
      <c r="A4" s="955"/>
      <c r="B4" s="480">
        <v>2020</v>
      </c>
      <c r="C4" s="481">
        <v>2019</v>
      </c>
      <c r="D4" s="959" t="s">
        <v>35</v>
      </c>
      <c r="E4" s="138"/>
      <c r="F4" s="138"/>
      <c r="G4" s="138"/>
      <c r="H4" s="138"/>
      <c r="I4" s="138"/>
      <c r="J4" s="138"/>
      <c r="K4" s="24"/>
      <c r="L4" s="746"/>
    </row>
    <row r="5" spans="1:15" ht="11.25" customHeight="1">
      <c r="A5" s="955"/>
      <c r="B5" s="482">
        <f>+'8. Max Potencia'!D8</f>
        <v>44035.8125</v>
      </c>
      <c r="C5" s="482">
        <f>+'8. Max Potencia'!E8</f>
        <v>43668.854166666664</v>
      </c>
      <c r="D5" s="959"/>
      <c r="E5" s="138"/>
      <c r="F5" s="138"/>
      <c r="G5" s="138"/>
      <c r="H5" s="138"/>
      <c r="I5" s="138"/>
      <c r="J5" s="138"/>
      <c r="K5" s="24"/>
      <c r="L5" s="747"/>
    </row>
    <row r="6" spans="1:15" ht="11.25" customHeight="1" thickBot="1">
      <c r="A6" s="956"/>
      <c r="B6" s="483">
        <f>+'8. Max Potencia'!D9</f>
        <v>44035.8125</v>
      </c>
      <c r="C6" s="483">
        <f>+'8. Max Potencia'!E9</f>
        <v>43668.854166666664</v>
      </c>
      <c r="D6" s="961"/>
      <c r="E6" s="138"/>
      <c r="F6" s="138"/>
      <c r="G6" s="138"/>
      <c r="H6" s="138"/>
      <c r="I6" s="138"/>
      <c r="J6" s="138"/>
      <c r="K6" s="25"/>
      <c r="L6" s="746" t="s">
        <v>250</v>
      </c>
      <c r="M6" s="422">
        <v>2020</v>
      </c>
      <c r="N6" s="422">
        <v>2019</v>
      </c>
    </row>
    <row r="7" spans="1:15" ht="9.75" customHeight="1">
      <c r="A7" s="369" t="s">
        <v>410</v>
      </c>
      <c r="B7" s="370">
        <v>1262.5481599999998</v>
      </c>
      <c r="C7" s="370">
        <v>1052.8701000000001</v>
      </c>
      <c r="D7" s="371">
        <f>IF(C7=0,"",B7/C7-1)</f>
        <v>0.19914903082535984</v>
      </c>
      <c r="E7" s="138"/>
      <c r="F7" s="138"/>
      <c r="G7" s="138"/>
      <c r="H7" s="138"/>
      <c r="I7" s="138"/>
      <c r="J7" s="138"/>
      <c r="K7" s="23"/>
      <c r="L7" s="748" t="s">
        <v>431</v>
      </c>
      <c r="M7" s="761">
        <v>0</v>
      </c>
      <c r="N7" s="761">
        <v>6.8680000000000003</v>
      </c>
      <c r="O7" s="708"/>
    </row>
    <row r="8" spans="1:15" ht="9.75" customHeight="1">
      <c r="A8" s="372" t="s">
        <v>88</v>
      </c>
      <c r="B8" s="373">
        <v>1090.2225800000001</v>
      </c>
      <c r="C8" s="373">
        <v>1169.6795699999998</v>
      </c>
      <c r="D8" s="374">
        <f t="shared" ref="D8:D63" si="0">IF(C8=0,"",B8/C8-1)</f>
        <v>-6.793056152976984E-2</v>
      </c>
      <c r="E8" s="138"/>
      <c r="F8" s="138"/>
      <c r="G8" s="138"/>
      <c r="H8" s="138"/>
      <c r="I8" s="138"/>
      <c r="J8" s="138"/>
      <c r="K8" s="26"/>
      <c r="L8" s="748" t="s">
        <v>105</v>
      </c>
      <c r="M8" s="761">
        <v>0</v>
      </c>
      <c r="N8" s="761">
        <v>167.28831</v>
      </c>
      <c r="O8" s="708"/>
    </row>
    <row r="9" spans="1:15" ht="9.75" customHeight="1">
      <c r="A9" s="375" t="s">
        <v>89</v>
      </c>
      <c r="B9" s="376">
        <v>847.23167999999998</v>
      </c>
      <c r="C9" s="376">
        <v>856.78128000000004</v>
      </c>
      <c r="D9" s="377">
        <f t="shared" si="0"/>
        <v>-1.1145901787209977E-2</v>
      </c>
      <c r="E9" s="403"/>
      <c r="F9" s="138"/>
      <c r="G9" s="138"/>
      <c r="H9" s="138"/>
      <c r="I9" s="138"/>
      <c r="J9" s="138"/>
      <c r="K9" s="25"/>
      <c r="L9" s="748" t="s">
        <v>100</v>
      </c>
      <c r="M9" s="761">
        <v>0</v>
      </c>
      <c r="N9" s="761">
        <v>287.88475</v>
      </c>
      <c r="O9" s="708"/>
    </row>
    <row r="10" spans="1:15" ht="9.75" customHeight="1">
      <c r="A10" s="372" t="s">
        <v>87</v>
      </c>
      <c r="B10" s="373">
        <v>785.97140000000013</v>
      </c>
      <c r="C10" s="373">
        <v>917.55417000000011</v>
      </c>
      <c r="D10" s="374">
        <f t="shared" si="0"/>
        <v>-0.14340599640019069</v>
      </c>
      <c r="E10" s="138"/>
      <c r="F10" s="138"/>
      <c r="G10" s="138"/>
      <c r="H10" s="138"/>
      <c r="I10" s="138"/>
      <c r="J10" s="138"/>
      <c r="K10" s="25"/>
      <c r="L10" s="748" t="s">
        <v>109</v>
      </c>
      <c r="M10" s="747">
        <v>0</v>
      </c>
      <c r="N10" s="747">
        <v>0</v>
      </c>
      <c r="O10" s="708"/>
    </row>
    <row r="11" spans="1:15" ht="9.75" customHeight="1">
      <c r="A11" s="375" t="s">
        <v>239</v>
      </c>
      <c r="B11" s="376">
        <v>544.87508000000003</v>
      </c>
      <c r="C11" s="376">
        <v>545.92955000000006</v>
      </c>
      <c r="D11" s="377">
        <f t="shared" si="0"/>
        <v>-1.9315129580365076E-3</v>
      </c>
      <c r="E11" s="138"/>
      <c r="F11" s="138"/>
      <c r="G11" s="138"/>
      <c r="H11" s="138"/>
      <c r="I11" s="138"/>
      <c r="J11" s="138"/>
      <c r="K11" s="25"/>
      <c r="L11" s="748" t="s">
        <v>119</v>
      </c>
      <c r="M11" s="747">
        <v>0</v>
      </c>
      <c r="N11" s="747">
        <v>0</v>
      </c>
      <c r="O11" s="708"/>
    </row>
    <row r="12" spans="1:15" ht="9.75" customHeight="1">
      <c r="A12" s="372" t="s">
        <v>90</v>
      </c>
      <c r="B12" s="373">
        <v>279.18975</v>
      </c>
      <c r="C12" s="373">
        <v>225.76106999999999</v>
      </c>
      <c r="D12" s="374">
        <f t="shared" si="0"/>
        <v>0.23666028868484723</v>
      </c>
      <c r="E12" s="138"/>
      <c r="F12" s="138"/>
      <c r="G12" s="138"/>
      <c r="H12" s="138"/>
      <c r="I12" s="138"/>
      <c r="J12" s="138"/>
      <c r="K12" s="23"/>
      <c r="L12" s="748" t="s">
        <v>102</v>
      </c>
      <c r="M12" s="761">
        <v>0</v>
      </c>
      <c r="N12" s="761">
        <v>28.627479999999998</v>
      </c>
      <c r="O12" s="708"/>
    </row>
    <row r="13" spans="1:15" ht="9.75" customHeight="1">
      <c r="A13" s="375" t="s">
        <v>241</v>
      </c>
      <c r="B13" s="376">
        <v>157.02723</v>
      </c>
      <c r="C13" s="376">
        <v>147.59696</v>
      </c>
      <c r="D13" s="377">
        <f t="shared" si="0"/>
        <v>6.3892034090675009E-2</v>
      </c>
      <c r="E13" s="138"/>
      <c r="F13" s="138"/>
      <c r="G13" s="138"/>
      <c r="H13" s="138"/>
      <c r="I13" s="138"/>
      <c r="J13" s="138"/>
      <c r="K13" s="26"/>
      <c r="L13" s="748" t="s">
        <v>244</v>
      </c>
      <c r="M13" s="747">
        <v>0</v>
      </c>
      <c r="N13" s="747">
        <v>0</v>
      </c>
      <c r="O13" s="708"/>
    </row>
    <row r="14" spans="1:15" ht="9.75" customHeight="1">
      <c r="A14" s="372" t="s">
        <v>91</v>
      </c>
      <c r="B14" s="373">
        <v>146.96161999999995</v>
      </c>
      <c r="C14" s="373">
        <v>150.46375000000003</v>
      </c>
      <c r="D14" s="374">
        <f t="shared" si="0"/>
        <v>-2.3275573020080098E-2</v>
      </c>
      <c r="E14" s="138"/>
      <c r="F14" s="138"/>
      <c r="G14" s="138"/>
      <c r="H14" s="138"/>
      <c r="I14" s="138"/>
      <c r="J14" s="138"/>
      <c r="K14" s="26"/>
      <c r="L14" s="748" t="s">
        <v>243</v>
      </c>
      <c r="M14" s="747">
        <v>0</v>
      </c>
      <c r="N14" s="747">
        <v>0</v>
      </c>
      <c r="O14" s="708"/>
    </row>
    <row r="15" spans="1:15" ht="9.75" customHeight="1">
      <c r="A15" s="375" t="s">
        <v>94</v>
      </c>
      <c r="B15" s="376">
        <v>137.56891000000002</v>
      </c>
      <c r="C15" s="376">
        <v>57.046239999999997</v>
      </c>
      <c r="D15" s="377">
        <f t="shared" si="0"/>
        <v>1.4115333455807084</v>
      </c>
      <c r="E15" s="138"/>
      <c r="F15" s="138"/>
      <c r="G15" s="138"/>
      <c r="H15" s="138"/>
      <c r="I15" s="138"/>
      <c r="J15" s="138"/>
      <c r="K15" s="26"/>
      <c r="L15" s="748" t="s">
        <v>107</v>
      </c>
      <c r="M15" s="747">
        <v>0</v>
      </c>
      <c r="N15" s="747">
        <v>0</v>
      </c>
      <c r="O15" s="708"/>
    </row>
    <row r="16" spans="1:15" ht="9.75" customHeight="1">
      <c r="A16" s="372" t="s">
        <v>98</v>
      </c>
      <c r="B16" s="373">
        <v>125.65469</v>
      </c>
      <c r="C16" s="373">
        <v>129.72591</v>
      </c>
      <c r="D16" s="374">
        <f t="shared" si="0"/>
        <v>-3.138324487374955E-2</v>
      </c>
      <c r="E16" s="138"/>
      <c r="F16" s="138"/>
      <c r="G16" s="138"/>
      <c r="H16" s="138"/>
      <c r="I16" s="138"/>
      <c r="J16" s="138"/>
      <c r="K16" s="26"/>
      <c r="L16" s="748" t="s">
        <v>110</v>
      </c>
      <c r="M16" s="747">
        <v>0</v>
      </c>
      <c r="N16" s="747">
        <v>0</v>
      </c>
      <c r="O16" s="708"/>
    </row>
    <row r="17" spans="1:15" ht="9.75" customHeight="1">
      <c r="A17" s="375" t="s">
        <v>92</v>
      </c>
      <c r="B17" s="376">
        <v>117.06838</v>
      </c>
      <c r="C17" s="376">
        <v>126.30718999999999</v>
      </c>
      <c r="D17" s="377">
        <f t="shared" si="0"/>
        <v>-7.3145558855358783E-2</v>
      </c>
      <c r="E17" s="138"/>
      <c r="F17" s="138"/>
      <c r="G17" s="138"/>
      <c r="H17" s="138"/>
      <c r="I17" s="138"/>
      <c r="J17" s="138"/>
      <c r="K17" s="26"/>
      <c r="L17" s="748" t="s">
        <v>118</v>
      </c>
      <c r="M17" s="761">
        <v>0</v>
      </c>
      <c r="N17" s="761">
        <v>0</v>
      </c>
      <c r="O17" s="708"/>
    </row>
    <row r="18" spans="1:15" ht="9.75" customHeight="1">
      <c r="A18" s="372" t="s">
        <v>93</v>
      </c>
      <c r="B18" s="373">
        <v>115.36628999999999</v>
      </c>
      <c r="C18" s="373">
        <v>87.994110000000006</v>
      </c>
      <c r="D18" s="374">
        <f t="shared" si="0"/>
        <v>0.31106832036826093</v>
      </c>
      <c r="E18" s="138"/>
      <c r="F18" s="138"/>
      <c r="G18" s="138"/>
      <c r="H18" s="138"/>
      <c r="I18" s="138"/>
      <c r="J18" s="138"/>
      <c r="K18" s="26"/>
      <c r="L18" s="748" t="s">
        <v>412</v>
      </c>
      <c r="M18" s="747">
        <v>0</v>
      </c>
      <c r="N18" s="747">
        <v>0</v>
      </c>
      <c r="O18" s="708"/>
    </row>
    <row r="19" spans="1:15" ht="9.75" customHeight="1">
      <c r="A19" s="375" t="s">
        <v>97</v>
      </c>
      <c r="B19" s="376">
        <v>99.272949999999994</v>
      </c>
      <c r="C19" s="376">
        <v>61.083310000000004</v>
      </c>
      <c r="D19" s="377">
        <f t="shared" si="0"/>
        <v>0.62520580498993894</v>
      </c>
      <c r="E19" s="138"/>
      <c r="F19" s="138"/>
      <c r="G19" s="138"/>
      <c r="H19" s="138"/>
      <c r="I19" s="138"/>
      <c r="J19" s="138"/>
      <c r="K19" s="26"/>
      <c r="L19" s="748" t="s">
        <v>112</v>
      </c>
      <c r="M19" s="747">
        <v>0</v>
      </c>
      <c r="N19" s="747">
        <v>0</v>
      </c>
      <c r="O19" s="708"/>
    </row>
    <row r="20" spans="1:15" ht="9.75" customHeight="1">
      <c r="A20" s="372" t="s">
        <v>99</v>
      </c>
      <c r="B20" s="373">
        <v>91.666669999999996</v>
      </c>
      <c r="C20" s="373">
        <v>87.321700000000007</v>
      </c>
      <c r="D20" s="374">
        <f t="shared" si="0"/>
        <v>4.9758192980667859E-2</v>
      </c>
      <c r="E20" s="138"/>
      <c r="F20" s="138"/>
      <c r="G20" s="138"/>
      <c r="H20" s="138"/>
      <c r="I20" s="138"/>
      <c r="J20" s="138"/>
      <c r="K20" s="29"/>
      <c r="L20" s="748" t="s">
        <v>111</v>
      </c>
      <c r="M20" s="747">
        <v>0</v>
      </c>
      <c r="N20" s="747">
        <v>0</v>
      </c>
      <c r="O20" s="708"/>
    </row>
    <row r="21" spans="1:15" ht="9.75" customHeight="1">
      <c r="A21" s="375" t="s">
        <v>96</v>
      </c>
      <c r="B21" s="376">
        <v>91.021820000000005</v>
      </c>
      <c r="C21" s="376">
        <v>91.333510000000004</v>
      </c>
      <c r="D21" s="377">
        <f t="shared" si="0"/>
        <v>-3.4126576324505775E-3</v>
      </c>
      <c r="E21" s="138"/>
      <c r="F21" s="138"/>
      <c r="G21" s="138"/>
      <c r="H21" s="138"/>
      <c r="I21" s="138"/>
      <c r="J21" s="138"/>
      <c r="K21" s="26"/>
      <c r="L21" s="748" t="s">
        <v>236</v>
      </c>
      <c r="M21" s="761">
        <v>0</v>
      </c>
      <c r="N21" s="761">
        <v>0</v>
      </c>
      <c r="O21" s="708"/>
    </row>
    <row r="22" spans="1:15" ht="9.75" customHeight="1">
      <c r="A22" s="372" t="s">
        <v>95</v>
      </c>
      <c r="B22" s="373">
        <v>78.888030000000001</v>
      </c>
      <c r="C22" s="373">
        <v>99.512879999999996</v>
      </c>
      <c r="D22" s="374">
        <f t="shared" si="0"/>
        <v>-0.20725809563545938</v>
      </c>
      <c r="E22" s="138"/>
      <c r="F22" s="138"/>
      <c r="G22" s="138"/>
      <c r="H22" s="138"/>
      <c r="I22" s="138"/>
      <c r="J22" s="138"/>
      <c r="K22" s="26"/>
      <c r="L22" s="748" t="s">
        <v>457</v>
      </c>
      <c r="M22" s="761">
        <v>0</v>
      </c>
      <c r="N22" s="761"/>
      <c r="O22" s="708"/>
    </row>
    <row r="23" spans="1:15" ht="9.75" customHeight="1">
      <c r="A23" s="375" t="s">
        <v>238</v>
      </c>
      <c r="B23" s="376">
        <v>67.475179999999995</v>
      </c>
      <c r="C23" s="376">
        <v>59.373419999999996</v>
      </c>
      <c r="D23" s="377">
        <f t="shared" si="0"/>
        <v>0.13645432585827133</v>
      </c>
      <c r="E23" s="138"/>
      <c r="F23" s="138"/>
      <c r="G23" s="138"/>
      <c r="H23" s="138"/>
      <c r="I23" s="138"/>
      <c r="J23" s="138"/>
      <c r="K23" s="26"/>
      <c r="L23" s="748" t="s">
        <v>106</v>
      </c>
      <c r="M23" s="747">
        <v>0</v>
      </c>
      <c r="N23" s="747">
        <v>14.317920000000001</v>
      </c>
      <c r="O23" s="708"/>
    </row>
    <row r="24" spans="1:15" ht="9.75" customHeight="1">
      <c r="A24" s="372" t="s">
        <v>430</v>
      </c>
      <c r="B24" s="373">
        <v>60.02216</v>
      </c>
      <c r="C24" s="373">
        <v>65.870020000000011</v>
      </c>
      <c r="D24" s="374">
        <f t="shared" si="0"/>
        <v>-8.8778779784794537E-2</v>
      </c>
      <c r="E24" s="138"/>
      <c r="F24" s="138"/>
      <c r="G24" s="138"/>
      <c r="H24" s="138"/>
      <c r="I24" s="138"/>
      <c r="J24" s="138"/>
      <c r="K24" s="29"/>
      <c r="L24" s="748" t="s">
        <v>121</v>
      </c>
      <c r="M24" s="747">
        <v>0</v>
      </c>
      <c r="N24" s="747">
        <v>0</v>
      </c>
      <c r="O24" s="708"/>
    </row>
    <row r="25" spans="1:15" ht="9.75" customHeight="1">
      <c r="A25" s="375" t="s">
        <v>242</v>
      </c>
      <c r="B25" s="376">
        <v>31.946929999999998</v>
      </c>
      <c r="C25" s="376">
        <v>30.807130000000001</v>
      </c>
      <c r="D25" s="377">
        <f t="shared" si="0"/>
        <v>3.6997928726239637E-2</v>
      </c>
      <c r="E25" s="138"/>
      <c r="F25" s="138"/>
      <c r="G25" s="138"/>
      <c r="H25" s="138"/>
      <c r="I25" s="138"/>
      <c r="J25" s="138"/>
      <c r="K25" s="26"/>
      <c r="L25" s="748" t="s">
        <v>453</v>
      </c>
      <c r="M25" s="761">
        <v>0.81805000000000005</v>
      </c>
      <c r="N25" s="761">
        <v>1.728E-2</v>
      </c>
      <c r="O25" s="708"/>
    </row>
    <row r="26" spans="1:15" ht="9.75" customHeight="1">
      <c r="A26" s="372" t="s">
        <v>113</v>
      </c>
      <c r="B26" s="373">
        <v>21.43946</v>
      </c>
      <c r="C26" s="373">
        <v>23.643570000000004</v>
      </c>
      <c r="D26" s="374">
        <f t="shared" si="0"/>
        <v>-9.3222385621122505E-2</v>
      </c>
      <c r="E26" s="138"/>
      <c r="F26" s="138"/>
      <c r="G26" s="138"/>
      <c r="H26" s="138"/>
      <c r="I26" s="138"/>
      <c r="J26" s="138"/>
      <c r="K26" s="26"/>
      <c r="L26" s="748" t="s">
        <v>117</v>
      </c>
      <c r="M26" s="747">
        <v>0.83913000000000004</v>
      </c>
      <c r="N26" s="747">
        <v>1.7833999999999999</v>
      </c>
      <c r="O26" s="708"/>
    </row>
    <row r="27" spans="1:15" ht="9.75" customHeight="1">
      <c r="A27" s="375" t="s">
        <v>108</v>
      </c>
      <c r="B27" s="376">
        <v>21.141729999999999</v>
      </c>
      <c r="C27" s="376">
        <v>22.363440000000001</v>
      </c>
      <c r="D27" s="377">
        <f t="shared" si="0"/>
        <v>-5.4629788619282249E-2</v>
      </c>
      <c r="E27" s="138"/>
      <c r="F27" s="138"/>
      <c r="G27" s="138"/>
      <c r="H27" s="138"/>
      <c r="I27" s="138"/>
      <c r="J27" s="138"/>
      <c r="K27" s="26"/>
      <c r="L27" s="748" t="s">
        <v>114</v>
      </c>
      <c r="M27" s="747">
        <v>1.7296</v>
      </c>
      <c r="N27" s="747">
        <v>4.9809799999999997</v>
      </c>
      <c r="O27" s="708"/>
    </row>
    <row r="28" spans="1:15" ht="9.75" customHeight="1">
      <c r="A28" s="372" t="s">
        <v>402</v>
      </c>
      <c r="B28" s="373">
        <v>20.144839999999999</v>
      </c>
      <c r="C28" s="373">
        <v>20.00085</v>
      </c>
      <c r="D28" s="374">
        <f t="shared" si="0"/>
        <v>7.1991940342535088E-3</v>
      </c>
      <c r="E28" s="138"/>
      <c r="F28" s="138"/>
      <c r="G28" s="138"/>
      <c r="H28" s="138"/>
      <c r="I28" s="138"/>
      <c r="J28" s="138"/>
      <c r="K28" s="26"/>
      <c r="L28" s="748" t="s">
        <v>115</v>
      </c>
      <c r="M28" s="747">
        <v>2.0139</v>
      </c>
      <c r="N28" s="747">
        <v>1.8469500000000001</v>
      </c>
      <c r="O28" s="708"/>
    </row>
    <row r="29" spans="1:15" ht="9.75" customHeight="1">
      <c r="A29" s="378" t="s">
        <v>418</v>
      </c>
      <c r="B29" s="379">
        <v>17.384630000000001</v>
      </c>
      <c r="C29" s="379">
        <v>15.855229999999999</v>
      </c>
      <c r="D29" s="380">
        <f t="shared" si="0"/>
        <v>9.6460284713624667E-2</v>
      </c>
      <c r="E29" s="138"/>
      <c r="F29" s="138"/>
      <c r="G29" s="138"/>
      <c r="H29" s="138"/>
      <c r="I29" s="138"/>
      <c r="J29" s="138"/>
      <c r="K29" s="26"/>
      <c r="L29" s="748" t="s">
        <v>120</v>
      </c>
      <c r="M29" s="747">
        <v>3.0442100000000001</v>
      </c>
      <c r="N29" s="747">
        <v>3.5552600000000001</v>
      </c>
      <c r="O29" s="708"/>
    </row>
    <row r="30" spans="1:15" ht="9.75" customHeight="1">
      <c r="A30" s="381" t="s">
        <v>103</v>
      </c>
      <c r="B30" s="382">
        <v>16.170090000000002</v>
      </c>
      <c r="C30" s="382">
        <v>18.527999999999999</v>
      </c>
      <c r="D30" s="383">
        <f t="shared" si="0"/>
        <v>-0.12726198186528481</v>
      </c>
      <c r="E30" s="138"/>
      <c r="F30" s="138"/>
      <c r="G30" s="138"/>
      <c r="H30" s="138"/>
      <c r="I30" s="138"/>
      <c r="J30" s="138"/>
      <c r="K30" s="26"/>
      <c r="L30" s="748" t="s">
        <v>116</v>
      </c>
      <c r="M30" s="747">
        <v>3.6</v>
      </c>
      <c r="N30" s="747">
        <v>3.6</v>
      </c>
      <c r="O30" s="708"/>
    </row>
    <row r="31" spans="1:15" ht="9.75" customHeight="1">
      <c r="A31" s="384" t="s">
        <v>240</v>
      </c>
      <c r="B31" s="385">
        <v>13.62419</v>
      </c>
      <c r="C31" s="385">
        <v>14.84337</v>
      </c>
      <c r="D31" s="386">
        <f t="shared" si="0"/>
        <v>-8.2136334269104605E-2</v>
      </c>
      <c r="E31" s="138"/>
      <c r="F31" s="138"/>
      <c r="G31" s="138"/>
      <c r="H31" s="138"/>
      <c r="I31" s="138"/>
      <c r="J31" s="138"/>
      <c r="K31" s="26"/>
      <c r="L31" s="748" t="s">
        <v>487</v>
      </c>
      <c r="M31" s="747">
        <v>4.21774</v>
      </c>
      <c r="N31" s="747"/>
      <c r="O31" s="708"/>
    </row>
    <row r="32" spans="1:15" ht="9.75" customHeight="1">
      <c r="A32" s="381" t="s">
        <v>455</v>
      </c>
      <c r="B32" s="382">
        <v>13.482089999999999</v>
      </c>
      <c r="C32" s="382">
        <v>16.225819999999999</v>
      </c>
      <c r="D32" s="383">
        <f t="shared" si="0"/>
        <v>-0.16909653872654817</v>
      </c>
      <c r="E32" s="138"/>
      <c r="F32" s="138"/>
      <c r="G32" s="138"/>
      <c r="H32" s="138"/>
      <c r="I32" s="138"/>
      <c r="J32" s="138"/>
      <c r="K32" s="26"/>
      <c r="L32" s="748" t="s">
        <v>458</v>
      </c>
      <c r="M32" s="747">
        <v>4.6867700000000001</v>
      </c>
      <c r="N32" s="747"/>
      <c r="O32" s="708"/>
    </row>
    <row r="33" spans="1:15" ht="13.5" customHeight="1">
      <c r="A33" s="532" t="s">
        <v>101</v>
      </c>
      <c r="B33" s="385">
        <v>13.41</v>
      </c>
      <c r="C33" s="385">
        <v>25.86</v>
      </c>
      <c r="D33" s="386">
        <f t="shared" si="0"/>
        <v>-0.4814385150812065</v>
      </c>
      <c r="E33" s="138"/>
      <c r="F33" s="138"/>
      <c r="G33" s="138"/>
      <c r="H33" s="138"/>
      <c r="I33" s="138"/>
      <c r="J33" s="138"/>
      <c r="K33" s="26"/>
      <c r="L33" s="748" t="s">
        <v>237</v>
      </c>
      <c r="M33" s="747">
        <v>6.4439500000000001</v>
      </c>
      <c r="N33" s="747">
        <v>6.4285699999999997</v>
      </c>
      <c r="O33" s="708"/>
    </row>
    <row r="34" spans="1:15" ht="11.25" customHeight="1">
      <c r="A34" s="381" t="s">
        <v>634</v>
      </c>
      <c r="B34" s="382">
        <v>12.229009999999999</v>
      </c>
      <c r="C34" s="382">
        <v>13.182869999999999</v>
      </c>
      <c r="D34" s="383">
        <f t="shared" si="0"/>
        <v>-7.2356019592091925E-2</v>
      </c>
      <c r="E34" s="138"/>
      <c r="F34" s="138"/>
      <c r="G34" s="138"/>
      <c r="H34" s="138"/>
      <c r="I34" s="138"/>
      <c r="J34" s="138"/>
      <c r="K34" s="26"/>
      <c r="L34" s="748" t="s">
        <v>421</v>
      </c>
      <c r="M34" s="747">
        <v>6.5736999999999997</v>
      </c>
      <c r="N34" s="747">
        <v>6.9106399999999999</v>
      </c>
      <c r="O34" s="708"/>
    </row>
    <row r="35" spans="1:15" ht="13.5" customHeight="1">
      <c r="A35" s="532" t="s">
        <v>446</v>
      </c>
      <c r="B35" s="385">
        <v>9.7921300000000002</v>
      </c>
      <c r="C35" s="385">
        <v>12.18479</v>
      </c>
      <c r="D35" s="386">
        <f t="shared" si="0"/>
        <v>-0.19636448391806505</v>
      </c>
      <c r="E35" s="138"/>
      <c r="F35" s="138"/>
      <c r="G35" s="138"/>
      <c r="H35" s="138"/>
      <c r="I35" s="138"/>
      <c r="J35" s="138"/>
      <c r="K35" s="26"/>
      <c r="L35" s="748" t="s">
        <v>411</v>
      </c>
      <c r="M35" s="747">
        <v>6.61374</v>
      </c>
      <c r="N35" s="747">
        <v>7.7927999999999997</v>
      </c>
      <c r="O35" s="708"/>
    </row>
    <row r="36" spans="1:15" ht="11.25" customHeight="1">
      <c r="A36" s="381" t="s">
        <v>104</v>
      </c>
      <c r="B36" s="382">
        <v>7.8823400000000001</v>
      </c>
      <c r="C36" s="382">
        <v>4.5350599999999996</v>
      </c>
      <c r="D36" s="383">
        <f t="shared" si="0"/>
        <v>0.73808946298395184</v>
      </c>
      <c r="E36" s="138"/>
      <c r="F36" s="138"/>
      <c r="G36" s="138"/>
      <c r="H36" s="138"/>
      <c r="I36" s="138"/>
      <c r="J36" s="138"/>
      <c r="K36" s="34"/>
      <c r="L36" s="748" t="s">
        <v>104</v>
      </c>
      <c r="M36" s="747">
        <v>7.8823400000000001</v>
      </c>
      <c r="N36" s="747">
        <v>4.5350599999999996</v>
      </c>
      <c r="O36" s="708"/>
    </row>
    <row r="37" spans="1:15" ht="11.25" customHeight="1">
      <c r="A37" s="532" t="s">
        <v>411</v>
      </c>
      <c r="B37" s="385">
        <v>6.61374</v>
      </c>
      <c r="C37" s="385">
        <v>7.7927999999999997</v>
      </c>
      <c r="D37" s="386">
        <f t="shared" si="0"/>
        <v>-0.1513012011087157</v>
      </c>
      <c r="E37" s="138"/>
      <c r="F37" s="138"/>
      <c r="G37" s="138"/>
      <c r="H37" s="138"/>
      <c r="I37" s="138"/>
      <c r="J37" s="138"/>
      <c r="K37" s="34"/>
      <c r="L37" s="748" t="s">
        <v>446</v>
      </c>
      <c r="M37" s="761">
        <v>9.7921300000000002</v>
      </c>
      <c r="N37" s="761">
        <v>12.18479</v>
      </c>
      <c r="O37" s="708"/>
    </row>
    <row r="38" spans="1:15" ht="11.25" customHeight="1">
      <c r="A38" s="742" t="s">
        <v>421</v>
      </c>
      <c r="B38" s="382">
        <v>6.5736999999999997</v>
      </c>
      <c r="C38" s="382">
        <v>6.9106399999999999</v>
      </c>
      <c r="D38" s="383">
        <f t="shared" si="0"/>
        <v>-4.8756699813620741E-2</v>
      </c>
      <c r="E38" s="138"/>
      <c r="F38" s="138"/>
      <c r="G38" s="138"/>
      <c r="H38" s="138"/>
      <c r="I38" s="138"/>
      <c r="J38" s="138"/>
      <c r="K38" s="29"/>
      <c r="L38" s="748" t="s">
        <v>425</v>
      </c>
      <c r="M38" s="747">
        <v>12.229009999999999</v>
      </c>
      <c r="N38" s="747">
        <v>13.182869999999999</v>
      </c>
      <c r="O38" s="708"/>
    </row>
    <row r="39" spans="1:15" ht="11.25" customHeight="1">
      <c r="A39" s="532" t="s">
        <v>237</v>
      </c>
      <c r="B39" s="385">
        <v>6.4439500000000001</v>
      </c>
      <c r="C39" s="385">
        <v>6.4285699999999997</v>
      </c>
      <c r="D39" s="386">
        <f t="shared" si="0"/>
        <v>2.3924449760990285E-3</v>
      </c>
      <c r="E39" s="138"/>
      <c r="F39" s="138"/>
      <c r="G39" s="138"/>
      <c r="H39" s="138"/>
      <c r="I39" s="138"/>
      <c r="J39" s="138"/>
      <c r="K39" s="29"/>
      <c r="L39" s="748" t="s">
        <v>101</v>
      </c>
      <c r="M39" s="747">
        <v>13.41</v>
      </c>
      <c r="N39" s="747">
        <v>25.86</v>
      </c>
      <c r="O39" s="708"/>
    </row>
    <row r="40" spans="1:15" ht="11.25" customHeight="1">
      <c r="A40" s="743" t="s">
        <v>458</v>
      </c>
      <c r="B40" s="382">
        <v>4.6867700000000001</v>
      </c>
      <c r="C40" s="382"/>
      <c r="D40" s="383" t="str">
        <f t="shared" si="0"/>
        <v/>
      </c>
      <c r="E40" s="138"/>
      <c r="F40" s="138"/>
      <c r="G40" s="138"/>
      <c r="H40" s="138"/>
      <c r="I40" s="138"/>
      <c r="J40" s="138"/>
      <c r="K40" s="29"/>
      <c r="L40" s="748" t="s">
        <v>455</v>
      </c>
      <c r="M40" s="747">
        <v>13.482089999999999</v>
      </c>
      <c r="N40" s="747">
        <v>16.225819999999999</v>
      </c>
      <c r="O40" s="708"/>
    </row>
    <row r="41" spans="1:15" ht="9.75" customHeight="1">
      <c r="A41" s="384" t="s">
        <v>487</v>
      </c>
      <c r="B41" s="385">
        <v>4.21774</v>
      </c>
      <c r="C41" s="385"/>
      <c r="D41" s="386" t="str">
        <f t="shared" si="0"/>
        <v/>
      </c>
      <c r="E41" s="138"/>
      <c r="F41" s="138"/>
      <c r="G41" s="138"/>
      <c r="H41" s="138"/>
      <c r="I41" s="138"/>
      <c r="J41" s="138"/>
      <c r="K41" s="34"/>
      <c r="L41" s="748" t="s">
        <v>240</v>
      </c>
      <c r="M41" s="747">
        <v>13.62419</v>
      </c>
      <c r="N41" s="747">
        <v>14.84337</v>
      </c>
      <c r="O41" s="708"/>
    </row>
    <row r="42" spans="1:15" ht="9.75" customHeight="1">
      <c r="A42" s="381" t="s">
        <v>116</v>
      </c>
      <c r="B42" s="382">
        <v>3.6</v>
      </c>
      <c r="C42" s="382">
        <v>3.6</v>
      </c>
      <c r="D42" s="383">
        <f t="shared" si="0"/>
        <v>0</v>
      </c>
      <c r="E42" s="138"/>
      <c r="F42" s="138"/>
      <c r="G42" s="138"/>
      <c r="H42" s="138"/>
      <c r="I42" s="138"/>
      <c r="J42" s="138"/>
      <c r="K42" s="34"/>
      <c r="L42" s="748" t="s">
        <v>103</v>
      </c>
      <c r="M42" s="747">
        <v>16.170090000000002</v>
      </c>
      <c r="N42" s="747">
        <v>18.527999999999999</v>
      </c>
      <c r="O42" s="708"/>
    </row>
    <row r="43" spans="1:15" ht="9.75" customHeight="1">
      <c r="A43" s="384" t="s">
        <v>120</v>
      </c>
      <c r="B43" s="385">
        <v>3.0442100000000001</v>
      </c>
      <c r="C43" s="385">
        <v>3.5552600000000001</v>
      </c>
      <c r="D43" s="386">
        <f t="shared" si="0"/>
        <v>-0.14374476128328162</v>
      </c>
      <c r="E43" s="138"/>
      <c r="F43" s="138"/>
      <c r="G43" s="138"/>
      <c r="H43" s="138"/>
      <c r="I43" s="138"/>
      <c r="J43" s="138"/>
      <c r="K43" s="34"/>
      <c r="L43" s="748" t="s">
        <v>418</v>
      </c>
      <c r="M43" s="747">
        <v>17.384630000000001</v>
      </c>
      <c r="N43" s="747">
        <v>15.855229999999999</v>
      </c>
      <c r="O43" s="708"/>
    </row>
    <row r="44" spans="1:15" ht="9.75" customHeight="1">
      <c r="A44" s="381" t="s">
        <v>115</v>
      </c>
      <c r="B44" s="382">
        <v>2.0139</v>
      </c>
      <c r="C44" s="382">
        <v>1.8469500000000001</v>
      </c>
      <c r="D44" s="383">
        <f t="shared" si="0"/>
        <v>9.0392268334280823E-2</v>
      </c>
      <c r="E44" s="138"/>
      <c r="F44" s="138"/>
      <c r="G44" s="138"/>
      <c r="H44" s="138"/>
      <c r="I44" s="138"/>
      <c r="J44" s="138"/>
      <c r="L44" s="748" t="s">
        <v>402</v>
      </c>
      <c r="M44" s="747">
        <v>20.144839999999999</v>
      </c>
      <c r="N44" s="747">
        <v>20.00085</v>
      </c>
      <c r="O44" s="708"/>
    </row>
    <row r="45" spans="1:15" ht="9.75" customHeight="1">
      <c r="A45" s="384" t="s">
        <v>114</v>
      </c>
      <c r="B45" s="385">
        <v>1.7296</v>
      </c>
      <c r="C45" s="385">
        <v>4.9809799999999997</v>
      </c>
      <c r="D45" s="386">
        <f t="shared" si="0"/>
        <v>-0.65275909559966117</v>
      </c>
      <c r="E45" s="138"/>
      <c r="F45" s="138"/>
      <c r="G45" s="138"/>
      <c r="H45" s="138"/>
      <c r="I45" s="138"/>
      <c r="J45" s="138"/>
      <c r="L45" s="748" t="s">
        <v>108</v>
      </c>
      <c r="M45" s="747">
        <v>21.141729999999999</v>
      </c>
      <c r="N45" s="747">
        <v>22.363440000000001</v>
      </c>
      <c r="O45" s="708"/>
    </row>
    <row r="46" spans="1:15" ht="9.75" customHeight="1">
      <c r="A46" s="381" t="s">
        <v>117</v>
      </c>
      <c r="B46" s="382">
        <v>0.83913000000000004</v>
      </c>
      <c r="C46" s="382">
        <v>1.7833999999999999</v>
      </c>
      <c r="D46" s="383">
        <f t="shared" si="0"/>
        <v>-0.52947740271391719</v>
      </c>
      <c r="E46" s="138"/>
      <c r="F46" s="138"/>
      <c r="G46" s="138"/>
      <c r="H46" s="138"/>
      <c r="I46" s="138"/>
      <c r="J46" s="138"/>
      <c r="L46" s="748" t="s">
        <v>113</v>
      </c>
      <c r="M46" s="747">
        <v>21.43946</v>
      </c>
      <c r="N46" s="747">
        <v>23.643570000000004</v>
      </c>
      <c r="O46" s="708"/>
    </row>
    <row r="47" spans="1:15" ht="9.75" customHeight="1">
      <c r="A47" s="384" t="s">
        <v>453</v>
      </c>
      <c r="B47" s="385">
        <v>0.81805000000000005</v>
      </c>
      <c r="C47" s="385">
        <v>1.728E-2</v>
      </c>
      <c r="D47" s="386">
        <f t="shared" si="0"/>
        <v>46.340856481481481</v>
      </c>
      <c r="E47" s="138"/>
      <c r="F47" s="138"/>
      <c r="G47" s="138"/>
      <c r="H47" s="138"/>
      <c r="I47" s="138"/>
      <c r="J47" s="138"/>
      <c r="L47" s="748" t="s">
        <v>242</v>
      </c>
      <c r="M47" s="747">
        <v>31.946929999999998</v>
      </c>
      <c r="N47" s="747">
        <v>30.807130000000001</v>
      </c>
      <c r="O47" s="708"/>
    </row>
    <row r="48" spans="1:15" ht="9.75" customHeight="1">
      <c r="A48" s="381" t="s">
        <v>121</v>
      </c>
      <c r="B48" s="382">
        <v>0</v>
      </c>
      <c r="C48" s="382">
        <v>0</v>
      </c>
      <c r="D48" s="383" t="str">
        <f t="shared" si="0"/>
        <v/>
      </c>
      <c r="E48" s="138"/>
      <c r="F48" s="138"/>
      <c r="G48" s="138"/>
      <c r="H48" s="138"/>
      <c r="I48" s="138"/>
      <c r="J48" s="138"/>
      <c r="L48" s="748" t="s">
        <v>430</v>
      </c>
      <c r="M48" s="747">
        <v>60.02216</v>
      </c>
      <c r="N48" s="747">
        <v>65.870020000000011</v>
      </c>
      <c r="O48" s="708"/>
    </row>
    <row r="49" spans="1:15" ht="11.25" customHeight="1">
      <c r="A49" s="532" t="s">
        <v>106</v>
      </c>
      <c r="B49" s="385">
        <v>0</v>
      </c>
      <c r="C49" s="385">
        <v>14.317920000000001</v>
      </c>
      <c r="D49" s="386">
        <f t="shared" si="0"/>
        <v>-1</v>
      </c>
      <c r="E49" s="138"/>
      <c r="F49" s="138"/>
      <c r="G49" s="138"/>
      <c r="H49" s="138"/>
      <c r="I49" s="138"/>
      <c r="J49" s="138"/>
      <c r="L49" s="748" t="s">
        <v>238</v>
      </c>
      <c r="M49" s="747">
        <v>67.475179999999995</v>
      </c>
      <c r="N49" s="747">
        <v>59.373419999999996</v>
      </c>
      <c r="O49" s="708"/>
    </row>
    <row r="50" spans="1:15" ht="12" customHeight="1">
      <c r="A50" s="742" t="s">
        <v>457</v>
      </c>
      <c r="B50" s="382">
        <v>0</v>
      </c>
      <c r="C50" s="382"/>
      <c r="D50" s="383" t="str">
        <f t="shared" si="0"/>
        <v/>
      </c>
      <c r="E50" s="138"/>
      <c r="F50" s="138"/>
      <c r="G50" s="138"/>
      <c r="H50" s="138"/>
      <c r="I50" s="138"/>
      <c r="J50" s="138"/>
      <c r="L50" s="748" t="s">
        <v>95</v>
      </c>
      <c r="M50" s="747">
        <v>78.888030000000001</v>
      </c>
      <c r="N50" s="747">
        <v>99.512879999999996</v>
      </c>
      <c r="O50" s="708"/>
    </row>
    <row r="51" spans="1:15" ht="9.75" customHeight="1">
      <c r="A51" s="532" t="s">
        <v>236</v>
      </c>
      <c r="B51" s="385">
        <v>0</v>
      </c>
      <c r="C51" s="385">
        <v>0</v>
      </c>
      <c r="D51" s="386" t="str">
        <f t="shared" si="0"/>
        <v/>
      </c>
      <c r="E51" s="138"/>
      <c r="F51" s="138"/>
      <c r="G51" s="138"/>
      <c r="H51" s="138"/>
      <c r="I51" s="138"/>
      <c r="J51" s="138"/>
      <c r="L51" s="748" t="s">
        <v>96</v>
      </c>
      <c r="M51" s="747">
        <v>91.021820000000005</v>
      </c>
      <c r="N51" s="747">
        <v>91.333510000000004</v>
      </c>
      <c r="O51" s="708"/>
    </row>
    <row r="52" spans="1:15" ht="9.75" customHeight="1">
      <c r="A52" s="381" t="s">
        <v>111</v>
      </c>
      <c r="B52" s="382">
        <v>0</v>
      </c>
      <c r="C52" s="382">
        <v>0</v>
      </c>
      <c r="D52" s="383" t="str">
        <f t="shared" si="0"/>
        <v/>
      </c>
      <c r="E52" s="138"/>
      <c r="F52" s="138"/>
      <c r="G52" s="138"/>
      <c r="H52" s="138"/>
      <c r="I52" s="138"/>
      <c r="J52" s="138"/>
      <c r="L52" s="748" t="s">
        <v>99</v>
      </c>
      <c r="M52" s="747">
        <v>91.666669999999996</v>
      </c>
      <c r="N52" s="747">
        <v>87.321700000000007</v>
      </c>
      <c r="O52" s="708"/>
    </row>
    <row r="53" spans="1:15" ht="9.75" customHeight="1">
      <c r="A53" s="384" t="s">
        <v>112</v>
      </c>
      <c r="B53" s="385">
        <v>0</v>
      </c>
      <c r="C53" s="385">
        <v>0</v>
      </c>
      <c r="D53" s="386" t="str">
        <f t="shared" si="0"/>
        <v/>
      </c>
      <c r="E53" s="138"/>
      <c r="F53" s="138"/>
      <c r="G53" s="138"/>
      <c r="H53" s="138"/>
      <c r="I53" s="138"/>
      <c r="J53" s="138"/>
      <c r="L53" s="748" t="s">
        <v>97</v>
      </c>
      <c r="M53" s="747">
        <v>99.272949999999994</v>
      </c>
      <c r="N53" s="747">
        <v>61.083310000000004</v>
      </c>
      <c r="O53" s="708"/>
    </row>
    <row r="54" spans="1:15" ht="9.75" customHeight="1">
      <c r="A54" s="381" t="s">
        <v>412</v>
      </c>
      <c r="B54" s="382">
        <v>0</v>
      </c>
      <c r="C54" s="382">
        <v>0</v>
      </c>
      <c r="D54" s="383" t="str">
        <f t="shared" si="0"/>
        <v/>
      </c>
      <c r="E54" s="138"/>
      <c r="F54" s="138"/>
      <c r="G54" s="138"/>
      <c r="H54" s="138"/>
      <c r="I54" s="138"/>
      <c r="J54" s="138"/>
      <c r="L54" s="748" t="s">
        <v>93</v>
      </c>
      <c r="M54" s="747">
        <v>115.36628999999999</v>
      </c>
      <c r="N54" s="747">
        <v>87.994110000000006</v>
      </c>
      <c r="O54" s="708"/>
    </row>
    <row r="55" spans="1:15" ht="9.75" customHeight="1">
      <c r="A55" s="384" t="s">
        <v>118</v>
      </c>
      <c r="B55" s="385">
        <v>0</v>
      </c>
      <c r="C55" s="385">
        <v>0</v>
      </c>
      <c r="D55" s="386" t="str">
        <f t="shared" si="0"/>
        <v/>
      </c>
      <c r="E55" s="138"/>
      <c r="F55" s="138"/>
      <c r="G55" s="138"/>
      <c r="H55" s="138"/>
      <c r="I55" s="138"/>
      <c r="J55" s="138"/>
      <c r="L55" s="748" t="s">
        <v>92</v>
      </c>
      <c r="M55" s="747">
        <v>117.06838</v>
      </c>
      <c r="N55" s="747">
        <v>126.30718999999999</v>
      </c>
      <c r="O55" s="708"/>
    </row>
    <row r="56" spans="1:15" ht="9.75" customHeight="1">
      <c r="A56" s="381" t="s">
        <v>110</v>
      </c>
      <c r="B56" s="382">
        <v>0</v>
      </c>
      <c r="C56" s="382">
        <v>0</v>
      </c>
      <c r="D56" s="383" t="str">
        <f t="shared" si="0"/>
        <v/>
      </c>
      <c r="E56" s="138"/>
      <c r="F56" s="138"/>
      <c r="G56" s="138"/>
      <c r="H56" s="138"/>
      <c r="I56" s="138"/>
      <c r="J56" s="138"/>
      <c r="L56" s="748" t="s">
        <v>98</v>
      </c>
      <c r="M56" s="747">
        <v>125.65469</v>
      </c>
      <c r="N56" s="747">
        <v>129.72591</v>
      </c>
      <c r="O56" s="708"/>
    </row>
    <row r="57" spans="1:15" ht="9.75" customHeight="1">
      <c r="A57" s="384" t="s">
        <v>107</v>
      </c>
      <c r="B57" s="385">
        <v>0</v>
      </c>
      <c r="C57" s="385">
        <v>0</v>
      </c>
      <c r="D57" s="386" t="str">
        <f t="shared" si="0"/>
        <v/>
      </c>
      <c r="E57" s="138"/>
      <c r="F57" s="138"/>
      <c r="G57" s="138"/>
      <c r="H57" s="138"/>
      <c r="I57" s="138"/>
      <c r="J57" s="138"/>
      <c r="L57" s="748" t="s">
        <v>94</v>
      </c>
      <c r="M57" s="747">
        <v>137.56891000000002</v>
      </c>
      <c r="N57" s="747">
        <v>57.046239999999997</v>
      </c>
      <c r="O57" s="708"/>
    </row>
    <row r="58" spans="1:15" ht="9.75" customHeight="1">
      <c r="A58" s="381" t="s">
        <v>243</v>
      </c>
      <c r="B58" s="382">
        <v>0</v>
      </c>
      <c r="C58" s="382">
        <v>0</v>
      </c>
      <c r="D58" s="383" t="str">
        <f t="shared" si="0"/>
        <v/>
      </c>
      <c r="E58" s="138"/>
      <c r="F58" s="138"/>
      <c r="G58" s="138"/>
      <c r="H58" s="138"/>
      <c r="I58" s="138"/>
      <c r="J58" s="138"/>
      <c r="L58" s="748" t="s">
        <v>91</v>
      </c>
      <c r="M58" s="747">
        <v>146.96161999999995</v>
      </c>
      <c r="N58" s="747">
        <v>150.46375000000003</v>
      </c>
      <c r="O58" s="708"/>
    </row>
    <row r="59" spans="1:15" ht="9.75" customHeight="1">
      <c r="A59" s="365" t="s">
        <v>244</v>
      </c>
      <c r="B59" s="366">
        <v>0</v>
      </c>
      <c r="C59" s="366">
        <v>0</v>
      </c>
      <c r="D59" s="386" t="str">
        <f t="shared" si="0"/>
        <v/>
      </c>
      <c r="E59" s="138"/>
      <c r="F59" s="138"/>
      <c r="G59" s="138"/>
      <c r="H59" s="138"/>
      <c r="I59" s="138"/>
      <c r="J59" s="138"/>
      <c r="L59" s="748" t="s">
        <v>241</v>
      </c>
      <c r="M59" s="747">
        <v>157.02723</v>
      </c>
      <c r="N59" s="747">
        <v>147.59696</v>
      </c>
      <c r="O59" s="708"/>
    </row>
    <row r="60" spans="1:15" ht="9.75" customHeight="1">
      <c r="A60" s="387" t="s">
        <v>102</v>
      </c>
      <c r="B60" s="388">
        <v>0</v>
      </c>
      <c r="C60" s="388">
        <v>28.627479999999998</v>
      </c>
      <c r="D60" s="389">
        <f t="shared" si="0"/>
        <v>-1</v>
      </c>
      <c r="E60" s="138"/>
      <c r="F60" s="138"/>
      <c r="G60" s="138"/>
      <c r="H60" s="138"/>
      <c r="I60" s="138"/>
      <c r="J60" s="138"/>
      <c r="L60" s="748" t="s">
        <v>90</v>
      </c>
      <c r="M60" s="747">
        <v>279.18975</v>
      </c>
      <c r="N60" s="747">
        <v>225.76106999999999</v>
      </c>
      <c r="O60" s="708"/>
    </row>
    <row r="61" spans="1:15" ht="9.75" customHeight="1">
      <c r="A61" s="365" t="s">
        <v>119</v>
      </c>
      <c r="B61" s="366">
        <v>0</v>
      </c>
      <c r="C61" s="366">
        <v>0</v>
      </c>
      <c r="D61" s="377" t="str">
        <f t="shared" si="0"/>
        <v/>
      </c>
      <c r="E61" s="138"/>
      <c r="F61" s="138"/>
      <c r="G61" s="138"/>
      <c r="H61" s="138"/>
      <c r="I61" s="138"/>
      <c r="J61" s="138"/>
      <c r="L61" s="748" t="s">
        <v>239</v>
      </c>
      <c r="M61" s="747">
        <v>544.87508000000003</v>
      </c>
      <c r="N61" s="747">
        <v>545.92955000000006</v>
      </c>
      <c r="O61" s="708"/>
    </row>
    <row r="62" spans="1:15" ht="9.75" customHeight="1">
      <c r="A62" s="387" t="s">
        <v>109</v>
      </c>
      <c r="B62" s="388">
        <v>0</v>
      </c>
      <c r="C62" s="388">
        <v>0</v>
      </c>
      <c r="D62" s="389" t="str">
        <f t="shared" si="0"/>
        <v/>
      </c>
      <c r="E62" s="138"/>
      <c r="F62" s="138"/>
      <c r="G62" s="138"/>
      <c r="H62" s="138"/>
      <c r="I62" s="138"/>
      <c r="J62" s="138"/>
      <c r="L62" s="748" t="s">
        <v>87</v>
      </c>
      <c r="M62" s="747">
        <v>785.97140000000013</v>
      </c>
      <c r="N62" s="747">
        <v>917.55417000000011</v>
      </c>
      <c r="O62" s="708"/>
    </row>
    <row r="63" spans="1:15" s="730" customFormat="1" ht="9.75" customHeight="1">
      <c r="A63" s="365" t="s">
        <v>100</v>
      </c>
      <c r="B63" s="366">
        <v>0</v>
      </c>
      <c r="C63" s="366">
        <v>287.88475</v>
      </c>
      <c r="D63" s="377">
        <f t="shared" si="0"/>
        <v>-1</v>
      </c>
      <c r="E63" s="138"/>
      <c r="F63" s="138"/>
      <c r="G63" s="138"/>
      <c r="H63" s="138"/>
      <c r="I63" s="138"/>
      <c r="J63" s="138"/>
      <c r="L63" s="748" t="s">
        <v>89</v>
      </c>
      <c r="M63" s="747">
        <v>847.23167999999998</v>
      </c>
      <c r="N63" s="747">
        <v>856.78128000000004</v>
      </c>
      <c r="O63" s="708"/>
    </row>
    <row r="64" spans="1:15" s="730" customFormat="1" ht="9.75" customHeight="1">
      <c r="A64" s="758" t="s">
        <v>105</v>
      </c>
      <c r="B64" s="760">
        <v>0</v>
      </c>
      <c r="C64" s="760">
        <v>167.28831</v>
      </c>
      <c r="D64" s="759"/>
      <c r="E64" s="138"/>
      <c r="F64" s="138"/>
      <c r="G64" s="138"/>
      <c r="H64" s="138"/>
      <c r="I64" s="138"/>
      <c r="J64" s="138"/>
      <c r="L64" s="748" t="s">
        <v>88</v>
      </c>
      <c r="M64" s="747">
        <v>1090.2225800000001</v>
      </c>
      <c r="N64" s="747">
        <v>1169.6795699999998</v>
      </c>
      <c r="O64" s="708"/>
    </row>
    <row r="65" spans="1:15" s="730" customFormat="1" ht="9.75" customHeight="1">
      <c r="A65" s="845" t="s">
        <v>431</v>
      </c>
      <c r="B65" s="840">
        <v>0</v>
      </c>
      <c r="C65" s="840">
        <v>6.8680000000000003</v>
      </c>
      <c r="D65" s="839"/>
      <c r="E65" s="138"/>
      <c r="F65" s="138"/>
      <c r="G65" s="138"/>
      <c r="H65" s="138"/>
      <c r="I65" s="138"/>
      <c r="J65" s="138"/>
      <c r="L65" s="748" t="s">
        <v>410</v>
      </c>
      <c r="M65" s="747">
        <v>1262.5481599999998</v>
      </c>
      <c r="N65" s="747">
        <v>1052.8701000000001</v>
      </c>
      <c r="O65" s="708"/>
    </row>
    <row r="66" spans="1:15" ht="9.75" customHeight="1">
      <c r="A66" s="367" t="s">
        <v>42</v>
      </c>
      <c r="B66" s="619">
        <f>SUM(B7:B65)</f>
        <v>6337.2608099999998</v>
      </c>
      <c r="C66" s="619">
        <f>SUM(C7:C65)</f>
        <v>6692.1372100000017</v>
      </c>
      <c r="D66" s="368">
        <f>IF(C66=0,"",B66/C66-1)</f>
        <v>-5.3028858922634314E-2</v>
      </c>
      <c r="E66" s="138"/>
      <c r="F66" s="138"/>
      <c r="G66" s="138"/>
      <c r="H66" s="138"/>
      <c r="I66" s="138"/>
      <c r="J66" s="138"/>
      <c r="L66" s="748"/>
      <c r="M66" s="749"/>
      <c r="N66" s="749"/>
      <c r="O66" s="708"/>
    </row>
    <row r="67" spans="1:15" ht="51.75" customHeight="1">
      <c r="A67" s="940" t="str">
        <f>"Cuadro N° 8: Participación de las empresas generadoras del COES en la máxima potencia coincidente (MW) en "&amp;'1. Resumen'!Q4</f>
        <v>Cuadro N° 8: Participación de las empresas generadoras del COES en la máxima potencia coincidente (MW) en julio</v>
      </c>
      <c r="B67" s="940"/>
      <c r="C67" s="940"/>
      <c r="D67" s="940"/>
      <c r="E67" s="132"/>
      <c r="F67" s="940" t="str">
        <f>"Gráfico N° 12: Comparación de la máxima potencia coincidente  (MW) de las empresas generadoras del COES en "&amp;'1. Resumen'!Q4</f>
        <v>Gráfico N° 12: Comparación de la máxima potencia coincidente  (MW) de las empresas generadoras del COES en julio</v>
      </c>
      <c r="G67" s="940"/>
      <c r="H67" s="940"/>
      <c r="I67" s="940"/>
      <c r="J67" s="940"/>
      <c r="L67" s="748"/>
      <c r="M67" s="750"/>
      <c r="N67" s="750"/>
    </row>
    <row r="68" spans="1:15" ht="25.5" customHeight="1">
      <c r="A68" s="943"/>
      <c r="B68" s="943"/>
      <c r="C68" s="943"/>
      <c r="D68" s="943"/>
      <c r="E68" s="943"/>
      <c r="F68" s="943"/>
      <c r="G68" s="943"/>
      <c r="H68" s="943"/>
      <c r="I68" s="943"/>
      <c r="J68" s="943"/>
    </row>
    <row r="69" spans="1:15" ht="17.25" customHeight="1">
      <c r="A69" s="942"/>
      <c r="B69" s="942"/>
      <c r="C69" s="942"/>
      <c r="D69" s="942"/>
      <c r="E69" s="942"/>
      <c r="F69" s="942"/>
      <c r="G69" s="942"/>
      <c r="H69" s="942"/>
      <c r="I69" s="942"/>
      <c r="J69" s="942"/>
    </row>
    <row r="70" spans="1:15">
      <c r="A70" s="942"/>
      <c r="B70" s="942"/>
      <c r="C70" s="942"/>
      <c r="D70" s="942"/>
      <c r="E70" s="942"/>
      <c r="F70" s="942"/>
      <c r="G70" s="942"/>
      <c r="H70" s="942"/>
      <c r="I70" s="942"/>
      <c r="J70" s="942"/>
    </row>
    <row r="71" spans="1:15">
      <c r="A71" s="935"/>
      <c r="B71" s="935"/>
      <c r="C71" s="935"/>
      <c r="D71" s="935"/>
      <c r="E71" s="935"/>
      <c r="F71" s="935"/>
      <c r="G71" s="935"/>
      <c r="H71" s="935"/>
      <c r="I71" s="935"/>
      <c r="J71" s="935"/>
    </row>
    <row r="72" spans="1:15">
      <c r="A72" s="934"/>
      <c r="B72" s="934"/>
      <c r="C72" s="934"/>
      <c r="D72" s="934"/>
      <c r="E72" s="934"/>
      <c r="F72" s="934"/>
      <c r="G72" s="934"/>
      <c r="H72" s="934"/>
      <c r="I72" s="934"/>
      <c r="J72" s="934"/>
    </row>
    <row r="73" spans="1:15">
      <c r="A73" s="963"/>
      <c r="B73" s="963"/>
      <c r="C73" s="963"/>
      <c r="D73" s="963"/>
      <c r="E73" s="963"/>
      <c r="F73" s="963"/>
      <c r="G73" s="963"/>
      <c r="H73" s="963"/>
      <c r="I73" s="963"/>
      <c r="J73" s="963"/>
    </row>
    <row r="74" spans="1:15">
      <c r="A74" s="962"/>
      <c r="B74" s="962"/>
      <c r="C74" s="962"/>
      <c r="D74" s="962"/>
      <c r="E74" s="962"/>
      <c r="F74" s="962"/>
      <c r="G74" s="962"/>
      <c r="H74" s="962"/>
      <c r="I74" s="962"/>
      <c r="J74" s="962"/>
    </row>
  </sheetData>
  <mergeCells count="14">
    <mergeCell ref="A74:J74"/>
    <mergeCell ref="A70:J70"/>
    <mergeCell ref="A71:J71"/>
    <mergeCell ref="A72:J72"/>
    <mergeCell ref="A73:J73"/>
    <mergeCell ref="A68:J68"/>
    <mergeCell ref="A69:J69"/>
    <mergeCell ref="A67:D67"/>
    <mergeCell ref="F67:J67"/>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zoomScalePageLayoutView="130" workbookViewId="0">
      <selection activeCell="N53" sqref="N53"/>
    </sheetView>
  </sheetViews>
  <sheetFormatPr baseColWidth="10" defaultColWidth="9.28515625" defaultRowHeight="10.199999999999999"/>
  <cols>
    <col min="1" max="1" width="7.7109375" style="46" customWidth="1"/>
    <col min="2" max="2" width="9.85546875" style="46" customWidth="1"/>
    <col min="3" max="3" width="29.7109375" style="46" customWidth="1"/>
    <col min="4" max="5" width="12.7109375" style="46" customWidth="1"/>
    <col min="6" max="6" width="12.140625" style="46" customWidth="1"/>
    <col min="7" max="8" width="9.28515625" style="46"/>
    <col min="9" max="9" width="9.28515625" style="46" customWidth="1"/>
    <col min="10" max="11" width="9.28515625" style="307" customWidth="1"/>
    <col min="12" max="31" width="9.28515625" style="307"/>
    <col min="32" max="16384" width="9.28515625" style="46"/>
  </cols>
  <sheetData>
    <row r="1" spans="1:38" ht="11.25" customHeight="1"/>
    <row r="2" spans="1:38" ht="17.25" customHeight="1">
      <c r="A2" s="946" t="s">
        <v>252</v>
      </c>
      <c r="B2" s="946"/>
      <c r="C2" s="946"/>
      <c r="D2" s="946"/>
      <c r="E2" s="946"/>
      <c r="F2" s="946"/>
      <c r="G2" s="946"/>
      <c r="H2" s="946"/>
    </row>
    <row r="3" spans="1:38" ht="11.25" customHeight="1">
      <c r="A3" s="77"/>
      <c r="B3" s="77"/>
      <c r="C3" s="77"/>
      <c r="D3" s="77"/>
      <c r="E3" s="77"/>
      <c r="F3" s="82"/>
      <c r="G3" s="82"/>
      <c r="H3" s="82"/>
      <c r="I3" s="36"/>
      <c r="J3" s="316"/>
    </row>
    <row r="4" spans="1:38" ht="15.75" customHeight="1">
      <c r="A4" s="964" t="s">
        <v>441</v>
      </c>
      <c r="B4" s="964"/>
      <c r="C4" s="964"/>
      <c r="D4" s="964"/>
      <c r="E4" s="964"/>
      <c r="F4" s="964"/>
      <c r="G4" s="964"/>
      <c r="H4" s="964"/>
      <c r="I4" s="36"/>
      <c r="J4" s="316"/>
    </row>
    <row r="5" spans="1:38" ht="11.25" customHeight="1">
      <c r="A5" s="77"/>
      <c r="B5" s="164"/>
      <c r="C5" s="79"/>
      <c r="D5" s="79"/>
      <c r="E5" s="80"/>
      <c r="F5" s="76"/>
      <c r="G5" s="76"/>
      <c r="H5" s="81"/>
      <c r="I5" s="165"/>
      <c r="J5" s="317"/>
    </row>
    <row r="6" spans="1:38" ht="42.75" customHeight="1">
      <c r="A6" s="77"/>
      <c r="C6" s="484" t="s">
        <v>124</v>
      </c>
      <c r="D6" s="485" t="s">
        <v>675</v>
      </c>
      <c r="E6" s="485" t="s">
        <v>676</v>
      </c>
      <c r="F6" s="486" t="s">
        <v>125</v>
      </c>
      <c r="G6" s="169"/>
      <c r="H6" s="170"/>
    </row>
    <row r="7" spans="1:38" ht="11.25" customHeight="1">
      <c r="A7" s="77"/>
      <c r="C7" s="534" t="s">
        <v>126</v>
      </c>
      <c r="D7" s="535">
        <v>25.743999479999999</v>
      </c>
      <c r="E7" s="765">
        <v>25.231000900000002</v>
      </c>
      <c r="F7" s="536">
        <f>IF(E7=0,"",(D7-E7)/E7)</f>
        <v>2.0332074103330471E-2</v>
      </c>
      <c r="G7" s="137"/>
      <c r="H7" s="268"/>
    </row>
    <row r="8" spans="1:38" ht="11.25" customHeight="1">
      <c r="A8" s="77"/>
      <c r="C8" s="537" t="s">
        <v>127</v>
      </c>
      <c r="D8" s="538">
        <v>129.48599239999999</v>
      </c>
      <c r="E8" s="539">
        <v>130.2189941</v>
      </c>
      <c r="F8" s="540">
        <f t="shared" ref="F8:F20" si="0">IF(E8=0,"",(D8-E8)/E8)</f>
        <v>-5.6289921840213079E-3</v>
      </c>
      <c r="G8" s="137"/>
      <c r="H8" s="268"/>
    </row>
    <row r="9" spans="1:38" ht="11.25" customHeight="1">
      <c r="A9" s="77"/>
      <c r="C9" s="541" t="s">
        <v>128</v>
      </c>
      <c r="D9" s="542">
        <v>82.680999760000006</v>
      </c>
      <c r="E9" s="543">
        <v>74.272003170000005</v>
      </c>
      <c r="F9" s="544">
        <f t="shared" si="0"/>
        <v>0.11321892814379575</v>
      </c>
      <c r="G9" s="137"/>
      <c r="H9" s="268"/>
      <c r="M9" s="318" t="s">
        <v>258</v>
      </c>
      <c r="N9" s="319"/>
      <c r="O9" s="319"/>
      <c r="P9" s="319"/>
      <c r="Q9" s="319"/>
      <c r="R9" s="319"/>
      <c r="S9" s="319"/>
      <c r="T9" s="319"/>
      <c r="U9" s="319"/>
      <c r="V9" s="319"/>
      <c r="W9" s="319"/>
      <c r="X9" s="319"/>
      <c r="Y9" s="319"/>
      <c r="Z9" s="319"/>
      <c r="AA9" s="319"/>
      <c r="AB9" s="319"/>
      <c r="AC9" s="319"/>
      <c r="AD9" s="319"/>
      <c r="AE9" s="319"/>
      <c r="AF9" s="216"/>
      <c r="AG9" s="216"/>
      <c r="AH9" s="216"/>
      <c r="AI9" s="216"/>
      <c r="AJ9" s="216"/>
      <c r="AK9" s="216"/>
      <c r="AL9" s="216"/>
    </row>
    <row r="10" spans="1:38" ht="11.25" customHeight="1">
      <c r="A10" s="77"/>
      <c r="C10" s="537" t="s">
        <v>129</v>
      </c>
      <c r="D10" s="538">
        <v>70.716003420000007</v>
      </c>
      <c r="E10" s="539">
        <v>58.337001800000003</v>
      </c>
      <c r="F10" s="540">
        <f t="shared" si="0"/>
        <v>0.21219811162801314</v>
      </c>
      <c r="G10" s="137"/>
      <c r="H10" s="268"/>
      <c r="M10" s="318" t="s">
        <v>259</v>
      </c>
      <c r="N10" s="319"/>
      <c r="O10" s="319"/>
      <c r="P10" s="319"/>
      <c r="Q10" s="319"/>
      <c r="R10" s="319"/>
      <c r="S10" s="319"/>
      <c r="T10" s="319"/>
      <c r="AD10" s="319"/>
      <c r="AE10" s="319"/>
      <c r="AF10" s="216"/>
      <c r="AG10" s="216"/>
      <c r="AH10" s="216"/>
      <c r="AI10" s="216"/>
      <c r="AJ10" s="216"/>
      <c r="AK10" s="216"/>
      <c r="AL10" s="216"/>
    </row>
    <row r="11" spans="1:38" ht="11.25" customHeight="1">
      <c r="A11" s="77"/>
      <c r="C11" s="541" t="s">
        <v>130</v>
      </c>
      <c r="D11" s="542">
        <v>27.541000369999999</v>
      </c>
      <c r="E11" s="543">
        <v>22.599000929999999</v>
      </c>
      <c r="F11" s="544">
        <f>IF(E11=0,"",(D11-E11)/E11)</f>
        <v>0.21868220879797984</v>
      </c>
      <c r="G11" s="137"/>
      <c r="H11" s="268"/>
      <c r="M11" s="319"/>
      <c r="N11" s="320">
        <v>2017</v>
      </c>
      <c r="O11" s="320">
        <v>2018</v>
      </c>
      <c r="P11" s="320">
        <v>2019</v>
      </c>
      <c r="Q11" s="320">
        <v>2020</v>
      </c>
      <c r="R11" s="319"/>
      <c r="S11" s="319"/>
      <c r="T11" s="319"/>
      <c r="AD11" s="319"/>
      <c r="AE11" s="319"/>
      <c r="AF11" s="216"/>
      <c r="AG11" s="216"/>
      <c r="AH11" s="216"/>
      <c r="AI11" s="216"/>
      <c r="AJ11" s="216"/>
      <c r="AK11" s="216"/>
      <c r="AL11" s="216"/>
    </row>
    <row r="12" spans="1:38" ht="11.25" customHeight="1">
      <c r="A12" s="77"/>
      <c r="C12" s="537" t="s">
        <v>131</v>
      </c>
      <c r="D12" s="538">
        <v>4.5</v>
      </c>
      <c r="E12" s="539">
        <v>5.7379999159999997</v>
      </c>
      <c r="F12" s="540">
        <f t="shared" si="0"/>
        <v>-0.21575460685315209</v>
      </c>
      <c r="G12" s="137"/>
      <c r="H12" s="268"/>
      <c r="M12" s="321">
        <v>1</v>
      </c>
      <c r="N12" s="322">
        <v>93.1</v>
      </c>
      <c r="O12" s="322">
        <v>104.46</v>
      </c>
      <c r="P12" s="322">
        <v>117.2900009</v>
      </c>
      <c r="Q12" s="557">
        <v>117.290000915527</v>
      </c>
      <c r="R12" s="319"/>
      <c r="S12" s="319"/>
      <c r="T12" s="319"/>
      <c r="AD12" s="319"/>
      <c r="AE12" s="319"/>
      <c r="AF12" s="216"/>
      <c r="AG12" s="216"/>
      <c r="AH12" s="216"/>
      <c r="AI12" s="216"/>
      <c r="AJ12" s="216"/>
      <c r="AK12" s="216"/>
      <c r="AL12" s="216"/>
    </row>
    <row r="13" spans="1:38" ht="11.25" customHeight="1">
      <c r="A13" s="77"/>
      <c r="C13" s="541" t="s">
        <v>132</v>
      </c>
      <c r="D13" s="542">
        <v>104.6800003</v>
      </c>
      <c r="E13" s="543">
        <v>103.5</v>
      </c>
      <c r="F13" s="544">
        <f t="shared" si="0"/>
        <v>1.1400969082125635E-2</v>
      </c>
      <c r="G13" s="137"/>
      <c r="H13" s="268"/>
      <c r="M13" s="321">
        <v>2</v>
      </c>
      <c r="N13" s="322">
        <v>93.1</v>
      </c>
      <c r="O13" s="322">
        <v>103.4720001</v>
      </c>
      <c r="P13" s="322">
        <v>116.0110016</v>
      </c>
      <c r="Q13" s="557">
        <v>146.93600459999999</v>
      </c>
      <c r="R13" s="319"/>
      <c r="S13" s="319"/>
      <c r="T13" s="319"/>
      <c r="AD13" s="319"/>
      <c r="AE13" s="319"/>
      <c r="AF13" s="216"/>
      <c r="AG13" s="216"/>
      <c r="AH13" s="216"/>
      <c r="AI13" s="216"/>
      <c r="AJ13" s="216"/>
      <c r="AK13" s="216"/>
      <c r="AL13" s="216"/>
    </row>
    <row r="14" spans="1:38" ht="11.25" customHeight="1">
      <c r="A14" s="77"/>
      <c r="C14" s="537" t="s">
        <v>133</v>
      </c>
      <c r="D14" s="538">
        <v>256.50100709999998</v>
      </c>
      <c r="E14" s="539">
        <v>253.90199279999999</v>
      </c>
      <c r="F14" s="540">
        <f t="shared" si="0"/>
        <v>1.0236289488469085E-2</v>
      </c>
      <c r="G14" s="137"/>
      <c r="H14" s="268"/>
      <c r="M14" s="321">
        <v>3</v>
      </c>
      <c r="N14" s="322">
        <v>98.74</v>
      </c>
      <c r="O14" s="322">
        <v>106.08699799999999</v>
      </c>
      <c r="P14" s="322">
        <v>117.6</v>
      </c>
      <c r="Q14" s="557">
        <v>149.93200680000001</v>
      </c>
      <c r="R14" s="319"/>
      <c r="S14" s="319"/>
      <c r="T14" s="319"/>
      <c r="AD14" s="319"/>
      <c r="AE14" s="319"/>
      <c r="AF14" s="216"/>
      <c r="AG14" s="216"/>
      <c r="AH14" s="216"/>
      <c r="AI14" s="216"/>
      <c r="AJ14" s="216"/>
      <c r="AK14" s="216"/>
      <c r="AL14" s="216"/>
    </row>
    <row r="15" spans="1:38" ht="11.25" customHeight="1">
      <c r="A15" s="77"/>
      <c r="C15" s="541" t="s">
        <v>134</v>
      </c>
      <c r="D15" s="542">
        <v>65.449996949999999</v>
      </c>
      <c r="E15" s="543">
        <v>60.66999817</v>
      </c>
      <c r="F15" s="544">
        <f t="shared" si="0"/>
        <v>7.8786862109443828E-2</v>
      </c>
      <c r="G15" s="137"/>
      <c r="H15" s="268"/>
      <c r="M15" s="321">
        <v>4</v>
      </c>
      <c r="N15" s="322">
        <v>98.74</v>
      </c>
      <c r="O15" s="322">
        <v>112.7200012</v>
      </c>
      <c r="P15" s="322">
        <v>128.32000729999999</v>
      </c>
      <c r="Q15" s="557">
        <v>152.6190033</v>
      </c>
      <c r="R15" s="319"/>
      <c r="S15" s="319"/>
      <c r="T15" s="319"/>
      <c r="AD15" s="319"/>
      <c r="AE15" s="319"/>
      <c r="AF15" s="216"/>
      <c r="AG15" s="216"/>
      <c r="AH15" s="216"/>
      <c r="AI15" s="216"/>
      <c r="AJ15" s="216"/>
      <c r="AK15" s="216"/>
      <c r="AL15" s="216"/>
    </row>
    <row r="16" spans="1:38" ht="11.25" customHeight="1">
      <c r="A16" s="77"/>
      <c r="C16" s="537" t="s">
        <v>135</v>
      </c>
      <c r="D16" s="538">
        <v>276.45400999999998</v>
      </c>
      <c r="E16" s="539">
        <v>219.58000179999999</v>
      </c>
      <c r="F16" s="540">
        <f t="shared" si="0"/>
        <v>0.25901269575451835</v>
      </c>
      <c r="G16" s="137"/>
      <c r="H16" s="268"/>
      <c r="M16" s="321">
        <v>5</v>
      </c>
      <c r="N16" s="322">
        <v>125.15</v>
      </c>
      <c r="O16" s="322">
        <v>122.3190002</v>
      </c>
      <c r="P16" s="322">
        <v>139.2400055</v>
      </c>
      <c r="Q16" s="557">
        <v>162.19599909999999</v>
      </c>
      <c r="R16" s="319"/>
      <c r="S16" s="319"/>
      <c r="T16" s="319"/>
      <c r="AD16" s="319"/>
      <c r="AE16" s="319"/>
      <c r="AF16" s="216"/>
      <c r="AG16" s="216"/>
      <c r="AH16" s="216"/>
      <c r="AI16" s="216"/>
      <c r="AJ16" s="216"/>
      <c r="AK16" s="216"/>
      <c r="AL16" s="216"/>
    </row>
    <row r="17" spans="1:38" ht="11.25" customHeight="1">
      <c r="A17" s="77"/>
      <c r="C17" s="541" t="s">
        <v>136</v>
      </c>
      <c r="D17" s="542">
        <v>190.57000729999999</v>
      </c>
      <c r="E17" s="543">
        <v>174.66999820000001</v>
      </c>
      <c r="F17" s="544">
        <f t="shared" si="0"/>
        <v>9.1028850196667468E-2</v>
      </c>
      <c r="G17" s="137"/>
      <c r="H17" s="268"/>
      <c r="M17" s="321">
        <v>6</v>
      </c>
      <c r="N17" s="322">
        <v>125.15</v>
      </c>
      <c r="O17" s="322">
        <v>126.1559982</v>
      </c>
      <c r="P17" s="322">
        <v>150.94</v>
      </c>
      <c r="Q17" s="557">
        <v>168.51100158691401</v>
      </c>
      <c r="R17" s="319"/>
      <c r="S17" s="319"/>
      <c r="T17" s="319"/>
      <c r="AD17" s="319"/>
      <c r="AE17" s="319"/>
      <c r="AF17" s="216"/>
      <c r="AG17" s="216"/>
      <c r="AH17" s="216"/>
      <c r="AI17" s="216"/>
      <c r="AJ17" s="216"/>
      <c r="AK17" s="216"/>
      <c r="AL17" s="216"/>
    </row>
    <row r="18" spans="1:38" ht="11.25" customHeight="1">
      <c r="A18" s="77"/>
      <c r="C18" s="537" t="s">
        <v>137</v>
      </c>
      <c r="D18" s="538">
        <v>21.402000430000001</v>
      </c>
      <c r="E18" s="539">
        <v>19.586000439999999</v>
      </c>
      <c r="F18" s="540">
        <f t="shared" si="0"/>
        <v>9.271928669475725E-2</v>
      </c>
      <c r="G18" s="137"/>
      <c r="H18" s="268"/>
      <c r="M18" s="321">
        <v>7</v>
      </c>
      <c r="N18" s="322">
        <v>142.99</v>
      </c>
      <c r="O18" s="322">
        <v>142.9900055</v>
      </c>
      <c r="P18" s="322">
        <v>162.4909973</v>
      </c>
      <c r="Q18" s="557">
        <v>175.46800229999999</v>
      </c>
      <c r="R18" s="319"/>
      <c r="S18" s="319"/>
      <c r="T18" s="319"/>
      <c r="AD18" s="319"/>
      <c r="AE18" s="319"/>
      <c r="AF18" s="216"/>
      <c r="AG18" s="216"/>
      <c r="AH18" s="216"/>
      <c r="AI18" s="216"/>
      <c r="AJ18" s="216"/>
      <c r="AK18" s="216"/>
      <c r="AL18" s="216"/>
    </row>
    <row r="19" spans="1:38" ht="12.75" customHeight="1">
      <c r="A19" s="77"/>
      <c r="C19" s="541" t="s">
        <v>138</v>
      </c>
      <c r="D19" s="542">
        <v>60.294288639999998</v>
      </c>
      <c r="E19" s="543">
        <v>39.17599869</v>
      </c>
      <c r="F19" s="544">
        <f t="shared" si="0"/>
        <v>0.53906194241809124</v>
      </c>
      <c r="G19" s="137"/>
      <c r="H19" s="268"/>
      <c r="M19" s="321">
        <v>8</v>
      </c>
      <c r="N19" s="322">
        <v>142.99</v>
      </c>
      <c r="O19" s="322">
        <v>134.13600159999999</v>
      </c>
      <c r="P19" s="322">
        <v>169.03700259999999</v>
      </c>
      <c r="Q19" s="557">
        <v>188.82800292968699</v>
      </c>
      <c r="R19" s="319"/>
      <c r="S19" s="319"/>
      <c r="T19" s="319"/>
      <c r="AD19" s="319"/>
      <c r="AE19" s="319"/>
      <c r="AF19" s="216"/>
      <c r="AG19" s="216"/>
      <c r="AH19" s="216"/>
      <c r="AI19" s="216"/>
      <c r="AJ19" s="216"/>
      <c r="AK19" s="216"/>
      <c r="AL19" s="216"/>
    </row>
    <row r="20" spans="1:38" ht="13.5" customHeight="1">
      <c r="A20" s="77"/>
      <c r="C20" s="537" t="s">
        <v>139</v>
      </c>
      <c r="D20" s="538">
        <v>23.14889908</v>
      </c>
      <c r="E20" s="539">
        <v>18.129999160000001</v>
      </c>
      <c r="F20" s="540">
        <f t="shared" si="0"/>
        <v>0.27682846952762896</v>
      </c>
      <c r="G20" s="137"/>
      <c r="H20" s="268"/>
      <c r="M20" s="321">
        <v>9</v>
      </c>
      <c r="N20" s="322">
        <v>159.53</v>
      </c>
      <c r="O20" s="322">
        <v>153.34500120000001</v>
      </c>
      <c r="P20" s="322">
        <v>182.64300539999999</v>
      </c>
      <c r="Q20" s="557">
        <v>196.47700499999999</v>
      </c>
      <c r="R20" s="319"/>
      <c r="S20" s="319"/>
      <c r="T20" s="319"/>
      <c r="AD20" s="319"/>
      <c r="AE20" s="319"/>
      <c r="AF20" s="216"/>
      <c r="AG20" s="216"/>
      <c r="AH20" s="216"/>
      <c r="AI20" s="216"/>
      <c r="AJ20" s="216"/>
      <c r="AK20" s="216"/>
      <c r="AL20" s="216"/>
    </row>
    <row r="21" spans="1:38" ht="11.25" customHeight="1">
      <c r="A21" s="77"/>
      <c r="C21" s="541" t="s">
        <v>140</v>
      </c>
      <c r="D21" s="542">
        <v>5.5409998890000001</v>
      </c>
      <c r="E21" s="543">
        <v>5.4219999310000002</v>
      </c>
      <c r="F21" s="544">
        <f t="shared" ref="F21:F27" si="1">IF(E21=0,"",(D21-E21)/E21)</f>
        <v>2.1947613337216003E-2</v>
      </c>
      <c r="M21" s="321">
        <v>10</v>
      </c>
      <c r="N21" s="322">
        <v>159.53</v>
      </c>
      <c r="O21" s="322">
        <v>153.0590057</v>
      </c>
      <c r="P21" s="322">
        <v>190.99600219999999</v>
      </c>
      <c r="Q21" s="557">
        <v>199.98199460000001</v>
      </c>
      <c r="R21" s="319"/>
      <c r="S21" s="319"/>
      <c r="T21" s="319"/>
      <c r="AD21" s="319"/>
      <c r="AE21" s="319"/>
      <c r="AF21" s="216"/>
      <c r="AG21" s="216"/>
      <c r="AH21" s="216"/>
      <c r="AI21" s="216"/>
      <c r="AJ21" s="216"/>
      <c r="AK21" s="216"/>
      <c r="AL21" s="216"/>
    </row>
    <row r="22" spans="1:38" ht="11.25" customHeight="1">
      <c r="A22" s="77"/>
      <c r="C22" s="537" t="s">
        <v>141</v>
      </c>
      <c r="D22" s="538">
        <v>6.7179999349999999</v>
      </c>
      <c r="E22" s="539">
        <v>5.146999836</v>
      </c>
      <c r="F22" s="540">
        <f t="shared" si="1"/>
        <v>0.30522637440394895</v>
      </c>
      <c r="G22" s="137"/>
      <c r="H22" s="268"/>
      <c r="M22" s="321">
        <v>11</v>
      </c>
      <c r="N22" s="322">
        <v>184.94</v>
      </c>
      <c r="O22" s="322">
        <v>162.93200680000001</v>
      </c>
      <c r="P22" s="322">
        <v>200.89500427246</v>
      </c>
      <c r="Q22" s="362">
        <v>200.89500430000001</v>
      </c>
      <c r="AF22" s="269"/>
      <c r="AG22" s="269"/>
      <c r="AH22" s="269"/>
      <c r="AI22" s="269"/>
      <c r="AJ22" s="269"/>
      <c r="AK22" s="269"/>
      <c r="AL22" s="269"/>
    </row>
    <row r="23" spans="1:38" ht="11.25" customHeight="1">
      <c r="A23" s="77"/>
      <c r="C23" s="541" t="s">
        <v>417</v>
      </c>
      <c r="D23" s="542">
        <v>5.2420001029999996</v>
      </c>
      <c r="E23" s="543">
        <v>3.8829998969999999</v>
      </c>
      <c r="F23" s="544">
        <f t="shared" si="1"/>
        <v>0.34998718569371101</v>
      </c>
      <c r="G23" s="137"/>
      <c r="H23" s="268"/>
      <c r="M23" s="321">
        <v>12</v>
      </c>
      <c r="N23" s="322">
        <v>184.94</v>
      </c>
      <c r="O23" s="322">
        <v>172.76199339999999</v>
      </c>
      <c r="P23" s="322">
        <v>209.09500120000001</v>
      </c>
      <c r="Q23" s="362">
        <v>210.61200000000002</v>
      </c>
      <c r="AF23" s="269"/>
      <c r="AG23" s="269"/>
      <c r="AH23" s="269"/>
      <c r="AI23" s="269"/>
      <c r="AJ23" s="269"/>
      <c r="AK23" s="269"/>
      <c r="AL23" s="269"/>
    </row>
    <row r="24" spans="1:38" ht="11.25" customHeight="1">
      <c r="A24" s="77"/>
      <c r="C24" s="537" t="s">
        <v>142</v>
      </c>
      <c r="D24" s="539">
        <v>218.28599550000001</v>
      </c>
      <c r="E24" s="539">
        <v>197.3999939</v>
      </c>
      <c r="F24" s="540">
        <f t="shared" si="1"/>
        <v>0.10580548249956159</v>
      </c>
      <c r="G24" s="137"/>
      <c r="H24" s="268"/>
      <c r="M24" s="321">
        <v>13</v>
      </c>
      <c r="N24" s="322">
        <v>203.73</v>
      </c>
      <c r="O24" s="322">
        <v>182.13900760000001</v>
      </c>
      <c r="P24" s="322">
        <v>215.7310028</v>
      </c>
      <c r="Q24" s="362">
        <v>221.91900634765599</v>
      </c>
      <c r="AF24" s="269"/>
      <c r="AG24" s="269"/>
      <c r="AH24" s="269"/>
      <c r="AI24" s="269"/>
      <c r="AJ24" s="269"/>
      <c r="AK24" s="269"/>
      <c r="AL24" s="269"/>
    </row>
    <row r="25" spans="1:38" ht="11.25" customHeight="1">
      <c r="A25" s="77"/>
      <c r="C25" s="541" t="s">
        <v>143</v>
      </c>
      <c r="D25" s="543">
        <v>42.945999149999999</v>
      </c>
      <c r="E25" s="543">
        <v>36.299999239999998</v>
      </c>
      <c r="F25" s="544">
        <f t="shared" si="1"/>
        <v>0.18308540080288996</v>
      </c>
      <c r="G25" s="137"/>
      <c r="H25" s="268"/>
      <c r="M25" s="321">
        <v>14</v>
      </c>
      <c r="N25" s="322">
        <v>203.73</v>
      </c>
      <c r="O25" s="322">
        <v>191.4750061</v>
      </c>
      <c r="P25" s="322">
        <v>219.1710052</v>
      </c>
      <c r="Q25" s="362">
        <v>223.19599909999999</v>
      </c>
      <c r="AF25" s="269"/>
      <c r="AG25" s="269"/>
      <c r="AH25" s="269"/>
      <c r="AI25" s="269"/>
      <c r="AJ25" s="269"/>
      <c r="AK25" s="269"/>
      <c r="AL25" s="269"/>
    </row>
    <row r="26" spans="1:38" ht="11.25" customHeight="1">
      <c r="A26" s="77"/>
      <c r="C26" s="537" t="s">
        <v>144</v>
      </c>
      <c r="D26" s="539">
        <v>67.331999999999994</v>
      </c>
      <c r="E26" s="539">
        <v>63.472000000000001</v>
      </c>
      <c r="F26" s="540">
        <f t="shared" si="1"/>
        <v>6.0814217292664362E-2</v>
      </c>
      <c r="G26" s="137"/>
      <c r="H26" s="137"/>
      <c r="M26" s="321">
        <v>15</v>
      </c>
      <c r="N26" s="322">
        <v>203.73</v>
      </c>
      <c r="O26" s="322">
        <v>198.43899540000001</v>
      </c>
      <c r="P26" s="322">
        <v>220.17399599999999</v>
      </c>
      <c r="Q26" s="362">
        <v>225.0500031</v>
      </c>
      <c r="AF26" s="269"/>
      <c r="AG26" s="269"/>
      <c r="AH26" s="269"/>
      <c r="AI26" s="269"/>
      <c r="AJ26" s="269"/>
      <c r="AK26" s="269"/>
      <c r="AL26" s="269"/>
    </row>
    <row r="27" spans="1:38" ht="11.25" customHeight="1">
      <c r="A27" s="77"/>
      <c r="C27" s="541" t="s">
        <v>145</v>
      </c>
      <c r="D27" s="542">
        <v>163.27600100000001</v>
      </c>
      <c r="E27" s="543">
        <v>149.10699460000001</v>
      </c>
      <c r="F27" s="544">
        <f t="shared" si="1"/>
        <v>9.5025766148733037E-2</v>
      </c>
      <c r="G27" s="137"/>
      <c r="H27" s="137"/>
      <c r="M27" s="321">
        <v>16</v>
      </c>
      <c r="N27" s="322">
        <v>222.8</v>
      </c>
      <c r="O27" s="322">
        <v>201.52999879999999</v>
      </c>
      <c r="P27" s="322">
        <v>220.3150024</v>
      </c>
      <c r="Q27" s="362">
        <v>224.84800720000001</v>
      </c>
      <c r="AF27" s="269"/>
      <c r="AG27" s="269"/>
      <c r="AH27" s="269"/>
      <c r="AI27" s="269"/>
      <c r="AJ27" s="269"/>
      <c r="AK27" s="269"/>
      <c r="AL27" s="269"/>
    </row>
    <row r="28" spans="1:38" ht="26.25" customHeight="1">
      <c r="A28" s="77"/>
      <c r="C28" s="965" t="str">
        <f>"Cuadro N°9: Volumen útil de los principales embalses y lagunas del SEIN al término del periodo mensual ("&amp;'1. Resumen'!Q7&amp;" de "&amp;'1. Resumen'!Q4&amp;") "</f>
        <v xml:space="preserve">Cuadro N°9: Volumen útil de los principales embalses y lagunas del SEIN al término del periodo mensual (31 de julio) </v>
      </c>
      <c r="D28" s="965"/>
      <c r="E28" s="965"/>
      <c r="F28" s="965"/>
      <c r="G28" s="137"/>
      <c r="H28" s="137"/>
      <c r="M28" s="321">
        <v>17</v>
      </c>
      <c r="N28" s="322">
        <v>222.8</v>
      </c>
      <c r="O28" s="322">
        <v>206.03700259999999</v>
      </c>
      <c r="P28" s="322">
        <v>220.56</v>
      </c>
      <c r="Q28" s="362">
        <v>225.27900695800699</v>
      </c>
      <c r="AF28" s="269"/>
      <c r="AG28" s="269"/>
      <c r="AH28" s="269"/>
      <c r="AI28" s="269"/>
      <c r="AJ28" s="269"/>
      <c r="AK28" s="269"/>
      <c r="AL28" s="269"/>
    </row>
    <row r="29" spans="1:38" ht="12" customHeight="1">
      <c r="A29" s="75"/>
      <c r="G29" s="137"/>
      <c r="H29" s="137"/>
      <c r="I29" s="167"/>
      <c r="J29" s="323"/>
      <c r="M29" s="321">
        <v>18</v>
      </c>
      <c r="N29" s="322">
        <v>225.58</v>
      </c>
      <c r="O29" s="322">
        <v>213.67399599999999</v>
      </c>
      <c r="P29" s="322">
        <v>224.15199279999999</v>
      </c>
      <c r="Q29" s="725">
        <v>226.44200129999999</v>
      </c>
      <c r="AF29" s="269"/>
      <c r="AG29" s="269"/>
      <c r="AH29" s="269"/>
      <c r="AI29" s="269"/>
      <c r="AJ29" s="269"/>
      <c r="AK29" s="269"/>
      <c r="AL29" s="269"/>
    </row>
    <row r="30" spans="1:38" ht="11.25" customHeight="1">
      <c r="A30" s="75"/>
      <c r="B30" s="173"/>
      <c r="C30" s="173"/>
      <c r="D30" s="173"/>
      <c r="E30" s="173"/>
      <c r="F30" s="171"/>
      <c r="G30" s="137"/>
      <c r="H30" s="137"/>
      <c r="M30" s="321">
        <v>19</v>
      </c>
      <c r="N30" s="322">
        <v>225.58</v>
      </c>
      <c r="O30" s="322">
        <v>216.75700380000001</v>
      </c>
      <c r="P30" s="322">
        <v>224.378006</v>
      </c>
      <c r="Q30" s="725">
        <v>227.14199830000001</v>
      </c>
      <c r="AF30" s="269"/>
      <c r="AG30" s="269"/>
      <c r="AH30" s="269"/>
      <c r="AI30" s="269"/>
      <c r="AJ30" s="269"/>
      <c r="AK30" s="269"/>
      <c r="AL30" s="269"/>
    </row>
    <row r="31" spans="1:38" ht="11.25" customHeight="1">
      <c r="A31" s="75"/>
      <c r="B31" s="173"/>
      <c r="C31" s="173"/>
      <c r="D31" s="173"/>
      <c r="E31" s="173"/>
      <c r="F31" s="171"/>
      <c r="G31" s="171"/>
      <c r="H31" s="171"/>
      <c r="I31" s="167"/>
      <c r="J31" s="323"/>
      <c r="M31" s="321">
        <v>20</v>
      </c>
      <c r="N31" s="322">
        <v>226.61</v>
      </c>
      <c r="O31" s="322">
        <v>217.29400630000001</v>
      </c>
      <c r="P31" s="322">
        <v>224.60401920000001</v>
      </c>
      <c r="Q31" s="725">
        <v>227.625</v>
      </c>
      <c r="AF31" s="269"/>
      <c r="AG31" s="269"/>
      <c r="AH31" s="269"/>
      <c r="AI31" s="269"/>
      <c r="AJ31" s="269"/>
      <c r="AK31" s="269"/>
      <c r="AL31" s="269"/>
    </row>
    <row r="32" spans="1:38" ht="13.5" customHeight="1">
      <c r="A32" s="964" t="s">
        <v>440</v>
      </c>
      <c r="B32" s="964"/>
      <c r="C32" s="964"/>
      <c r="D32" s="964"/>
      <c r="E32" s="964"/>
      <c r="F32" s="964"/>
      <c r="G32" s="964"/>
      <c r="H32" s="964"/>
      <c r="I32" s="56"/>
      <c r="J32" s="323"/>
      <c r="M32" s="321">
        <v>21</v>
      </c>
      <c r="N32" s="322">
        <v>226.61</v>
      </c>
      <c r="O32" s="322">
        <v>218.3190002</v>
      </c>
      <c r="P32" s="322">
        <v>223.4909973</v>
      </c>
      <c r="Q32" s="725">
        <v>227.75800000000001</v>
      </c>
      <c r="AF32" s="269"/>
      <c r="AG32" s="269"/>
      <c r="AH32" s="269"/>
      <c r="AI32" s="269"/>
      <c r="AJ32" s="269"/>
      <c r="AK32" s="269"/>
      <c r="AL32" s="269"/>
    </row>
    <row r="33" spans="1:38" ht="11.25" customHeight="1">
      <c r="A33" s="75"/>
      <c r="B33" s="82"/>
      <c r="C33" s="82"/>
      <c r="D33" s="82"/>
      <c r="E33" s="82"/>
      <c r="F33" s="82"/>
      <c r="G33" s="82"/>
      <c r="H33" s="82"/>
      <c r="I33" s="56"/>
      <c r="J33" s="323"/>
      <c r="M33" s="321">
        <v>22</v>
      </c>
      <c r="N33" s="322">
        <v>227.42</v>
      </c>
      <c r="O33" s="322">
        <v>218.79899599999999</v>
      </c>
      <c r="P33" s="322">
        <v>222.62600710000001</v>
      </c>
      <c r="Q33" s="725">
        <v>226.41700739999999</v>
      </c>
      <c r="AF33" s="269"/>
      <c r="AG33" s="269"/>
      <c r="AH33" s="269"/>
      <c r="AI33" s="269"/>
      <c r="AJ33" s="269"/>
      <c r="AK33" s="269"/>
      <c r="AL33" s="269"/>
    </row>
    <row r="34" spans="1:38" ht="11.25" customHeight="1">
      <c r="A34" s="75"/>
      <c r="B34" s="82"/>
      <c r="C34" s="82"/>
      <c r="D34" s="82"/>
      <c r="E34" s="82"/>
      <c r="F34" s="82"/>
      <c r="G34" s="82"/>
      <c r="H34" s="82"/>
      <c r="I34" s="56"/>
      <c r="J34" s="323"/>
      <c r="M34" s="321">
        <v>23</v>
      </c>
      <c r="N34" s="322">
        <v>227.42</v>
      </c>
      <c r="O34" s="322">
        <v>217.8880005</v>
      </c>
      <c r="P34" s="322">
        <v>221.62399289999999</v>
      </c>
      <c r="Q34" s="725">
        <v>224.4589996</v>
      </c>
      <c r="AF34" s="269"/>
      <c r="AG34" s="269"/>
      <c r="AH34" s="269"/>
      <c r="AI34" s="269"/>
      <c r="AJ34" s="269"/>
      <c r="AK34" s="269"/>
      <c r="AL34" s="269"/>
    </row>
    <row r="35" spans="1:38" ht="11.25" customHeight="1">
      <c r="A35" s="75"/>
      <c r="B35" s="82"/>
      <c r="C35" s="82"/>
      <c r="D35" s="82"/>
      <c r="E35" s="82"/>
      <c r="F35" s="82"/>
      <c r="G35" s="82"/>
      <c r="H35" s="82"/>
      <c r="I35" s="168"/>
      <c r="J35" s="323"/>
      <c r="M35" s="321">
        <v>24</v>
      </c>
      <c r="N35" s="322">
        <v>227.45</v>
      </c>
      <c r="O35" s="322">
        <v>216.04899599999999</v>
      </c>
      <c r="P35" s="322">
        <v>218.3840027</v>
      </c>
      <c r="Q35" s="725">
        <v>220.634994506835</v>
      </c>
      <c r="AF35" s="269"/>
      <c r="AG35" s="269"/>
      <c r="AH35" s="269"/>
      <c r="AI35" s="269"/>
      <c r="AJ35" s="269"/>
      <c r="AK35" s="269"/>
      <c r="AL35" s="269"/>
    </row>
    <row r="36" spans="1:38" ht="11.25" customHeight="1">
      <c r="A36" s="75"/>
      <c r="B36" s="82"/>
      <c r="C36" s="82"/>
      <c r="D36" s="82"/>
      <c r="E36" s="82"/>
      <c r="F36" s="82"/>
      <c r="G36" s="82"/>
      <c r="H36" s="82"/>
      <c r="I36" s="56"/>
      <c r="J36" s="323"/>
      <c r="M36" s="321">
        <v>25</v>
      </c>
      <c r="N36" s="322">
        <v>227.45</v>
      </c>
      <c r="O36" s="322">
        <v>212.24600219999999</v>
      </c>
      <c r="P36" s="322">
        <v>215.08099369999999</v>
      </c>
      <c r="Q36" s="725">
        <v>218.28599550000001</v>
      </c>
      <c r="AF36" s="269"/>
      <c r="AG36" s="269"/>
      <c r="AH36" s="269"/>
      <c r="AI36" s="269"/>
      <c r="AJ36" s="269"/>
      <c r="AK36" s="269"/>
      <c r="AL36" s="269"/>
    </row>
    <row r="37" spans="1:38" ht="11.25" customHeight="1">
      <c r="A37" s="75"/>
      <c r="B37" s="82"/>
      <c r="C37" s="82"/>
      <c r="D37" s="82"/>
      <c r="E37" s="82"/>
      <c r="F37" s="82"/>
      <c r="G37" s="82"/>
      <c r="H37" s="82"/>
      <c r="I37" s="56"/>
      <c r="J37" s="324"/>
      <c r="M37" s="321">
        <v>26</v>
      </c>
      <c r="N37" s="322">
        <v>225.56</v>
      </c>
      <c r="O37" s="322">
        <v>210.22099299999999</v>
      </c>
      <c r="P37" s="322">
        <v>210.41900630000001</v>
      </c>
      <c r="Q37" s="725">
        <v>214.90499879999999</v>
      </c>
      <c r="AF37" s="269"/>
      <c r="AG37" s="269"/>
      <c r="AH37" s="269"/>
      <c r="AI37" s="269"/>
      <c r="AJ37" s="269"/>
      <c r="AK37" s="269"/>
      <c r="AL37" s="269"/>
    </row>
    <row r="38" spans="1:38" ht="11.25" customHeight="1">
      <c r="A38" s="75"/>
      <c r="B38" s="82"/>
      <c r="C38" s="82"/>
      <c r="D38" s="82"/>
      <c r="E38" s="82"/>
      <c r="F38" s="82"/>
      <c r="G38" s="82"/>
      <c r="H38" s="82"/>
      <c r="I38" s="56"/>
      <c r="J38" s="324"/>
      <c r="M38" s="321">
        <v>27</v>
      </c>
      <c r="N38" s="322">
        <v>225.56</v>
      </c>
      <c r="O38" s="322">
        <v>209.85200499999999</v>
      </c>
      <c r="P38" s="322">
        <v>204.23</v>
      </c>
      <c r="Q38" s="725">
        <v>210.91799926757801</v>
      </c>
      <c r="AF38" s="269"/>
      <c r="AG38" s="269"/>
      <c r="AH38" s="269"/>
      <c r="AI38" s="269"/>
      <c r="AJ38" s="269"/>
      <c r="AK38" s="269"/>
      <c r="AL38" s="269"/>
    </row>
    <row r="39" spans="1:38" ht="11.25" customHeight="1">
      <c r="A39" s="75"/>
      <c r="B39" s="82"/>
      <c r="C39" s="82"/>
      <c r="D39" s="82"/>
      <c r="E39" s="82"/>
      <c r="F39" s="82"/>
      <c r="G39" s="82"/>
      <c r="H39" s="82"/>
      <c r="I39" s="56"/>
      <c r="J39" s="325"/>
      <c r="M39" s="321">
        <v>28</v>
      </c>
      <c r="N39" s="322">
        <v>225.56</v>
      </c>
      <c r="O39" s="326">
        <v>203.92900090000001</v>
      </c>
      <c r="P39" s="326">
        <v>201.1309967</v>
      </c>
      <c r="Q39" s="725">
        <v>207.96099849999999</v>
      </c>
      <c r="AF39" s="269"/>
      <c r="AG39" s="269"/>
      <c r="AH39" s="269"/>
      <c r="AI39" s="269"/>
      <c r="AJ39" s="269"/>
      <c r="AK39" s="269"/>
      <c r="AL39" s="269"/>
    </row>
    <row r="40" spans="1:38" ht="11.25" customHeight="1">
      <c r="A40" s="75"/>
      <c r="B40" s="82"/>
      <c r="C40" s="82"/>
      <c r="D40" s="82"/>
      <c r="E40" s="82"/>
      <c r="F40" s="82"/>
      <c r="G40" s="82"/>
      <c r="H40" s="82"/>
      <c r="I40" s="56"/>
      <c r="J40" s="325"/>
      <c r="M40" s="321">
        <v>29</v>
      </c>
      <c r="N40" s="322">
        <v>222.04</v>
      </c>
      <c r="O40" s="322">
        <v>200.56300350000001</v>
      </c>
      <c r="P40" s="322">
        <v>196.16000366210901</v>
      </c>
      <c r="Q40" s="725">
        <v>205.66700739999999</v>
      </c>
      <c r="AF40" s="269"/>
      <c r="AG40" s="269"/>
      <c r="AH40" s="269"/>
      <c r="AI40" s="269"/>
      <c r="AJ40" s="269"/>
      <c r="AK40" s="269"/>
      <c r="AL40" s="269"/>
    </row>
    <row r="41" spans="1:38" ht="11.25" customHeight="1">
      <c r="A41" s="75"/>
      <c r="B41" s="82"/>
      <c r="C41" s="82"/>
      <c r="D41" s="82"/>
      <c r="E41" s="82"/>
      <c r="F41" s="82"/>
      <c r="G41" s="82"/>
      <c r="H41" s="82"/>
      <c r="I41" s="56"/>
      <c r="J41" s="325"/>
      <c r="M41" s="321">
        <v>30</v>
      </c>
      <c r="N41" s="322">
        <v>222.04</v>
      </c>
      <c r="O41" s="322">
        <v>194.94900509999999</v>
      </c>
      <c r="P41" s="322">
        <v>193.86</v>
      </c>
      <c r="Q41" s="725">
        <v>197.3999939</v>
      </c>
      <c r="AF41" s="269"/>
      <c r="AG41" s="269"/>
      <c r="AH41" s="269"/>
      <c r="AI41" s="269"/>
      <c r="AJ41" s="269"/>
      <c r="AK41" s="269"/>
      <c r="AL41" s="269"/>
    </row>
    <row r="42" spans="1:38" ht="11.25" customHeight="1">
      <c r="A42" s="75"/>
      <c r="B42" s="82"/>
      <c r="C42" s="82"/>
      <c r="D42" s="82"/>
      <c r="E42" s="82"/>
      <c r="F42" s="82"/>
      <c r="G42" s="82"/>
      <c r="H42" s="82"/>
      <c r="I42" s="168"/>
      <c r="J42" s="324"/>
      <c r="M42" s="321">
        <v>31</v>
      </c>
      <c r="N42" s="322">
        <v>213.13</v>
      </c>
      <c r="O42" s="322">
        <v>188.386</v>
      </c>
      <c r="P42" s="322">
        <v>186.24800110000001</v>
      </c>
      <c r="Q42" s="725"/>
      <c r="AF42" s="269"/>
      <c r="AG42" s="269"/>
      <c r="AH42" s="269"/>
      <c r="AI42" s="269"/>
      <c r="AJ42" s="269"/>
      <c r="AK42" s="269"/>
      <c r="AL42" s="269"/>
    </row>
    <row r="43" spans="1:38" ht="11.25" customHeight="1">
      <c r="A43" s="75"/>
      <c r="B43" s="82"/>
      <c r="C43" s="82"/>
      <c r="D43" s="82"/>
      <c r="E43" s="82"/>
      <c r="F43" s="82"/>
      <c r="G43" s="82"/>
      <c r="H43" s="82"/>
      <c r="I43" s="56"/>
      <c r="J43" s="324"/>
      <c r="M43" s="321">
        <v>32</v>
      </c>
      <c r="N43" s="322">
        <v>213.13</v>
      </c>
      <c r="O43" s="322">
        <v>184.72900390000001</v>
      </c>
      <c r="P43" s="322">
        <v>182.40899659999999</v>
      </c>
      <c r="AF43" s="269"/>
      <c r="AG43" s="269"/>
      <c r="AH43" s="269"/>
      <c r="AI43" s="269"/>
      <c r="AJ43" s="269"/>
      <c r="AK43" s="269"/>
      <c r="AL43" s="269"/>
    </row>
    <row r="44" spans="1:38" ht="11.25" customHeight="1">
      <c r="A44" s="75"/>
      <c r="B44" s="82"/>
      <c r="C44" s="82"/>
      <c r="D44" s="82"/>
      <c r="E44" s="82"/>
      <c r="F44" s="82"/>
      <c r="G44" s="82"/>
      <c r="H44" s="82"/>
      <c r="I44" s="56"/>
      <c r="J44" s="324"/>
      <c r="M44" s="321">
        <v>33</v>
      </c>
      <c r="N44" s="322">
        <v>205.97</v>
      </c>
      <c r="O44" s="322">
        <v>178.8809967</v>
      </c>
      <c r="P44" s="322">
        <v>178.6940002</v>
      </c>
      <c r="AF44" s="269"/>
      <c r="AG44" s="269"/>
      <c r="AH44" s="269"/>
      <c r="AI44" s="269"/>
      <c r="AJ44" s="269"/>
      <c r="AK44" s="269"/>
      <c r="AL44" s="269"/>
    </row>
    <row r="45" spans="1:38" ht="11.25" customHeight="1">
      <c r="A45" s="75"/>
      <c r="B45" s="82"/>
      <c r="C45" s="82"/>
      <c r="D45" s="82"/>
      <c r="E45" s="82"/>
      <c r="F45" s="82"/>
      <c r="G45" s="82"/>
      <c r="H45" s="82"/>
      <c r="I45" s="59"/>
      <c r="J45" s="327"/>
      <c r="M45" s="321">
        <v>34</v>
      </c>
      <c r="N45" s="322">
        <v>199.49</v>
      </c>
      <c r="O45" s="322">
        <v>176.98599239999999</v>
      </c>
      <c r="P45" s="322">
        <v>173.61300660000001</v>
      </c>
      <c r="AF45" s="269"/>
      <c r="AG45" s="269"/>
      <c r="AH45" s="269"/>
      <c r="AI45" s="269"/>
      <c r="AJ45" s="269"/>
      <c r="AK45" s="269"/>
      <c r="AL45" s="269"/>
    </row>
    <row r="46" spans="1:38" ht="11.25" customHeight="1">
      <c r="A46" s="75"/>
      <c r="B46" s="82"/>
      <c r="C46" s="82"/>
      <c r="D46" s="82"/>
      <c r="E46" s="82"/>
      <c r="F46" s="82"/>
      <c r="G46" s="82"/>
      <c r="H46" s="82"/>
      <c r="I46" s="59"/>
      <c r="J46" s="327"/>
      <c r="M46" s="321">
        <v>35</v>
      </c>
      <c r="N46" s="328">
        <v>193.4</v>
      </c>
      <c r="O46" s="322">
        <v>173.36999510000001</v>
      </c>
      <c r="P46" s="322">
        <v>170.0189972</v>
      </c>
      <c r="AF46" s="269"/>
      <c r="AG46" s="269"/>
      <c r="AH46" s="269"/>
      <c r="AI46" s="269"/>
      <c r="AJ46" s="269"/>
      <c r="AK46" s="269"/>
      <c r="AL46" s="269"/>
    </row>
    <row r="47" spans="1:38" ht="11.25" customHeight="1">
      <c r="A47" s="75"/>
      <c r="B47" s="82"/>
      <c r="C47" s="82"/>
      <c r="D47" s="82"/>
      <c r="E47" s="82"/>
      <c r="F47" s="82"/>
      <c r="G47" s="82"/>
      <c r="H47" s="82"/>
      <c r="I47" s="59"/>
      <c r="J47" s="327"/>
      <c r="M47" s="321">
        <v>36</v>
      </c>
      <c r="N47" s="328">
        <v>187.93</v>
      </c>
      <c r="O47" s="322">
        <v>167.63</v>
      </c>
      <c r="P47" s="322">
        <v>166.0690002</v>
      </c>
      <c r="AF47" s="269"/>
      <c r="AG47" s="269"/>
      <c r="AH47" s="269"/>
      <c r="AI47" s="269"/>
      <c r="AJ47" s="269"/>
      <c r="AK47" s="269"/>
      <c r="AL47" s="269"/>
    </row>
    <row r="48" spans="1:38" ht="11.25" customHeight="1">
      <c r="A48" s="75"/>
      <c r="B48" s="82"/>
      <c r="C48" s="82"/>
      <c r="D48" s="82"/>
      <c r="E48" s="82"/>
      <c r="F48" s="82"/>
      <c r="G48" s="82"/>
      <c r="H48" s="82"/>
      <c r="I48" s="59"/>
      <c r="J48" s="327"/>
      <c r="M48" s="321">
        <v>37</v>
      </c>
      <c r="N48" s="322">
        <v>182.85</v>
      </c>
      <c r="O48" s="322">
        <v>162.30700680000001</v>
      </c>
      <c r="P48" s="322">
        <v>159.17399599999999</v>
      </c>
      <c r="AF48" s="269"/>
      <c r="AG48" s="269"/>
      <c r="AH48" s="269"/>
      <c r="AI48" s="269"/>
      <c r="AJ48" s="269"/>
      <c r="AK48" s="269"/>
      <c r="AL48" s="269"/>
    </row>
    <row r="49" spans="1:38" ht="11.25" customHeight="1">
      <c r="A49" s="75"/>
      <c r="B49" s="82"/>
      <c r="C49" s="82"/>
      <c r="D49" s="82"/>
      <c r="E49" s="82"/>
      <c r="F49" s="82"/>
      <c r="G49" s="82"/>
      <c r="H49" s="82"/>
      <c r="I49" s="59"/>
      <c r="J49" s="327"/>
      <c r="M49" s="321">
        <v>38</v>
      </c>
      <c r="N49" s="322">
        <v>179.77</v>
      </c>
      <c r="O49" s="322">
        <v>159.02699279999999</v>
      </c>
      <c r="P49" s="322">
        <v>157.84</v>
      </c>
      <c r="AF49" s="269"/>
      <c r="AG49" s="269"/>
      <c r="AH49" s="269"/>
      <c r="AI49" s="269"/>
      <c r="AJ49" s="269"/>
      <c r="AK49" s="269"/>
      <c r="AL49" s="269"/>
    </row>
    <row r="50" spans="1:38" ht="13.2">
      <c r="A50" s="75"/>
      <c r="B50" s="82"/>
      <c r="C50" s="82"/>
      <c r="D50" s="82"/>
      <c r="E50" s="82"/>
      <c r="F50" s="82"/>
      <c r="G50" s="82"/>
      <c r="H50" s="82"/>
      <c r="I50" s="59"/>
      <c r="J50" s="327"/>
      <c r="M50" s="321">
        <v>39</v>
      </c>
      <c r="N50" s="322">
        <v>173.62</v>
      </c>
      <c r="O50" s="322">
        <v>153.61700440000001</v>
      </c>
      <c r="P50" s="322">
        <v>156.28199768066401</v>
      </c>
      <c r="AF50" s="269"/>
      <c r="AG50" s="269"/>
      <c r="AH50" s="269"/>
      <c r="AI50" s="269"/>
      <c r="AJ50" s="269"/>
      <c r="AK50" s="269"/>
      <c r="AL50" s="269"/>
    </row>
    <row r="51" spans="1:38" ht="10.5" customHeight="1">
      <c r="A51" s="75"/>
      <c r="B51" s="82"/>
      <c r="C51" s="82"/>
      <c r="D51" s="82"/>
      <c r="E51" s="82"/>
      <c r="F51" s="82"/>
      <c r="G51" s="82"/>
      <c r="H51" s="82"/>
      <c r="I51" s="59"/>
      <c r="J51" s="327"/>
      <c r="M51" s="321">
        <v>40</v>
      </c>
      <c r="N51" s="322">
        <v>163</v>
      </c>
      <c r="O51" s="322">
        <v>151.72999569999999</v>
      </c>
      <c r="P51" s="322">
        <v>148.3529968</v>
      </c>
      <c r="AF51" s="269"/>
      <c r="AG51" s="269"/>
      <c r="AH51" s="269"/>
      <c r="AI51" s="269"/>
      <c r="AJ51" s="269"/>
      <c r="AK51" s="269"/>
      <c r="AL51" s="269"/>
    </row>
    <row r="52" spans="1:38" ht="13.2">
      <c r="A52" s="75"/>
      <c r="B52" s="82"/>
      <c r="C52" s="82"/>
      <c r="D52" s="82"/>
      <c r="E52" s="82"/>
      <c r="F52" s="82"/>
      <c r="G52" s="82"/>
      <c r="H52" s="82"/>
      <c r="I52" s="59"/>
      <c r="J52" s="327"/>
      <c r="M52" s="321">
        <v>41</v>
      </c>
      <c r="N52" s="322">
        <v>156.5</v>
      </c>
      <c r="O52" s="322">
        <v>147.996002197265</v>
      </c>
      <c r="P52" s="322">
        <v>151.04400630000001</v>
      </c>
      <c r="AF52" s="269"/>
      <c r="AG52" s="269"/>
      <c r="AH52" s="269"/>
      <c r="AI52" s="269"/>
      <c r="AJ52" s="269"/>
      <c r="AK52" s="269"/>
      <c r="AL52" s="269"/>
    </row>
    <row r="53" spans="1:38" ht="13.2">
      <c r="A53" s="75"/>
      <c r="B53" s="82"/>
      <c r="C53" s="82"/>
      <c r="D53" s="82"/>
      <c r="E53" s="82"/>
      <c r="F53" s="82"/>
      <c r="G53" s="82"/>
      <c r="H53" s="82"/>
      <c r="I53" s="59"/>
      <c r="J53" s="327"/>
      <c r="M53" s="321">
        <v>42</v>
      </c>
      <c r="N53" s="322">
        <v>152.78</v>
      </c>
      <c r="O53" s="322">
        <v>144.53999328613199</v>
      </c>
      <c r="P53" s="322">
        <v>146.53</v>
      </c>
      <c r="AF53" s="269"/>
      <c r="AG53" s="269"/>
      <c r="AH53" s="269"/>
      <c r="AI53" s="269"/>
      <c r="AJ53" s="269"/>
      <c r="AK53" s="269"/>
      <c r="AL53" s="269"/>
    </row>
    <row r="54" spans="1:38" ht="13.2">
      <c r="A54" s="75"/>
      <c r="B54" s="82"/>
      <c r="C54" s="82"/>
      <c r="D54" s="82"/>
      <c r="E54" s="82"/>
      <c r="F54" s="82"/>
      <c r="G54" s="82"/>
      <c r="H54" s="82"/>
      <c r="I54" s="59"/>
      <c r="J54" s="327"/>
      <c r="M54" s="321">
        <v>43</v>
      </c>
      <c r="N54" s="322">
        <v>148.63</v>
      </c>
      <c r="O54" s="322">
        <v>143.72300720214801</v>
      </c>
      <c r="P54" s="322">
        <v>137.7400055</v>
      </c>
      <c r="AF54" s="269"/>
      <c r="AG54" s="269"/>
      <c r="AH54" s="269"/>
      <c r="AI54" s="269"/>
      <c r="AJ54" s="269"/>
      <c r="AK54" s="269"/>
      <c r="AL54" s="269"/>
    </row>
    <row r="55" spans="1:38" ht="13.2">
      <c r="A55" s="75"/>
      <c r="B55" s="82"/>
      <c r="C55" s="82"/>
      <c r="D55" s="82"/>
      <c r="E55" s="82"/>
      <c r="F55" s="82"/>
      <c r="G55" s="82"/>
      <c r="H55" s="82"/>
      <c r="I55" s="59"/>
      <c r="J55" s="327"/>
      <c r="M55" s="321">
        <v>44</v>
      </c>
      <c r="N55" s="322">
        <v>142.91</v>
      </c>
      <c r="O55" s="322">
        <v>142.33900449999999</v>
      </c>
      <c r="P55" s="322">
        <v>133.1380005</v>
      </c>
      <c r="AF55" s="269"/>
      <c r="AG55" s="269"/>
      <c r="AH55" s="269"/>
      <c r="AI55" s="269"/>
      <c r="AJ55" s="269"/>
      <c r="AK55" s="269"/>
      <c r="AL55" s="269"/>
    </row>
    <row r="56" spans="1:38" ht="13.2">
      <c r="A56" s="75"/>
      <c r="B56" s="82"/>
      <c r="C56" s="82"/>
      <c r="D56" s="82"/>
      <c r="E56" s="82"/>
      <c r="F56" s="82"/>
      <c r="G56" s="82"/>
      <c r="H56" s="82"/>
      <c r="I56" s="59"/>
      <c r="J56" s="327"/>
      <c r="M56" s="321">
        <v>45</v>
      </c>
      <c r="N56" s="322">
        <v>137.04</v>
      </c>
      <c r="O56" s="322">
        <v>143.13200380000001</v>
      </c>
      <c r="P56" s="322">
        <v>125.7330017</v>
      </c>
      <c r="AF56" s="269"/>
      <c r="AG56" s="269"/>
      <c r="AH56" s="269"/>
      <c r="AI56" s="269"/>
      <c r="AJ56" s="269"/>
      <c r="AK56" s="269"/>
      <c r="AL56" s="269"/>
    </row>
    <row r="57" spans="1:38" ht="13.2">
      <c r="A57" s="75"/>
      <c r="B57" s="82"/>
      <c r="C57" s="82"/>
      <c r="D57" s="82"/>
      <c r="E57" s="82"/>
      <c r="F57" s="82"/>
      <c r="G57" s="82"/>
      <c r="H57" s="82"/>
      <c r="M57" s="321">
        <v>46</v>
      </c>
      <c r="N57" s="322">
        <v>131.22999999999999</v>
      </c>
      <c r="O57" s="322">
        <v>141.37</v>
      </c>
      <c r="P57" s="322">
        <v>125.2030029</v>
      </c>
      <c r="AF57" s="269"/>
      <c r="AG57" s="269"/>
      <c r="AH57" s="269"/>
      <c r="AI57" s="269"/>
      <c r="AJ57" s="269"/>
      <c r="AK57" s="269"/>
      <c r="AL57" s="269"/>
    </row>
    <row r="58" spans="1:38" ht="13.2">
      <c r="A58" s="75"/>
      <c r="B58" s="82"/>
      <c r="C58" s="82"/>
      <c r="D58" s="82"/>
      <c r="E58" s="82"/>
      <c r="F58" s="82"/>
      <c r="G58" s="82"/>
      <c r="H58" s="82"/>
      <c r="M58" s="321">
        <v>47</v>
      </c>
      <c r="N58" s="322">
        <v>125.5</v>
      </c>
      <c r="O58" s="322">
        <v>140.33900449999999</v>
      </c>
      <c r="P58" s="322">
        <v>120.5130005</v>
      </c>
      <c r="AF58" s="269"/>
      <c r="AG58" s="269"/>
      <c r="AH58" s="269"/>
      <c r="AI58" s="269"/>
      <c r="AJ58" s="269"/>
      <c r="AK58" s="269"/>
      <c r="AL58" s="269"/>
    </row>
    <row r="59" spans="1:38" ht="13.2">
      <c r="A59" s="266" t="s">
        <v>475</v>
      </c>
      <c r="B59" s="82"/>
      <c r="C59" s="82"/>
      <c r="D59" s="82"/>
      <c r="E59" s="82"/>
      <c r="F59" s="82"/>
      <c r="G59" s="82"/>
      <c r="H59" s="82"/>
      <c r="M59" s="321">
        <v>48</v>
      </c>
      <c r="N59" s="322">
        <v>120.41</v>
      </c>
      <c r="O59" s="322">
        <v>137.8150024</v>
      </c>
      <c r="P59" s="322">
        <v>119.3089981</v>
      </c>
      <c r="AF59" s="269"/>
      <c r="AG59" s="269"/>
      <c r="AH59" s="269"/>
      <c r="AI59" s="269"/>
      <c r="AJ59" s="269"/>
      <c r="AK59" s="269"/>
      <c r="AL59" s="269"/>
    </row>
    <row r="60" spans="1:38" ht="13.2">
      <c r="A60" s="54"/>
      <c r="B60" s="82"/>
      <c r="C60" s="82"/>
      <c r="D60" s="82"/>
      <c r="E60" s="82"/>
      <c r="F60" s="82"/>
      <c r="G60" s="82"/>
      <c r="H60" s="82"/>
      <c r="M60" s="321">
        <v>49</v>
      </c>
      <c r="N60" s="322">
        <v>115.91300200000001</v>
      </c>
      <c r="O60" s="322">
        <v>129.0279999</v>
      </c>
      <c r="P60" s="322">
        <v>119.33200069999999</v>
      </c>
      <c r="AF60" s="269"/>
      <c r="AG60" s="269"/>
      <c r="AH60" s="269"/>
      <c r="AI60" s="269"/>
      <c r="AJ60" s="269"/>
      <c r="AK60" s="269"/>
      <c r="AL60" s="269"/>
    </row>
    <row r="61" spans="1:38" ht="10.8">
      <c r="M61" s="321">
        <v>50</v>
      </c>
      <c r="N61" s="322">
        <v>110.0599976</v>
      </c>
      <c r="O61" s="322">
        <v>129.30000000000001</v>
      </c>
      <c r="P61" s="322">
        <v>135.91499329999999</v>
      </c>
      <c r="AD61" s="319"/>
      <c r="AE61" s="319"/>
      <c r="AF61" s="216"/>
      <c r="AG61" s="216"/>
      <c r="AH61" s="216"/>
      <c r="AI61" s="216"/>
      <c r="AJ61" s="216"/>
      <c r="AK61" s="216"/>
      <c r="AL61" s="216"/>
    </row>
    <row r="62" spans="1:38" ht="10.8">
      <c r="M62" s="321">
        <v>51</v>
      </c>
      <c r="N62" s="322">
        <v>107.5970001</v>
      </c>
      <c r="O62" s="322">
        <v>129</v>
      </c>
      <c r="P62" s="322">
        <v>131.21000670000001</v>
      </c>
      <c r="AD62" s="319"/>
      <c r="AE62" s="319"/>
      <c r="AF62" s="216"/>
      <c r="AG62" s="216"/>
      <c r="AH62" s="216"/>
      <c r="AI62" s="216"/>
      <c r="AJ62" s="216"/>
      <c r="AK62" s="216"/>
      <c r="AL62" s="216"/>
    </row>
    <row r="63" spans="1:38" ht="10.8">
      <c r="M63" s="321">
        <v>52</v>
      </c>
      <c r="N63" s="322">
        <v>104.4029999</v>
      </c>
      <c r="O63" s="322">
        <v>130.4810028</v>
      </c>
      <c r="P63" s="322">
        <v>139.86399840000001</v>
      </c>
      <c r="AD63" s="319"/>
      <c r="AE63" s="319"/>
      <c r="AF63" s="216"/>
      <c r="AG63" s="216"/>
      <c r="AH63" s="216"/>
      <c r="AI63" s="216"/>
      <c r="AJ63" s="216"/>
      <c r="AK63" s="216"/>
      <c r="AL63" s="216"/>
    </row>
    <row r="64" spans="1:38" ht="10.8">
      <c r="M64" s="321">
        <v>53</v>
      </c>
      <c r="N64" s="322"/>
      <c r="O64" s="322"/>
      <c r="P64" s="771">
        <v>146.8090057</v>
      </c>
      <c r="AD64" s="319"/>
      <c r="AE64" s="319"/>
      <c r="AF64" s="216"/>
      <c r="AG64" s="216"/>
      <c r="AH64" s="216"/>
      <c r="AI64" s="216"/>
      <c r="AJ64" s="216"/>
      <c r="AK64" s="216"/>
      <c r="AL64" s="216"/>
    </row>
    <row r="65" spans="13:38">
      <c r="M65" s="319"/>
      <c r="N65" s="319"/>
      <c r="O65" s="319"/>
      <c r="P65" s="319"/>
      <c r="Q65" s="319"/>
      <c r="R65" s="319"/>
      <c r="S65" s="319"/>
      <c r="T65" s="319"/>
      <c r="AD65" s="319"/>
      <c r="AE65" s="319"/>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O30" sqref="O30"/>
    </sheetView>
  </sheetViews>
  <sheetFormatPr baseColWidth="10" defaultColWidth="9.28515625" defaultRowHeight="10.199999999999999"/>
  <cols>
    <col min="10" max="11" width="9.28515625" customWidth="1"/>
    <col min="14" max="28" width="9.28515625" style="423"/>
    <col min="29" max="31" width="9.28515625" style="413"/>
  </cols>
  <sheetData>
    <row r="1" spans="1:23" ht="11.25" customHeight="1"/>
    <row r="2" spans="1:23" ht="11.25" customHeight="1">
      <c r="A2" s="297"/>
      <c r="B2" s="304"/>
      <c r="C2" s="304"/>
      <c r="D2" s="304"/>
      <c r="E2" s="304"/>
      <c r="F2" s="304"/>
      <c r="G2" s="305"/>
      <c r="H2" s="30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26" t="s">
        <v>260</v>
      </c>
      <c r="T4" s="427" t="s">
        <v>261</v>
      </c>
    </row>
    <row r="5" spans="1:23" ht="11.25" customHeight="1">
      <c r="A5" s="966"/>
      <c r="B5" s="966"/>
      <c r="C5" s="966"/>
      <c r="D5" s="966"/>
      <c r="E5" s="966"/>
      <c r="F5" s="966"/>
      <c r="G5" s="966"/>
      <c r="H5" s="966"/>
      <c r="I5" s="966"/>
      <c r="J5" s="12"/>
      <c r="K5" s="12"/>
      <c r="L5" s="8"/>
      <c r="O5" s="428">
        <v>2017</v>
      </c>
      <c r="P5" s="428">
        <v>2018</v>
      </c>
      <c r="Q5" s="428">
        <v>2019</v>
      </c>
      <c r="R5" s="428">
        <v>2020</v>
      </c>
      <c r="T5" s="428">
        <v>2017</v>
      </c>
      <c r="U5" s="428">
        <v>2018</v>
      </c>
      <c r="V5" s="428">
        <v>2019</v>
      </c>
      <c r="W5" s="428">
        <v>2020</v>
      </c>
    </row>
    <row r="6" spans="1:23" ht="11.25" customHeight="1">
      <c r="A6" s="17"/>
      <c r="B6" s="159"/>
      <c r="C6" s="68"/>
      <c r="D6" s="69"/>
      <c r="E6" s="69"/>
      <c r="F6" s="70"/>
      <c r="G6" s="66"/>
      <c r="H6" s="66"/>
      <c r="I6" s="71"/>
      <c r="J6" s="12"/>
      <c r="K6" s="12"/>
      <c r="L6" s="5"/>
      <c r="N6" s="429">
        <v>1</v>
      </c>
      <c r="O6" s="430">
        <v>27.559000019999999</v>
      </c>
      <c r="P6" s="430">
        <v>34.76</v>
      </c>
      <c r="Q6" s="431">
        <v>71.125</v>
      </c>
      <c r="R6" s="835">
        <v>133.42999267578099</v>
      </c>
      <c r="S6" s="429">
        <v>1</v>
      </c>
      <c r="T6" s="430">
        <v>122.19600180599998</v>
      </c>
      <c r="U6" s="430">
        <v>210.20000000000002</v>
      </c>
      <c r="V6" s="431">
        <v>190.20000426299998</v>
      </c>
      <c r="W6" s="835">
        <v>186.65300035476668</v>
      </c>
    </row>
    <row r="7" spans="1:23" ht="11.25" customHeight="1">
      <c r="A7" s="17"/>
      <c r="B7" s="967"/>
      <c r="C7" s="967"/>
      <c r="D7" s="160"/>
      <c r="E7" s="160"/>
      <c r="F7" s="70"/>
      <c r="G7" s="66"/>
      <c r="H7" s="66"/>
      <c r="I7" s="71"/>
      <c r="J7" s="3"/>
      <c r="K7" s="3"/>
      <c r="L7" s="15"/>
      <c r="N7" s="429">
        <v>2</v>
      </c>
      <c r="O7" s="430">
        <v>36.5890007</v>
      </c>
      <c r="P7" s="430">
        <v>47.749000549999998</v>
      </c>
      <c r="Q7" s="431">
        <v>79.228996280000004</v>
      </c>
      <c r="R7" s="835">
        <v>141.27299500000001</v>
      </c>
      <c r="S7" s="429">
        <v>2</v>
      </c>
      <c r="T7" s="430">
        <v>136.535000822</v>
      </c>
      <c r="U7" s="430">
        <v>216.70300435500002</v>
      </c>
      <c r="V7" s="431">
        <v>185.80498987600001</v>
      </c>
      <c r="W7" s="835">
        <v>194.494995117</v>
      </c>
    </row>
    <row r="8" spans="1:23" ht="11.25" customHeight="1">
      <c r="A8" s="17"/>
      <c r="B8" s="161"/>
      <c r="C8" s="39"/>
      <c r="D8" s="162"/>
      <c r="E8" s="162"/>
      <c r="F8" s="70"/>
      <c r="G8" s="66"/>
      <c r="H8" s="66"/>
      <c r="I8" s="71"/>
      <c r="J8" s="4"/>
      <c r="K8" s="4"/>
      <c r="L8" s="12"/>
      <c r="N8" s="429">
        <v>3</v>
      </c>
      <c r="O8" s="430">
        <v>63.17599869</v>
      </c>
      <c r="P8" s="430">
        <v>67.130996699999997</v>
      </c>
      <c r="Q8" s="431">
        <v>106.65</v>
      </c>
      <c r="R8" s="835">
        <v>151.56199649999999</v>
      </c>
      <c r="S8" s="429">
        <v>3</v>
      </c>
      <c r="T8" s="430">
        <v>170.80799961000002</v>
      </c>
      <c r="U8" s="430">
        <v>232.83600043999999</v>
      </c>
      <c r="V8" s="431">
        <v>190.06000000000003</v>
      </c>
      <c r="W8" s="835">
        <v>212.15300178999999</v>
      </c>
    </row>
    <row r="9" spans="1:23" ht="11.25" customHeight="1">
      <c r="A9" s="17"/>
      <c r="B9" s="161"/>
      <c r="C9" s="39"/>
      <c r="D9" s="162"/>
      <c r="E9" s="162"/>
      <c r="F9" s="70"/>
      <c r="G9" s="66"/>
      <c r="H9" s="66"/>
      <c r="I9" s="71"/>
      <c r="J9" s="3"/>
      <c r="K9" s="6"/>
      <c r="L9" s="15"/>
      <c r="N9" s="429">
        <v>4</v>
      </c>
      <c r="O9" s="430">
        <v>113.2139969</v>
      </c>
      <c r="P9" s="430">
        <v>93.789001459999994</v>
      </c>
      <c r="Q9" s="431">
        <v>140.34500120000001</v>
      </c>
      <c r="R9" s="835">
        <v>167.9100037</v>
      </c>
      <c r="S9" s="429">
        <v>4</v>
      </c>
      <c r="T9" s="430">
        <v>186.385000214</v>
      </c>
      <c r="U9" s="430">
        <v>271.78000545999998</v>
      </c>
      <c r="V9" s="431">
        <v>198.06799936900001</v>
      </c>
      <c r="W9" s="835">
        <v>213.71899984999999</v>
      </c>
    </row>
    <row r="10" spans="1:23" ht="11.25" customHeight="1">
      <c r="A10" s="17"/>
      <c r="B10" s="161"/>
      <c r="C10" s="39"/>
      <c r="D10" s="162"/>
      <c r="E10" s="162"/>
      <c r="F10" s="70"/>
      <c r="G10" s="66"/>
      <c r="H10" s="66"/>
      <c r="I10" s="71"/>
      <c r="J10" s="3"/>
      <c r="K10" s="3"/>
      <c r="L10" s="15"/>
      <c r="N10" s="429">
        <v>5</v>
      </c>
      <c r="O10" s="430">
        <v>156.8220062</v>
      </c>
      <c r="P10" s="430">
        <v>111.01599880000001</v>
      </c>
      <c r="Q10" s="431">
        <v>186.18299870000001</v>
      </c>
      <c r="R10" s="835">
        <v>209.06850435244098</v>
      </c>
      <c r="S10" s="429">
        <v>5</v>
      </c>
      <c r="T10" s="430">
        <v>204.80799868699998</v>
      </c>
      <c r="U10" s="430">
        <v>269.07999802</v>
      </c>
      <c r="V10" s="431">
        <v>217.55805158600003</v>
      </c>
      <c r="W10" s="835">
        <v>219.56099320000001</v>
      </c>
    </row>
    <row r="11" spans="1:23" ht="11.25" customHeight="1">
      <c r="A11" s="17"/>
      <c r="B11" s="162"/>
      <c r="C11" s="39"/>
      <c r="D11" s="162"/>
      <c r="E11" s="162"/>
      <c r="F11" s="70"/>
      <c r="G11" s="66"/>
      <c r="H11" s="66"/>
      <c r="I11" s="71"/>
      <c r="J11" s="3"/>
      <c r="K11" s="3"/>
      <c r="L11" s="15"/>
      <c r="N11" s="429">
        <v>6</v>
      </c>
      <c r="O11" s="430">
        <v>168.8840027</v>
      </c>
      <c r="P11" s="430">
        <v>126.6029968</v>
      </c>
      <c r="Q11" s="431">
        <v>222.22</v>
      </c>
      <c r="R11" s="835">
        <v>250.22700500488199</v>
      </c>
      <c r="S11" s="429">
        <v>6</v>
      </c>
      <c r="T11" s="430">
        <v>201.82999366799999</v>
      </c>
      <c r="U11" s="430">
        <v>273.52000047000001</v>
      </c>
      <c r="V11" s="431">
        <v>279.10000000000002</v>
      </c>
      <c r="W11" s="835">
        <v>285.12099838256813</v>
      </c>
    </row>
    <row r="12" spans="1:23" ht="11.25" customHeight="1">
      <c r="A12" s="17"/>
      <c r="B12" s="162"/>
      <c r="C12" s="39"/>
      <c r="D12" s="162"/>
      <c r="E12" s="162"/>
      <c r="F12" s="70"/>
      <c r="G12" s="66"/>
      <c r="H12" s="66"/>
      <c r="I12" s="71"/>
      <c r="J12" s="3"/>
      <c r="K12" s="3"/>
      <c r="L12" s="15"/>
      <c r="N12" s="429">
        <v>7</v>
      </c>
      <c r="O12" s="430">
        <v>196.28300479999999</v>
      </c>
      <c r="P12" s="430">
        <v>135.7250061</v>
      </c>
      <c r="Q12" s="431">
        <v>277.02099609999999</v>
      </c>
      <c r="R12" s="835">
        <v>274.18798829999997</v>
      </c>
      <c r="S12" s="429">
        <v>7</v>
      </c>
      <c r="T12" s="430">
        <v>199.59600258</v>
      </c>
      <c r="U12" s="430">
        <v>302.63299941999998</v>
      </c>
      <c r="V12" s="431">
        <v>338.21854399</v>
      </c>
      <c r="W12" s="835">
        <v>329.34199910000001</v>
      </c>
    </row>
    <row r="13" spans="1:23" ht="11.25" customHeight="1">
      <c r="A13" s="17"/>
      <c r="B13" s="162"/>
      <c r="C13" s="39"/>
      <c r="D13" s="162"/>
      <c r="E13" s="162"/>
      <c r="F13" s="70"/>
      <c r="G13" s="66"/>
      <c r="H13" s="66"/>
      <c r="I13" s="71"/>
      <c r="J13" s="4"/>
      <c r="K13" s="4"/>
      <c r="L13" s="12"/>
      <c r="N13" s="429">
        <v>8</v>
      </c>
      <c r="O13" s="430">
        <v>230.18899540000001</v>
      </c>
      <c r="P13" s="430">
        <v>159.2149963</v>
      </c>
      <c r="Q13" s="431">
        <v>293.06698610000001</v>
      </c>
      <c r="R13" s="835">
        <v>291.3330078125</v>
      </c>
      <c r="S13" s="429">
        <v>8</v>
      </c>
      <c r="T13" s="430">
        <v>214.34299659800001</v>
      </c>
      <c r="U13" s="430">
        <v>328.23703</v>
      </c>
      <c r="V13" s="431">
        <v>388.64800643000001</v>
      </c>
      <c r="W13" s="835">
        <v>352.60932731628355</v>
      </c>
    </row>
    <row r="14" spans="1:23" ht="11.25" customHeight="1">
      <c r="A14" s="17"/>
      <c r="B14" s="162"/>
      <c r="C14" s="39"/>
      <c r="D14" s="162"/>
      <c r="E14" s="162"/>
      <c r="F14" s="70"/>
      <c r="G14" s="66"/>
      <c r="H14" s="66"/>
      <c r="I14" s="71"/>
      <c r="J14" s="3"/>
      <c r="K14" s="6"/>
      <c r="L14" s="15"/>
      <c r="N14" s="429">
        <v>9</v>
      </c>
      <c r="O14" s="430">
        <v>249.13000489999999</v>
      </c>
      <c r="P14" s="430">
        <v>186.18299870000001</v>
      </c>
      <c r="Q14" s="431">
        <v>294.29501340000002</v>
      </c>
      <c r="R14" s="835">
        <v>281.57400510000002</v>
      </c>
      <c r="S14" s="429">
        <v>9</v>
      </c>
      <c r="T14" s="430">
        <v>250.89400288000002</v>
      </c>
      <c r="U14" s="430">
        <v>343.54049999999995</v>
      </c>
      <c r="V14" s="431">
        <v>377.13099283000003</v>
      </c>
      <c r="W14" s="835">
        <v>377.95000650999998</v>
      </c>
    </row>
    <row r="15" spans="1:23" ht="11.25" customHeight="1">
      <c r="A15" s="17"/>
      <c r="B15" s="162"/>
      <c r="C15" s="39"/>
      <c r="D15" s="162"/>
      <c r="E15" s="162"/>
      <c r="F15" s="70"/>
      <c r="G15" s="66"/>
      <c r="H15" s="66"/>
      <c r="I15" s="71"/>
      <c r="J15" s="3"/>
      <c r="K15" s="6"/>
      <c r="L15" s="15"/>
      <c r="N15" s="429">
        <v>10</v>
      </c>
      <c r="O15" s="430">
        <v>311.77999999999997</v>
      </c>
      <c r="P15" s="430">
        <v>203.96099849999999</v>
      </c>
      <c r="Q15" s="431">
        <v>291.91101070000002</v>
      </c>
      <c r="R15" s="835">
        <v>277.58898929999998</v>
      </c>
      <c r="S15" s="429">
        <v>10</v>
      </c>
      <c r="T15" s="430">
        <v>298.99899296000001</v>
      </c>
      <c r="U15" s="430">
        <v>371.29100467000001</v>
      </c>
      <c r="V15" s="431">
        <v>385.62499995999997</v>
      </c>
      <c r="W15" s="835">
        <v>383.25900259000002</v>
      </c>
    </row>
    <row r="16" spans="1:23" ht="11.25" customHeight="1">
      <c r="A16" s="17"/>
      <c r="B16" s="162"/>
      <c r="C16" s="39"/>
      <c r="D16" s="162"/>
      <c r="E16" s="162"/>
      <c r="F16" s="70"/>
      <c r="G16" s="66"/>
      <c r="H16" s="66"/>
      <c r="I16" s="71"/>
      <c r="J16" s="3"/>
      <c r="K16" s="6"/>
      <c r="L16" s="15"/>
      <c r="N16" s="429">
        <v>11</v>
      </c>
      <c r="O16" s="430">
        <v>332.70800000000003</v>
      </c>
      <c r="P16" s="430">
        <v>230.18899540000001</v>
      </c>
      <c r="Q16" s="431">
        <v>301.204986572265</v>
      </c>
      <c r="R16" s="836">
        <v>288.4509888</v>
      </c>
      <c r="S16" s="429">
        <v>11</v>
      </c>
      <c r="T16" s="430">
        <v>321.03300188000003</v>
      </c>
      <c r="U16" s="430">
        <v>390.38299555999998</v>
      </c>
      <c r="V16" s="431">
        <v>389.38100242614604</v>
      </c>
      <c r="W16" s="835">
        <v>394.92200288000009</v>
      </c>
    </row>
    <row r="17" spans="1:23" ht="11.25" customHeight="1">
      <c r="A17" s="17"/>
      <c r="B17" s="162"/>
      <c r="C17" s="39"/>
      <c r="D17" s="162"/>
      <c r="E17" s="162"/>
      <c r="F17" s="70"/>
      <c r="G17" s="66"/>
      <c r="H17" s="66"/>
      <c r="I17" s="71"/>
      <c r="J17" s="3"/>
      <c r="K17" s="6"/>
      <c r="L17" s="15"/>
      <c r="N17" s="429">
        <v>12</v>
      </c>
      <c r="O17" s="430">
        <v>344.881012</v>
      </c>
      <c r="P17" s="430">
        <v>282.71701050000001</v>
      </c>
      <c r="Q17" s="431">
        <v>310.0090027</v>
      </c>
      <c r="R17" s="836">
        <v>295.38400268554602</v>
      </c>
      <c r="S17" s="429">
        <v>12</v>
      </c>
      <c r="T17" s="430">
        <v>332.34900279999999</v>
      </c>
      <c r="U17" s="430">
        <v>412.41217171999995</v>
      </c>
      <c r="V17" s="431">
        <v>386.27799791999996</v>
      </c>
      <c r="W17" s="835">
        <v>390.290998458861</v>
      </c>
    </row>
    <row r="18" spans="1:23" ht="11.25" customHeight="1">
      <c r="A18" s="17"/>
      <c r="B18" s="162"/>
      <c r="C18" s="39"/>
      <c r="D18" s="162"/>
      <c r="E18" s="162"/>
      <c r="F18" s="70"/>
      <c r="G18" s="66"/>
      <c r="H18" s="66"/>
      <c r="I18" s="71"/>
      <c r="J18" s="3"/>
      <c r="K18" s="6"/>
      <c r="L18" s="15"/>
      <c r="N18" s="429">
        <v>13</v>
      </c>
      <c r="O18" s="430">
        <v>338.77499390000003</v>
      </c>
      <c r="P18" s="430">
        <v>329.68899540000001</v>
      </c>
      <c r="Q18" s="431">
        <v>333.91799930000002</v>
      </c>
      <c r="R18" s="836">
        <v>303.54400634765602</v>
      </c>
      <c r="S18" s="429">
        <v>13</v>
      </c>
      <c r="T18" s="430">
        <v>366.02899361000004</v>
      </c>
      <c r="U18" s="430">
        <v>410.83199501000001</v>
      </c>
      <c r="V18" s="431">
        <v>388.98099517000003</v>
      </c>
      <c r="W18" s="835">
        <v>402.17499160766499</v>
      </c>
    </row>
    <row r="19" spans="1:23" ht="11.25" customHeight="1">
      <c r="A19" s="17"/>
      <c r="B19" s="162"/>
      <c r="C19" s="39"/>
      <c r="D19" s="162"/>
      <c r="E19" s="162"/>
      <c r="F19" s="70"/>
      <c r="G19" s="66"/>
      <c r="H19" s="66"/>
      <c r="I19" s="71"/>
      <c r="J19" s="3"/>
      <c r="K19" s="6"/>
      <c r="L19" s="15"/>
      <c r="N19" s="429">
        <v>14</v>
      </c>
      <c r="O19" s="430">
        <v>338.77999390000002</v>
      </c>
      <c r="P19" s="430">
        <v>329.68899540000001</v>
      </c>
      <c r="Q19" s="431">
        <v>335.73699950000002</v>
      </c>
      <c r="R19" s="432">
        <v>296.54501340000002</v>
      </c>
      <c r="S19" s="429">
        <v>14</v>
      </c>
      <c r="T19" s="430">
        <v>382.58400344</v>
      </c>
      <c r="U19" s="430">
        <v>403.70400233999999</v>
      </c>
      <c r="V19" s="431">
        <v>393.36499596000004</v>
      </c>
      <c r="W19" s="423">
        <v>398.93495940999998</v>
      </c>
    </row>
    <row r="20" spans="1:23" ht="11.25" customHeight="1">
      <c r="A20" s="17"/>
      <c r="B20" s="162"/>
      <c r="C20" s="39"/>
      <c r="D20" s="162"/>
      <c r="E20" s="162"/>
      <c r="F20" s="70"/>
      <c r="G20" s="66"/>
      <c r="H20" s="66"/>
      <c r="I20" s="71"/>
      <c r="J20" s="3"/>
      <c r="K20" s="6"/>
      <c r="L20" s="15"/>
      <c r="N20" s="429">
        <v>15</v>
      </c>
      <c r="O20" s="430">
        <v>347.94900510000002</v>
      </c>
      <c r="P20" s="430">
        <v>326.67999270000001</v>
      </c>
      <c r="Q20" s="431">
        <v>335.73699950000002</v>
      </c>
      <c r="R20" s="432">
        <v>289.60299680000003</v>
      </c>
      <c r="S20" s="429">
        <v>15</v>
      </c>
      <c r="T20" s="430">
        <v>385.29699126999998</v>
      </c>
      <c r="U20" s="430">
        <v>399.27400204999998</v>
      </c>
      <c r="V20" s="431">
        <v>385.77799804</v>
      </c>
      <c r="W20" s="423">
        <v>388.01895332999999</v>
      </c>
    </row>
    <row r="21" spans="1:23" ht="11.25" customHeight="1">
      <c r="A21" s="17"/>
      <c r="B21" s="162"/>
      <c r="C21" s="39"/>
      <c r="D21" s="162"/>
      <c r="E21" s="162"/>
      <c r="F21" s="70"/>
      <c r="G21" s="66"/>
      <c r="H21" s="66"/>
      <c r="I21" s="71"/>
      <c r="J21" s="3"/>
      <c r="K21" s="7"/>
      <c r="L21" s="16"/>
      <c r="N21" s="429">
        <v>16</v>
      </c>
      <c r="O21" s="430">
        <v>354.11401369999999</v>
      </c>
      <c r="P21" s="430">
        <v>314.7409973</v>
      </c>
      <c r="Q21" s="431">
        <v>335.73699950000002</v>
      </c>
      <c r="R21" s="432">
        <v>285.006012</v>
      </c>
      <c r="S21" s="429">
        <v>16</v>
      </c>
      <c r="T21" s="430">
        <v>384.95899003</v>
      </c>
      <c r="U21" s="430">
        <v>394.58499913000003</v>
      </c>
      <c r="V21" s="431">
        <v>385.72399323999997</v>
      </c>
      <c r="W21" s="423">
        <v>383.39695458999995</v>
      </c>
    </row>
    <row r="22" spans="1:23" ht="11.25" customHeight="1">
      <c r="A22" s="77"/>
      <c r="B22" s="162"/>
      <c r="C22" s="39"/>
      <c r="D22" s="162"/>
      <c r="E22" s="162"/>
      <c r="F22" s="70"/>
      <c r="G22" s="66"/>
      <c r="H22" s="66"/>
      <c r="I22" s="71"/>
      <c r="J22" s="3"/>
      <c r="K22" s="6"/>
      <c r="L22" s="15"/>
      <c r="N22" s="429">
        <v>17</v>
      </c>
      <c r="O22" s="430">
        <v>351.02700809999999</v>
      </c>
      <c r="P22" s="430">
        <v>305.89001459999997</v>
      </c>
      <c r="Q22" s="431">
        <v>335.73699950000002</v>
      </c>
      <c r="R22" s="432">
        <v>285.00601196289</v>
      </c>
      <c r="S22" s="429">
        <v>17</v>
      </c>
      <c r="T22" s="430">
        <v>381.86699488000005</v>
      </c>
      <c r="U22" s="430">
        <v>392.29800030000007</v>
      </c>
      <c r="V22" s="431">
        <v>388.74200823000001</v>
      </c>
      <c r="W22" s="423">
        <v>381.56399345397853</v>
      </c>
    </row>
    <row r="23" spans="1:23" ht="11.25" customHeight="1">
      <c r="A23" s="77"/>
      <c r="B23" s="162"/>
      <c r="C23" s="39"/>
      <c r="D23" s="162"/>
      <c r="E23" s="162"/>
      <c r="F23" s="70"/>
      <c r="G23" s="66"/>
      <c r="H23" s="66"/>
      <c r="I23" s="71"/>
      <c r="J23" s="3"/>
      <c r="K23" s="6"/>
      <c r="L23" s="15"/>
      <c r="N23" s="429">
        <v>18</v>
      </c>
      <c r="O23" s="430">
        <v>354.11401369999999</v>
      </c>
      <c r="P23" s="430">
        <v>314.7409973</v>
      </c>
      <c r="Q23" s="431">
        <v>335.73699950000002</v>
      </c>
      <c r="R23" s="432">
        <v>285.006012</v>
      </c>
      <c r="S23" s="429">
        <v>18</v>
      </c>
      <c r="T23" s="430">
        <v>382.77999115</v>
      </c>
      <c r="U23" s="430">
        <v>390.15600400999995</v>
      </c>
      <c r="V23" s="431">
        <v>386.49800113000003</v>
      </c>
      <c r="W23" s="423">
        <v>379.87400246999994</v>
      </c>
    </row>
    <row r="24" spans="1:23" ht="11.25" customHeight="1">
      <c r="A24" s="77"/>
      <c r="B24" s="162"/>
      <c r="C24" s="39"/>
      <c r="D24" s="162"/>
      <c r="E24" s="162"/>
      <c r="F24" s="70"/>
      <c r="G24" s="66"/>
      <c r="H24" s="66"/>
      <c r="I24" s="71"/>
      <c r="J24" s="6"/>
      <c r="K24" s="6"/>
      <c r="L24" s="15"/>
      <c r="N24" s="429">
        <v>19</v>
      </c>
      <c r="O24" s="430">
        <v>363.43499759999997</v>
      </c>
      <c r="P24" s="430">
        <v>314.7409973</v>
      </c>
      <c r="Q24" s="431">
        <v>314.7409973</v>
      </c>
      <c r="R24" s="432">
        <v>314.7409973</v>
      </c>
      <c r="S24" s="429">
        <v>19</v>
      </c>
      <c r="T24" s="430">
        <v>381.91700169999996</v>
      </c>
      <c r="U24" s="430">
        <v>386.47099490999994</v>
      </c>
      <c r="V24" s="431">
        <v>384.38200000000001</v>
      </c>
      <c r="W24" s="423">
        <v>375.69400404000004</v>
      </c>
    </row>
    <row r="25" spans="1:23" ht="11.25" customHeight="1">
      <c r="A25" s="267" t="s">
        <v>473</v>
      </c>
      <c r="B25" s="162"/>
      <c r="C25" s="39"/>
      <c r="D25" s="162"/>
      <c r="E25" s="162"/>
      <c r="F25" s="70"/>
      <c r="G25" s="66"/>
      <c r="H25" s="66"/>
      <c r="I25" s="71"/>
      <c r="J25" s="3"/>
      <c r="K25" s="7"/>
      <c r="L25" s="16"/>
      <c r="N25" s="726">
        <v>20</v>
      </c>
      <c r="O25" s="430">
        <v>366.56100459999999</v>
      </c>
      <c r="P25" s="430">
        <v>314.7409973</v>
      </c>
      <c r="Q25" s="431">
        <v>315.3340149</v>
      </c>
      <c r="R25" s="432">
        <v>314.14801030000001</v>
      </c>
      <c r="S25" s="429">
        <v>20</v>
      </c>
      <c r="T25" s="430">
        <v>379.35699083999998</v>
      </c>
      <c r="U25" s="430">
        <v>382.00799562999993</v>
      </c>
      <c r="V25" s="431">
        <v>381.56399727000002</v>
      </c>
      <c r="W25" s="728">
        <v>370.56599616999995</v>
      </c>
    </row>
    <row r="26" spans="1:23" ht="11.25" customHeight="1">
      <c r="A26" s="54"/>
      <c r="B26" s="162"/>
      <c r="C26" s="39"/>
      <c r="D26" s="162"/>
      <c r="E26" s="162"/>
      <c r="F26" s="70"/>
      <c r="G26" s="66"/>
      <c r="H26" s="66"/>
      <c r="I26" s="71"/>
      <c r="J26" s="4"/>
      <c r="K26" s="6"/>
      <c r="L26" s="15"/>
      <c r="N26" s="429">
        <v>21</v>
      </c>
      <c r="O26" s="430">
        <v>357.21099850000002</v>
      </c>
      <c r="P26" s="430">
        <v>314.7409973</v>
      </c>
      <c r="Q26" s="431">
        <v>311.78100590000003</v>
      </c>
      <c r="R26" s="727">
        <v>312.37200927734301</v>
      </c>
      <c r="S26" s="429">
        <v>21</v>
      </c>
      <c r="T26" s="430">
        <v>375.59600258</v>
      </c>
      <c r="U26" s="430">
        <v>378.52099610999994</v>
      </c>
      <c r="V26" s="431">
        <v>376.47088237999998</v>
      </c>
      <c r="W26" s="423">
        <v>365.52200794219863</v>
      </c>
    </row>
    <row r="27" spans="1:23" ht="11.25" customHeight="1">
      <c r="A27" s="77"/>
      <c r="B27" s="162"/>
      <c r="C27" s="39"/>
      <c r="D27" s="162"/>
      <c r="E27" s="162"/>
      <c r="F27" s="73"/>
      <c r="G27" s="73"/>
      <c r="H27" s="73"/>
      <c r="I27" s="73"/>
      <c r="J27" s="4"/>
      <c r="K27" s="6"/>
      <c r="L27" s="15"/>
      <c r="N27" s="429">
        <v>22</v>
      </c>
      <c r="O27" s="430">
        <v>341.82</v>
      </c>
      <c r="P27" s="430">
        <v>311.78100590000003</v>
      </c>
      <c r="Q27" s="431">
        <v>310.60000609999997</v>
      </c>
      <c r="R27" s="727">
        <v>310.60000609999997</v>
      </c>
      <c r="S27" s="429">
        <v>22</v>
      </c>
      <c r="T27" s="430">
        <v>373.52000000000004</v>
      </c>
      <c r="U27" s="430">
        <v>375.20999716</v>
      </c>
      <c r="V27" s="431">
        <v>370.73099807</v>
      </c>
      <c r="W27" s="423">
        <v>359.19900507300002</v>
      </c>
    </row>
    <row r="28" spans="1:23" ht="11.25" customHeight="1">
      <c r="A28" s="77"/>
      <c r="B28" s="162"/>
      <c r="C28" s="39"/>
      <c r="D28" s="162"/>
      <c r="E28" s="162"/>
      <c r="F28" s="73"/>
      <c r="G28" s="73"/>
      <c r="H28" s="73"/>
      <c r="I28" s="73"/>
      <c r="J28" s="4"/>
      <c r="K28" s="6"/>
      <c r="L28" s="15"/>
      <c r="N28" s="429">
        <v>23</v>
      </c>
      <c r="O28" s="430">
        <v>326.67999270000001</v>
      </c>
      <c r="P28" s="430">
        <v>308.82998659999998</v>
      </c>
      <c r="Q28" s="431">
        <v>307.06500240000003</v>
      </c>
      <c r="R28" s="727">
        <v>307.06500240000003</v>
      </c>
      <c r="S28" s="429">
        <v>23</v>
      </c>
      <c r="T28" s="430">
        <v>369.22100255000004</v>
      </c>
      <c r="U28" s="430">
        <v>374.07600211999994</v>
      </c>
      <c r="V28" s="431">
        <v>363.24299430999997</v>
      </c>
      <c r="W28" s="423">
        <v>354.24799921000005</v>
      </c>
    </row>
    <row r="29" spans="1:23" ht="11.25" customHeight="1">
      <c r="A29" s="77"/>
      <c r="B29" s="162"/>
      <c r="C29" s="39"/>
      <c r="D29" s="162"/>
      <c r="E29" s="162"/>
      <c r="F29" s="73"/>
      <c r="G29" s="73"/>
      <c r="H29" s="73"/>
      <c r="I29" s="73"/>
      <c r="J29" s="4"/>
      <c r="K29" s="6"/>
      <c r="L29" s="15"/>
      <c r="N29" s="429">
        <v>24</v>
      </c>
      <c r="O29" s="430">
        <v>308.82998659999998</v>
      </c>
      <c r="P29" s="430">
        <v>300.0379944</v>
      </c>
      <c r="Q29" s="431">
        <v>302.9590149</v>
      </c>
      <c r="R29" s="727">
        <v>300.621002197265</v>
      </c>
      <c r="S29" s="429">
        <v>24</v>
      </c>
      <c r="T29" s="430">
        <v>364.44200138999997</v>
      </c>
      <c r="U29" s="430">
        <v>370.89200402</v>
      </c>
      <c r="V29" s="431">
        <v>357.21200376000002</v>
      </c>
      <c r="W29" s="423">
        <v>348.87000203132561</v>
      </c>
    </row>
    <row r="30" spans="1:23" ht="11.25" customHeight="1">
      <c r="A30" s="74"/>
      <c r="B30" s="73"/>
      <c r="C30" s="73"/>
      <c r="D30" s="73"/>
      <c r="E30" s="73"/>
      <c r="F30" s="73"/>
      <c r="G30" s="73"/>
      <c r="H30" s="73"/>
      <c r="I30" s="73"/>
      <c r="J30" s="3"/>
      <c r="K30" s="6"/>
      <c r="L30" s="15"/>
      <c r="N30" s="429">
        <v>25</v>
      </c>
      <c r="O30" s="430">
        <v>291.33300780000002</v>
      </c>
      <c r="P30" s="430">
        <v>294.22500609999997</v>
      </c>
      <c r="Q30" s="431">
        <v>300.0379944</v>
      </c>
      <c r="R30" s="727">
        <v>286.72698969999999</v>
      </c>
      <c r="S30" s="429">
        <v>25</v>
      </c>
      <c r="T30" s="430">
        <v>359.61999897999999</v>
      </c>
      <c r="U30" s="430">
        <v>366.71700096999996</v>
      </c>
      <c r="V30" s="431">
        <v>352.1909981</v>
      </c>
      <c r="W30" s="423">
        <v>343.83099551700002</v>
      </c>
    </row>
    <row r="31" spans="1:23" ht="11.25" customHeight="1">
      <c r="A31" s="74"/>
      <c r="B31" s="73"/>
      <c r="C31" s="73"/>
      <c r="D31" s="73"/>
      <c r="E31" s="73"/>
      <c r="F31" s="73"/>
      <c r="G31" s="73"/>
      <c r="H31" s="73"/>
      <c r="I31" s="73"/>
      <c r="J31" s="3"/>
      <c r="K31" s="6"/>
      <c r="L31" s="15"/>
      <c r="N31" s="429">
        <v>26</v>
      </c>
      <c r="O31" s="430">
        <v>268.55099489999998</v>
      </c>
      <c r="P31" s="430">
        <v>282.71701050000001</v>
      </c>
      <c r="Q31" s="431">
        <v>296.06698610000001</v>
      </c>
      <c r="R31" s="727">
        <v>266.86801150000002</v>
      </c>
      <c r="S31" s="429">
        <v>26</v>
      </c>
      <c r="T31" s="430">
        <v>354.77499773999995</v>
      </c>
      <c r="U31" s="430">
        <v>361.43599508999995</v>
      </c>
      <c r="V31" s="431">
        <v>346.62612917400003</v>
      </c>
      <c r="W31" s="423">
        <v>338.47100355099997</v>
      </c>
    </row>
    <row r="32" spans="1:23" ht="11.25" customHeight="1">
      <c r="A32" s="74"/>
      <c r="B32" s="73"/>
      <c r="C32" s="73"/>
      <c r="D32" s="73"/>
      <c r="E32" s="73"/>
      <c r="F32" s="73"/>
      <c r="G32" s="73"/>
      <c r="H32" s="73"/>
      <c r="I32" s="73"/>
      <c r="J32" s="3"/>
      <c r="K32" s="6"/>
      <c r="L32" s="15"/>
      <c r="N32" s="429">
        <v>27</v>
      </c>
      <c r="O32" s="430">
        <v>265.7470093</v>
      </c>
      <c r="P32" s="430">
        <v>271.36</v>
      </c>
      <c r="Q32" s="431">
        <v>275.89</v>
      </c>
      <c r="R32" s="727">
        <v>255.73500061035099</v>
      </c>
      <c r="S32" s="429">
        <v>27</v>
      </c>
      <c r="T32" s="430">
        <v>349.77999684000002</v>
      </c>
      <c r="U32" s="430">
        <v>355.34</v>
      </c>
      <c r="V32" s="431">
        <v>341.25900444999996</v>
      </c>
      <c r="W32" s="423">
        <v>333.23996639251612</v>
      </c>
    </row>
    <row r="33" spans="1:23" ht="11.25" customHeight="1">
      <c r="A33" s="74"/>
      <c r="B33" s="73"/>
      <c r="C33" s="73"/>
      <c r="D33" s="73"/>
      <c r="E33" s="73"/>
      <c r="F33" s="73"/>
      <c r="G33" s="73"/>
      <c r="H33" s="73"/>
      <c r="I33" s="73"/>
      <c r="J33" s="3"/>
      <c r="K33" s="6"/>
      <c r="L33" s="15"/>
      <c r="N33" s="429">
        <v>28</v>
      </c>
      <c r="O33" s="430">
        <v>243.66999820000001</v>
      </c>
      <c r="P33" s="433">
        <v>260.16900629999998</v>
      </c>
      <c r="Q33" s="431">
        <v>248.58200070000001</v>
      </c>
      <c r="R33" s="727">
        <v>244.7590027</v>
      </c>
      <c r="S33" s="429">
        <v>28</v>
      </c>
      <c r="T33" s="430">
        <v>344.32400322999996</v>
      </c>
      <c r="U33" s="430">
        <v>349.01599981000004</v>
      </c>
      <c r="V33" s="431">
        <v>337.18899436699996</v>
      </c>
      <c r="W33" s="423">
        <v>327.71050074999999</v>
      </c>
    </row>
    <row r="34" spans="1:23" ht="11.25" customHeight="1">
      <c r="A34" s="74"/>
      <c r="B34" s="73"/>
      <c r="C34" s="73"/>
      <c r="D34" s="73"/>
      <c r="E34" s="73"/>
      <c r="F34" s="73"/>
      <c r="G34" s="73"/>
      <c r="H34" s="73"/>
      <c r="I34" s="73"/>
      <c r="J34" s="3"/>
      <c r="K34" s="6"/>
      <c r="L34" s="15"/>
      <c r="N34" s="429">
        <v>29</v>
      </c>
      <c r="O34" s="430">
        <v>227.5220032</v>
      </c>
      <c r="P34" s="430">
        <v>251.88</v>
      </c>
      <c r="Q34" s="431">
        <v>238.787994384765</v>
      </c>
      <c r="R34" s="727">
        <v>231.25799559999999</v>
      </c>
      <c r="S34" s="429">
        <v>29</v>
      </c>
      <c r="T34" s="430">
        <v>338.60699847999996</v>
      </c>
      <c r="U34" s="430">
        <v>343.97999999999996</v>
      </c>
      <c r="V34" s="431">
        <v>333.50600986443789</v>
      </c>
      <c r="W34" s="423">
        <v>322.11699965099996</v>
      </c>
    </row>
    <row r="35" spans="1:23" ht="11.25" customHeight="1">
      <c r="A35" s="74"/>
      <c r="B35" s="73"/>
      <c r="C35" s="73"/>
      <c r="D35" s="73"/>
      <c r="E35" s="73"/>
      <c r="F35" s="73"/>
      <c r="G35" s="73"/>
      <c r="H35" s="73"/>
      <c r="I35" s="73"/>
      <c r="J35" s="6"/>
      <c r="K35" s="6"/>
      <c r="L35" s="15"/>
      <c r="N35" s="429">
        <v>30</v>
      </c>
      <c r="O35" s="430">
        <v>216.95199579999999</v>
      </c>
      <c r="P35" s="430">
        <v>232.8650055</v>
      </c>
      <c r="Q35" s="431">
        <v>229.12</v>
      </c>
      <c r="R35" s="727">
        <v>219.58000179999999</v>
      </c>
      <c r="S35" s="429">
        <v>30</v>
      </c>
      <c r="T35" s="430">
        <v>332.49400331000004</v>
      </c>
      <c r="U35" s="430">
        <v>342.06599807739167</v>
      </c>
      <c r="V35" s="431">
        <v>324.04999999999995</v>
      </c>
      <c r="W35" s="423">
        <v>316.39600081599997</v>
      </c>
    </row>
    <row r="36" spans="1:23" ht="11.25" customHeight="1">
      <c r="A36" s="74"/>
      <c r="B36" s="73"/>
      <c r="C36" s="73"/>
      <c r="D36" s="73"/>
      <c r="E36" s="73"/>
      <c r="F36" s="73"/>
      <c r="G36" s="73"/>
      <c r="H36" s="73"/>
      <c r="I36" s="73"/>
      <c r="J36" s="3"/>
      <c r="K36" s="6"/>
      <c r="L36" s="15"/>
      <c r="N36" s="429">
        <v>31</v>
      </c>
      <c r="O36" s="430">
        <v>209.128006</v>
      </c>
      <c r="P36" s="430">
        <v>211.726</v>
      </c>
      <c r="Q36" s="431">
        <v>219.05400090000001</v>
      </c>
      <c r="R36" s="727"/>
      <c r="S36" s="429">
        <v>31</v>
      </c>
      <c r="T36" s="430">
        <v>324</v>
      </c>
      <c r="U36" s="430">
        <v>335.23199999999997</v>
      </c>
      <c r="V36" s="431">
        <v>318.10600236499999</v>
      </c>
    </row>
    <row r="37" spans="1:23" ht="11.25" customHeight="1">
      <c r="A37" s="74"/>
      <c r="B37" s="73"/>
      <c r="C37" s="73"/>
      <c r="D37" s="73"/>
      <c r="E37" s="73"/>
      <c r="F37" s="73"/>
      <c r="G37" s="73"/>
      <c r="H37" s="73"/>
      <c r="I37" s="73"/>
      <c r="J37" s="3"/>
      <c r="K37" s="10"/>
      <c r="L37" s="15"/>
      <c r="N37" s="429">
        <v>32</v>
      </c>
      <c r="O37" s="430">
        <v>198.83200070000001</v>
      </c>
      <c r="P37" s="430">
        <v>181.19200129999999</v>
      </c>
      <c r="Q37" s="431">
        <v>209.128006</v>
      </c>
      <c r="R37" s="432"/>
      <c r="S37" s="429">
        <v>32</v>
      </c>
      <c r="T37" s="430">
        <v>320.73399734000003</v>
      </c>
      <c r="U37" s="430">
        <v>329.56800555999996</v>
      </c>
      <c r="V37" s="431">
        <v>312.078003352</v>
      </c>
    </row>
    <row r="38" spans="1:23" ht="11.25" customHeight="1">
      <c r="A38" s="74"/>
      <c r="B38" s="73"/>
      <c r="C38" s="73"/>
      <c r="D38" s="73"/>
      <c r="E38" s="73"/>
      <c r="F38" s="73"/>
      <c r="G38" s="73"/>
      <c r="H38" s="73"/>
      <c r="I38" s="73"/>
      <c r="J38" s="3"/>
      <c r="K38" s="10"/>
      <c r="L38" s="38"/>
      <c r="N38" s="429">
        <v>33</v>
      </c>
      <c r="O38" s="430">
        <v>188.69299319999999</v>
      </c>
      <c r="P38" s="430">
        <v>152.0650024</v>
      </c>
      <c r="Q38" s="431">
        <v>199.85499569999999</v>
      </c>
      <c r="R38" s="432"/>
      <c r="S38" s="429">
        <v>33</v>
      </c>
      <c r="T38" s="430">
        <v>314.19900131999998</v>
      </c>
      <c r="U38" s="430">
        <v>323.79099748000004</v>
      </c>
      <c r="V38" s="431">
        <v>312.078003352</v>
      </c>
    </row>
    <row r="39" spans="1:23" ht="11.25" customHeight="1">
      <c r="A39" s="74"/>
      <c r="B39" s="73"/>
      <c r="C39" s="73"/>
      <c r="D39" s="73"/>
      <c r="E39" s="73"/>
      <c r="F39" s="73"/>
      <c r="G39" s="73"/>
      <c r="H39" s="73"/>
      <c r="I39" s="73"/>
      <c r="J39" s="3"/>
      <c r="K39" s="7"/>
      <c r="L39" s="15"/>
      <c r="N39" s="429">
        <v>34</v>
      </c>
      <c r="O39" s="430">
        <v>183.68200680000001</v>
      </c>
      <c r="P39" s="430">
        <v>156.8220062</v>
      </c>
      <c r="Q39" s="431">
        <v>188.69299319999999</v>
      </c>
      <c r="R39" s="432"/>
      <c r="S39" s="429">
        <v>34</v>
      </c>
      <c r="T39" s="430">
        <v>307.85200500000002</v>
      </c>
      <c r="U39" s="430">
        <v>317.64699750999995</v>
      </c>
      <c r="V39" s="431">
        <v>299.58200316099999</v>
      </c>
    </row>
    <row r="40" spans="1:23" ht="11.25" customHeight="1">
      <c r="A40" s="74"/>
      <c r="B40" s="73"/>
      <c r="C40" s="73"/>
      <c r="D40" s="73"/>
      <c r="E40" s="73"/>
      <c r="F40" s="73"/>
      <c r="G40" s="73"/>
      <c r="H40" s="73"/>
      <c r="I40" s="73"/>
      <c r="J40" s="3"/>
      <c r="K40" s="7"/>
      <c r="L40" s="15"/>
      <c r="N40" s="429">
        <v>35</v>
      </c>
      <c r="O40" s="430">
        <v>176.23899840000001</v>
      </c>
      <c r="P40" s="434">
        <v>156.82</v>
      </c>
      <c r="Q40" s="431">
        <v>177.72099299999999</v>
      </c>
      <c r="R40" s="432"/>
      <c r="S40" s="429">
        <v>35</v>
      </c>
      <c r="T40" s="430">
        <v>300.83900069999999</v>
      </c>
      <c r="U40" s="430">
        <v>311.42</v>
      </c>
      <c r="V40" s="431">
        <v>292.71899843200003</v>
      </c>
    </row>
    <row r="41" spans="1:23" ht="11.25" customHeight="1">
      <c r="A41" s="74"/>
      <c r="B41" s="73"/>
      <c r="C41" s="73"/>
      <c r="D41" s="73"/>
      <c r="E41" s="73"/>
      <c r="F41" s="73"/>
      <c r="G41" s="73"/>
      <c r="H41" s="73"/>
      <c r="I41" s="73"/>
      <c r="J41" s="3"/>
      <c r="K41" s="7"/>
      <c r="L41" s="15"/>
      <c r="N41" s="429">
        <v>36</v>
      </c>
      <c r="O41" s="430">
        <v>168.8840027</v>
      </c>
      <c r="P41" s="434">
        <v>159.21</v>
      </c>
      <c r="Q41" s="431">
        <v>164.99800110000001</v>
      </c>
      <c r="R41" s="432"/>
      <c r="S41" s="429">
        <v>36</v>
      </c>
      <c r="T41" s="430">
        <v>293.46100233999999</v>
      </c>
      <c r="U41" s="430">
        <v>305.20999999999998</v>
      </c>
      <c r="V41" s="431">
        <v>286.64699412499999</v>
      </c>
    </row>
    <row r="42" spans="1:23" ht="11.25" customHeight="1">
      <c r="A42" s="74"/>
      <c r="B42" s="73"/>
      <c r="C42" s="73"/>
      <c r="D42" s="73"/>
      <c r="E42" s="73"/>
      <c r="F42" s="73"/>
      <c r="G42" s="73"/>
      <c r="H42" s="73"/>
      <c r="I42" s="73"/>
      <c r="J42" s="6"/>
      <c r="K42" s="10"/>
      <c r="L42" s="15"/>
      <c r="N42" s="429">
        <v>37</v>
      </c>
      <c r="O42" s="430">
        <v>159.2149963</v>
      </c>
      <c r="P42" s="434">
        <v>159.2149963</v>
      </c>
      <c r="Q42" s="431">
        <v>154.53400055</v>
      </c>
      <c r="R42" s="432"/>
      <c r="S42" s="429">
        <v>37</v>
      </c>
      <c r="T42" s="430">
        <v>287.76599501999999</v>
      </c>
      <c r="U42" s="430">
        <v>299.17000225600003</v>
      </c>
      <c r="V42" s="431">
        <v>280.605003845</v>
      </c>
    </row>
    <row r="43" spans="1:23" ht="11.25" customHeight="1">
      <c r="A43" s="74"/>
      <c r="B43" s="73"/>
      <c r="C43" s="73"/>
      <c r="D43" s="73"/>
      <c r="E43" s="73"/>
      <c r="F43" s="73"/>
      <c r="G43" s="73"/>
      <c r="H43" s="73"/>
      <c r="I43" s="73"/>
      <c r="J43" s="3"/>
      <c r="K43" s="10"/>
      <c r="L43" s="15"/>
      <c r="N43" s="429">
        <v>38</v>
      </c>
      <c r="O43" s="430">
        <v>149.70199579999999</v>
      </c>
      <c r="P43" s="434">
        <v>149.70199579999999</v>
      </c>
      <c r="Q43" s="431">
        <v>144.07</v>
      </c>
      <c r="R43" s="432"/>
      <c r="S43" s="429">
        <v>38</v>
      </c>
      <c r="T43" s="430">
        <v>282.07300377000001</v>
      </c>
      <c r="U43" s="430">
        <v>292.45899891799996</v>
      </c>
      <c r="V43" s="431">
        <v>274.21999999999997</v>
      </c>
    </row>
    <row r="44" spans="1:23" ht="11.25" customHeight="1">
      <c r="A44" s="74"/>
      <c r="B44" s="73"/>
      <c r="C44" s="73"/>
      <c r="D44" s="73"/>
      <c r="E44" s="73"/>
      <c r="F44" s="73"/>
      <c r="G44" s="73"/>
      <c r="H44" s="73"/>
      <c r="I44" s="73"/>
      <c r="J44" s="3"/>
      <c r="K44" s="10"/>
      <c r="L44" s="15"/>
      <c r="N44" s="429">
        <v>39</v>
      </c>
      <c r="O44" s="430">
        <v>138.02999879999999</v>
      </c>
      <c r="P44" s="434">
        <v>117.6380005</v>
      </c>
      <c r="Q44" s="431">
        <v>135.725006103515</v>
      </c>
      <c r="R44" s="432"/>
      <c r="S44" s="429">
        <v>39</v>
      </c>
      <c r="T44" s="430">
        <v>275.53000069000001</v>
      </c>
      <c r="U44" s="430">
        <v>286.11999916000002</v>
      </c>
      <c r="V44" s="431">
        <v>267.58499765396107</v>
      </c>
    </row>
    <row r="45" spans="1:23" ht="11.25" customHeight="1">
      <c r="A45" s="74"/>
      <c r="B45" s="73"/>
      <c r="C45" s="73"/>
      <c r="D45" s="73"/>
      <c r="E45" s="73"/>
      <c r="F45" s="73"/>
      <c r="G45" s="73"/>
      <c r="H45" s="73"/>
      <c r="I45" s="73"/>
      <c r="J45" s="11"/>
      <c r="K45" s="11"/>
      <c r="L45" s="11"/>
      <c r="N45" s="429">
        <v>40</v>
      </c>
      <c r="O45" s="430">
        <v>131.14500430000001</v>
      </c>
      <c r="P45" s="430">
        <v>91.680000309999997</v>
      </c>
      <c r="Q45" s="431">
        <v>127.0559998</v>
      </c>
      <c r="R45" s="432"/>
      <c r="S45" s="429">
        <v>40</v>
      </c>
      <c r="T45" s="430">
        <v>268.25699615000002</v>
      </c>
      <c r="U45" s="430">
        <v>278.57999837699998</v>
      </c>
      <c r="V45" s="431">
        <v>260.96199703900004</v>
      </c>
    </row>
    <row r="46" spans="1:23" ht="11.25" customHeight="1">
      <c r="A46" s="74"/>
      <c r="B46" s="73"/>
      <c r="C46" s="73"/>
      <c r="D46" s="73"/>
      <c r="E46" s="73"/>
      <c r="F46" s="73"/>
      <c r="G46" s="73"/>
      <c r="H46" s="73"/>
      <c r="I46" s="73"/>
      <c r="J46" s="11"/>
      <c r="K46" s="11"/>
      <c r="L46" s="11"/>
      <c r="N46" s="429">
        <v>41</v>
      </c>
      <c r="O46" s="430">
        <v>108.82900239999999</v>
      </c>
      <c r="P46" s="430">
        <v>71.125</v>
      </c>
      <c r="Q46" s="431">
        <v>110.13999939999999</v>
      </c>
      <c r="R46" s="432"/>
      <c r="S46" s="429">
        <v>41</v>
      </c>
      <c r="T46" s="430">
        <v>261.21399689000003</v>
      </c>
      <c r="U46" s="430">
        <v>271.23250496387476</v>
      </c>
      <c r="V46" s="431">
        <v>253.29600046600001</v>
      </c>
    </row>
    <row r="47" spans="1:23" ht="11.25" customHeight="1">
      <c r="A47" s="74"/>
      <c r="B47" s="73"/>
      <c r="C47" s="73"/>
      <c r="D47" s="73"/>
      <c r="E47" s="73"/>
      <c r="F47" s="73"/>
      <c r="G47" s="73"/>
      <c r="H47" s="73"/>
      <c r="I47" s="73"/>
      <c r="J47" s="11"/>
      <c r="K47" s="11"/>
      <c r="L47" s="11"/>
      <c r="N47" s="429">
        <v>42</v>
      </c>
      <c r="O47" s="430">
        <v>95.908996579999993</v>
      </c>
      <c r="P47" s="430">
        <v>59.261001586913999</v>
      </c>
      <c r="Q47" s="431">
        <v>100.61</v>
      </c>
      <c r="R47" s="432"/>
      <c r="S47" s="429">
        <v>42</v>
      </c>
      <c r="T47" s="430">
        <v>255.58900451</v>
      </c>
      <c r="U47" s="430">
        <v>256.27199935913058</v>
      </c>
      <c r="V47" s="431">
        <v>246.06</v>
      </c>
    </row>
    <row r="48" spans="1:23" ht="11.25" customHeight="1">
      <c r="A48" s="74"/>
      <c r="B48" s="73"/>
      <c r="C48" s="73"/>
      <c r="D48" s="73"/>
      <c r="E48" s="73"/>
      <c r="F48" s="73"/>
      <c r="G48" s="73"/>
      <c r="H48" s="73"/>
      <c r="I48" s="73"/>
      <c r="J48" s="11"/>
      <c r="K48" s="11"/>
      <c r="L48" s="11"/>
      <c r="N48" s="429">
        <v>43</v>
      </c>
      <c r="O48" s="430">
        <v>83.341003420000007</v>
      </c>
      <c r="P48" s="430">
        <v>47.749000549316399</v>
      </c>
      <c r="Q48" s="431">
        <v>95.484001160000005</v>
      </c>
      <c r="R48" s="432"/>
      <c r="S48" s="429">
        <v>43</v>
      </c>
      <c r="T48" s="430">
        <v>249.85500335</v>
      </c>
      <c r="U48" s="430">
        <v>249.67099761962871</v>
      </c>
      <c r="V48" s="431">
        <v>241.02699661899999</v>
      </c>
    </row>
    <row r="49" spans="1:22" ht="11.25" customHeight="1">
      <c r="A49" s="74"/>
      <c r="B49" s="73"/>
      <c r="C49" s="73"/>
      <c r="D49" s="73"/>
      <c r="E49" s="73"/>
      <c r="F49" s="73"/>
      <c r="G49" s="73"/>
      <c r="H49" s="73"/>
      <c r="I49" s="73"/>
      <c r="J49" s="11"/>
      <c r="K49" s="11"/>
      <c r="L49" s="11"/>
      <c r="N49" s="429">
        <v>44</v>
      </c>
      <c r="O49" s="430">
        <v>75.16</v>
      </c>
      <c r="P49" s="430">
        <v>38.424999239999998</v>
      </c>
      <c r="Q49" s="431">
        <v>89.581001279999995</v>
      </c>
      <c r="R49" s="432"/>
      <c r="S49" s="429">
        <v>44</v>
      </c>
      <c r="T49" s="430">
        <v>242.79000000000002</v>
      </c>
      <c r="U49" s="430">
        <v>249.67099761962871</v>
      </c>
      <c r="V49" s="431">
        <v>234.19399833099999</v>
      </c>
    </row>
    <row r="50" spans="1:22" ht="13.2">
      <c r="A50" s="74"/>
      <c r="B50" s="73"/>
      <c r="C50" s="73"/>
      <c r="D50" s="73"/>
      <c r="E50" s="73"/>
      <c r="F50" s="73"/>
      <c r="G50" s="73"/>
      <c r="H50" s="73"/>
      <c r="I50" s="73"/>
      <c r="J50" s="11"/>
      <c r="K50" s="11"/>
      <c r="L50" s="11"/>
      <c r="N50" s="429">
        <v>45</v>
      </c>
      <c r="O50" s="430">
        <v>65.149002080000002</v>
      </c>
      <c r="P50" s="430">
        <v>31.142000199999998</v>
      </c>
      <c r="Q50" s="431">
        <v>79.638999940000005</v>
      </c>
      <c r="R50" s="432"/>
      <c r="S50" s="429">
        <v>45</v>
      </c>
      <c r="T50" s="430">
        <v>235.60499572000001</v>
      </c>
      <c r="U50" s="430">
        <v>243.378839739</v>
      </c>
      <c r="V50" s="431">
        <v>228.64612817499997</v>
      </c>
    </row>
    <row r="51" spans="1:22" ht="13.2">
      <c r="A51" s="74"/>
      <c r="B51" s="73"/>
      <c r="C51" s="73"/>
      <c r="D51" s="73"/>
      <c r="E51" s="73"/>
      <c r="F51" s="73"/>
      <c r="G51" s="73"/>
      <c r="H51" s="73"/>
      <c r="I51" s="73"/>
      <c r="J51" s="11"/>
      <c r="K51" s="11"/>
      <c r="L51" s="11"/>
      <c r="N51" s="429">
        <v>46</v>
      </c>
      <c r="O51" s="430">
        <v>47.749000549999998</v>
      </c>
      <c r="P51" s="430">
        <v>22.26</v>
      </c>
      <c r="Q51" s="431">
        <v>80.049003600000006</v>
      </c>
      <c r="R51" s="432"/>
      <c r="S51" s="429">
        <v>46</v>
      </c>
      <c r="T51" s="430">
        <v>230.54900361099999</v>
      </c>
      <c r="U51" s="430">
        <v>236.34</v>
      </c>
      <c r="V51" s="431">
        <v>222.81199835999999</v>
      </c>
    </row>
    <row r="52" spans="1:22" ht="13.2">
      <c r="A52" s="74"/>
      <c r="B52" s="73"/>
      <c r="C52" s="73"/>
      <c r="D52" s="73"/>
      <c r="E52" s="73"/>
      <c r="F52" s="73"/>
      <c r="G52" s="73"/>
      <c r="H52" s="73"/>
      <c r="I52" s="73"/>
      <c r="J52" s="11"/>
      <c r="K52" s="11"/>
      <c r="L52" s="11"/>
      <c r="N52" s="429">
        <v>47</v>
      </c>
      <c r="O52" s="430">
        <v>34.763999939999998</v>
      </c>
      <c r="P52" s="430">
        <v>17.044000629999999</v>
      </c>
      <c r="Q52" s="431">
        <v>85.825996399999994</v>
      </c>
      <c r="R52" s="432"/>
      <c r="S52" s="429">
        <v>47</v>
      </c>
      <c r="T52" s="430">
        <v>223.60000467499998</v>
      </c>
      <c r="U52" s="430">
        <v>227.62000255999999</v>
      </c>
      <c r="V52" s="431">
        <v>216.31200409100001</v>
      </c>
    </row>
    <row r="53" spans="1:22" ht="13.2">
      <c r="A53" s="74"/>
      <c r="B53" s="73"/>
      <c r="C53" s="73"/>
      <c r="D53" s="73"/>
      <c r="E53" s="73"/>
      <c r="F53" s="73"/>
      <c r="G53" s="73"/>
      <c r="H53" s="73"/>
      <c r="I53" s="73"/>
      <c r="J53" s="11"/>
      <c r="K53" s="11"/>
      <c r="L53" s="11"/>
      <c r="N53" s="429">
        <v>48</v>
      </c>
      <c r="O53" s="430">
        <v>13.618000029999999</v>
      </c>
      <c r="P53" s="430">
        <v>36.5890007</v>
      </c>
      <c r="Q53" s="431">
        <v>77.596000669999995</v>
      </c>
      <c r="R53" s="432"/>
      <c r="S53" s="429">
        <v>48</v>
      </c>
      <c r="T53" s="430">
        <v>217.17600035300001</v>
      </c>
      <c r="U53" s="430">
        <v>220.01436420799999</v>
      </c>
      <c r="V53" s="431">
        <v>210.250997547</v>
      </c>
    </row>
    <row r="54" spans="1:22" ht="13.2">
      <c r="A54" s="74"/>
      <c r="B54" s="73"/>
      <c r="C54" s="73"/>
      <c r="D54" s="73"/>
      <c r="E54" s="73"/>
      <c r="F54" s="73"/>
      <c r="G54" s="73"/>
      <c r="H54" s="73"/>
      <c r="I54" s="73"/>
      <c r="J54" s="11"/>
      <c r="K54" s="11"/>
      <c r="L54" s="11"/>
      <c r="N54" s="429">
        <v>49</v>
      </c>
      <c r="O54" s="435">
        <v>8.5520000459999999</v>
      </c>
      <c r="P54" s="430">
        <v>36.590000000000003</v>
      </c>
      <c r="Q54" s="431">
        <v>54.613998410000001</v>
      </c>
      <c r="R54" s="432"/>
      <c r="S54" s="429">
        <v>49</v>
      </c>
      <c r="T54" s="430">
        <v>210.45100211699997</v>
      </c>
      <c r="U54" s="430">
        <v>212.37999999999997</v>
      </c>
      <c r="V54" s="431">
        <v>202.73299884100001</v>
      </c>
    </row>
    <row r="55" spans="1:22" ht="13.2">
      <c r="A55" s="74"/>
      <c r="B55" s="73"/>
      <c r="C55" s="73"/>
      <c r="D55" s="73"/>
      <c r="E55" s="73"/>
      <c r="F55" s="73"/>
      <c r="G55" s="73"/>
      <c r="H55" s="73"/>
      <c r="I55" s="73"/>
      <c r="J55" s="11"/>
      <c r="K55" s="11"/>
      <c r="L55" s="11"/>
      <c r="N55" s="429">
        <v>50</v>
      </c>
      <c r="O55" s="430">
        <v>13.618000029999999</v>
      </c>
      <c r="P55" s="430">
        <v>34.763999939999998</v>
      </c>
      <c r="Q55" s="431">
        <v>64.358001709999996</v>
      </c>
      <c r="R55" s="432"/>
      <c r="S55" s="429">
        <v>50</v>
      </c>
      <c r="T55" s="430">
        <v>203.37099885499998</v>
      </c>
      <c r="U55" s="430">
        <v>205.46782675599999</v>
      </c>
      <c r="V55" s="431">
        <v>195.51400422099999</v>
      </c>
    </row>
    <row r="56" spans="1:22" ht="13.2">
      <c r="A56" s="74"/>
      <c r="B56" s="73"/>
      <c r="C56" s="73"/>
      <c r="D56" s="73"/>
      <c r="E56" s="73"/>
      <c r="F56" s="73"/>
      <c r="G56" s="73"/>
      <c r="H56" s="73"/>
      <c r="I56" s="73"/>
      <c r="J56" s="11"/>
      <c r="K56" s="11"/>
      <c r="L56" s="11"/>
      <c r="N56" s="429">
        <v>51</v>
      </c>
      <c r="O56" s="430">
        <v>18.771999359999999</v>
      </c>
      <c r="P56" s="430">
        <v>38.4</v>
      </c>
      <c r="Q56" s="431">
        <v>80.049003600000006</v>
      </c>
      <c r="R56" s="432"/>
      <c r="S56" s="429">
        <v>51</v>
      </c>
      <c r="T56" s="430">
        <v>202.35899971500001</v>
      </c>
      <c r="U56" s="430">
        <v>199</v>
      </c>
      <c r="V56" s="431">
        <v>188.995997891</v>
      </c>
    </row>
    <row r="57" spans="1:22" ht="13.2">
      <c r="A57" s="74"/>
      <c r="B57" s="73"/>
      <c r="C57" s="73"/>
      <c r="D57" s="73"/>
      <c r="E57" s="73"/>
      <c r="F57" s="73"/>
      <c r="G57" s="73"/>
      <c r="H57" s="73"/>
      <c r="I57" s="73"/>
      <c r="N57" s="429">
        <v>52</v>
      </c>
      <c r="O57" s="430">
        <v>25.781999590000002</v>
      </c>
      <c r="P57" s="430">
        <v>59.261001589999999</v>
      </c>
      <c r="Q57" s="431">
        <v>108.82900239999999</v>
      </c>
      <c r="R57" s="432"/>
      <c r="S57" s="429">
        <v>52</v>
      </c>
      <c r="T57" s="430">
        <v>201.25199794899999</v>
      </c>
      <c r="U57" s="430">
        <v>192.88799664499999</v>
      </c>
      <c r="V57" s="431">
        <v>184.65400219100002</v>
      </c>
    </row>
    <row r="58" spans="1:22" ht="13.2">
      <c r="A58" s="74"/>
      <c r="B58" s="73"/>
      <c r="C58" s="73"/>
      <c r="D58" s="73"/>
      <c r="E58" s="73"/>
      <c r="F58" s="73"/>
      <c r="G58" s="73"/>
      <c r="H58" s="73"/>
      <c r="I58" s="73"/>
      <c r="N58" s="429">
        <v>53</v>
      </c>
      <c r="O58" s="432"/>
      <c r="P58" s="432"/>
      <c r="Q58" s="432">
        <v>140.34500120000001</v>
      </c>
      <c r="R58" s="432"/>
      <c r="S58" s="429">
        <v>53</v>
      </c>
      <c r="T58" s="430"/>
      <c r="U58" s="430"/>
      <c r="V58" s="431"/>
    </row>
    <row r="59" spans="1:22" ht="13.2">
      <c r="B59" s="73"/>
      <c r="C59" s="73"/>
      <c r="D59" s="73"/>
      <c r="E59" s="73"/>
      <c r="F59" s="73"/>
      <c r="G59" s="73"/>
      <c r="H59" s="73"/>
      <c r="I59" s="73"/>
    </row>
    <row r="60" spans="1:22" ht="13.2">
      <c r="A60" s="74"/>
      <c r="B60" s="73"/>
      <c r="C60" s="73"/>
      <c r="D60" s="73"/>
      <c r="E60" s="73"/>
      <c r="F60" s="73"/>
      <c r="G60" s="73"/>
      <c r="H60" s="73"/>
      <c r="I60" s="73"/>
    </row>
    <row r="63" spans="1:22">
      <c r="A63" s="267" t="s">
        <v>474</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26"/>
  <sheetViews>
    <sheetView showGridLines="0" view="pageBreakPreview" zoomScaleNormal="100" zoomScaleSheetLayoutView="100" zoomScalePageLayoutView="130" workbookViewId="0">
      <selection activeCell="N53" sqref="N53"/>
    </sheetView>
  </sheetViews>
  <sheetFormatPr baseColWidth="10" defaultColWidth="9.28515625" defaultRowHeight="10.199999999999999"/>
  <cols>
    <col min="3" max="3" width="28.42578125" customWidth="1"/>
    <col min="4" max="5" width="12" customWidth="1"/>
    <col min="6" max="6" width="12.28515625" customWidth="1"/>
    <col min="8" max="9" width="9.28515625" customWidth="1"/>
    <col min="10" max="10" width="9.28515625" style="111"/>
    <col min="11" max="11" width="9.28515625" style="432"/>
    <col min="12" max="12" width="3.140625" style="847" bestFit="1" customWidth="1"/>
    <col min="13" max="16" width="9.28515625" style="432"/>
    <col min="17" max="21" width="9.28515625" style="423"/>
  </cols>
  <sheetData>
    <row r="1" spans="1:15" ht="11.25" customHeight="1"/>
    <row r="2" spans="1:15" ht="11.25" customHeight="1">
      <c r="A2" s="17"/>
      <c r="B2" s="17"/>
      <c r="C2" s="17"/>
      <c r="D2" s="17"/>
      <c r="E2" s="73"/>
      <c r="F2" s="73"/>
      <c r="G2" s="73"/>
    </row>
    <row r="3" spans="1:15" ht="17.25" customHeight="1">
      <c r="A3" s="968" t="s">
        <v>384</v>
      </c>
      <c r="B3" s="968"/>
      <c r="C3" s="968"/>
      <c r="D3" s="968"/>
      <c r="E3" s="968"/>
      <c r="F3" s="968"/>
      <c r="G3" s="968"/>
      <c r="H3" s="36"/>
      <c r="I3" s="36"/>
      <c r="K3" s="432" t="s">
        <v>262</v>
      </c>
      <c r="M3" s="432" t="s">
        <v>263</v>
      </c>
      <c r="N3" s="432" t="s">
        <v>264</v>
      </c>
      <c r="O3" s="432" t="s">
        <v>265</v>
      </c>
    </row>
    <row r="4" spans="1:15" ht="11.25" customHeight="1">
      <c r="A4" s="74"/>
      <c r="B4" s="73"/>
      <c r="C4" s="73"/>
      <c r="D4" s="73"/>
      <c r="E4" s="73"/>
      <c r="F4" s="73"/>
      <c r="G4" s="73"/>
      <c r="H4" s="36"/>
      <c r="I4" s="36"/>
      <c r="J4" s="111">
        <v>2017</v>
      </c>
      <c r="K4" s="432">
        <v>1</v>
      </c>
      <c r="L4" s="847">
        <v>1</v>
      </c>
      <c r="M4" s="848">
        <v>41.55</v>
      </c>
      <c r="N4" s="848">
        <v>103.58</v>
      </c>
      <c r="O4" s="848">
        <v>29.67</v>
      </c>
    </row>
    <row r="5" spans="1:15" ht="11.25" customHeight="1">
      <c r="A5" s="74"/>
      <c r="B5" s="73"/>
      <c r="C5" s="73"/>
      <c r="D5" s="73"/>
      <c r="E5" s="73"/>
      <c r="F5" s="73"/>
      <c r="G5" s="73"/>
      <c r="H5" s="12"/>
      <c r="I5" s="12"/>
      <c r="L5" s="847">
        <v>2</v>
      </c>
      <c r="M5" s="848">
        <v>39.6</v>
      </c>
      <c r="N5" s="848">
        <v>105.01</v>
      </c>
      <c r="O5" s="848">
        <v>51.2</v>
      </c>
    </row>
    <row r="6" spans="1:15" ht="29.25" customHeight="1">
      <c r="A6" s="136"/>
      <c r="C6" s="484" t="s">
        <v>146</v>
      </c>
      <c r="D6" s="487" t="str">
        <f>UPPER('1. Resumen'!Q4)&amp;"
 "&amp;'1. Resumen'!Q5</f>
        <v>JULIO
 2020</v>
      </c>
      <c r="E6" s="488" t="str">
        <f>UPPER('1. Resumen'!Q4)&amp;"
 "&amp;'1. Resumen'!Q5-1</f>
        <v>JULIO
 2019</v>
      </c>
      <c r="F6" s="489" t="s">
        <v>442</v>
      </c>
      <c r="G6" s="138"/>
      <c r="H6" s="24"/>
      <c r="I6" s="12"/>
      <c r="L6" s="847">
        <v>3</v>
      </c>
      <c r="M6" s="848">
        <v>73.650000000000006</v>
      </c>
      <c r="N6" s="848">
        <v>137.41</v>
      </c>
      <c r="O6" s="848">
        <v>43.26</v>
      </c>
    </row>
    <row r="7" spans="1:15" ht="11.25" customHeight="1">
      <c r="A7" s="174"/>
      <c r="C7" s="545" t="s">
        <v>147</v>
      </c>
      <c r="D7" s="546">
        <v>10.985500050000001</v>
      </c>
      <c r="E7" s="766">
        <v>7.9282580960000004</v>
      </c>
      <c r="F7" s="547">
        <f>IF(E7=0,"",(D7-E7)/E7)</f>
        <v>0.38561332350449756</v>
      </c>
      <c r="G7" s="138"/>
      <c r="H7" s="25"/>
      <c r="I7" s="3"/>
      <c r="K7" s="432">
        <v>4</v>
      </c>
      <c r="L7" s="847">
        <v>4</v>
      </c>
      <c r="M7" s="848">
        <v>65.03</v>
      </c>
      <c r="N7" s="848">
        <v>127.83</v>
      </c>
      <c r="O7" s="848">
        <v>32.72</v>
      </c>
    </row>
    <row r="8" spans="1:15" ht="11.25" customHeight="1">
      <c r="A8" s="174"/>
      <c r="C8" s="548" t="s">
        <v>153</v>
      </c>
      <c r="D8" s="549">
        <v>11.235333349999999</v>
      </c>
      <c r="E8" s="549">
        <v>7.8088064959999999</v>
      </c>
      <c r="F8" s="550">
        <f t="shared" ref="F8:F30" si="0">IF(E8=0,"",(D8-E8)/E8)</f>
        <v>0.43880288950113072</v>
      </c>
      <c r="G8" s="138"/>
      <c r="H8" s="23"/>
      <c r="I8" s="3"/>
      <c r="L8" s="847">
        <v>5</v>
      </c>
      <c r="M8" s="848">
        <v>56.95</v>
      </c>
      <c r="N8" s="848">
        <v>97.31</v>
      </c>
      <c r="O8" s="848">
        <v>48.46</v>
      </c>
    </row>
    <row r="9" spans="1:15" ht="11.25" customHeight="1">
      <c r="A9" s="174"/>
      <c r="C9" s="551" t="s">
        <v>154</v>
      </c>
      <c r="D9" s="552">
        <v>40.609266689999998</v>
      </c>
      <c r="E9" s="552">
        <v>26.73793547</v>
      </c>
      <c r="F9" s="553">
        <f t="shared" si="0"/>
        <v>0.51878841713727863</v>
      </c>
      <c r="G9" s="138"/>
      <c r="H9" s="25"/>
      <c r="I9" s="3"/>
      <c r="L9" s="847">
        <v>6</v>
      </c>
      <c r="M9" s="848">
        <v>61.87</v>
      </c>
      <c r="N9" s="848">
        <v>123.44</v>
      </c>
      <c r="O9" s="848">
        <v>72.52</v>
      </c>
    </row>
    <row r="10" spans="1:15" ht="11.25" customHeight="1">
      <c r="A10" s="174"/>
      <c r="C10" s="548" t="s">
        <v>161</v>
      </c>
      <c r="D10" s="549">
        <v>37.387399930000001</v>
      </c>
      <c r="E10" s="549">
        <v>26.028419370000002</v>
      </c>
      <c r="F10" s="550">
        <f t="shared" si="0"/>
        <v>0.43640685200777901</v>
      </c>
      <c r="G10" s="138"/>
      <c r="H10" s="25"/>
      <c r="I10" s="3"/>
      <c r="L10" s="847">
        <v>7</v>
      </c>
      <c r="M10" s="848">
        <v>77.569999999999993</v>
      </c>
      <c r="N10" s="848">
        <v>145.02000000000001</v>
      </c>
      <c r="O10" s="848">
        <v>59.16</v>
      </c>
    </row>
    <row r="11" spans="1:15" ht="11.25" customHeight="1">
      <c r="A11" s="174"/>
      <c r="C11" s="551" t="s">
        <v>162</v>
      </c>
      <c r="D11" s="552">
        <v>17.64256662</v>
      </c>
      <c r="E11" s="552">
        <v>21.105967979999999</v>
      </c>
      <c r="F11" s="553">
        <f t="shared" si="0"/>
        <v>-0.16409583124933741</v>
      </c>
      <c r="G11" s="138"/>
      <c r="H11" s="25"/>
      <c r="I11" s="3"/>
      <c r="K11" s="432">
        <v>8</v>
      </c>
      <c r="L11" s="847">
        <v>8</v>
      </c>
      <c r="M11" s="848">
        <v>86.94</v>
      </c>
      <c r="N11" s="848">
        <v>175.03</v>
      </c>
      <c r="O11" s="848">
        <v>24.36</v>
      </c>
    </row>
    <row r="12" spans="1:15" ht="11.25" customHeight="1">
      <c r="A12" s="174"/>
      <c r="C12" s="548" t="s">
        <v>164</v>
      </c>
      <c r="D12" s="549">
        <v>4.2026333090000003</v>
      </c>
      <c r="E12" s="549">
        <v>2.7817741819999999</v>
      </c>
      <c r="F12" s="550">
        <f t="shared" si="0"/>
        <v>0.51077443172560166</v>
      </c>
      <c r="G12" s="138"/>
      <c r="H12" s="25"/>
      <c r="I12" s="3"/>
      <c r="L12" s="847">
        <v>9</v>
      </c>
      <c r="M12" s="848">
        <v>85.13</v>
      </c>
      <c r="N12" s="848">
        <v>206.14</v>
      </c>
      <c r="O12" s="848">
        <v>39.07</v>
      </c>
    </row>
    <row r="13" spans="1:15" ht="11.25" customHeight="1">
      <c r="A13" s="174"/>
      <c r="C13" s="551" t="s">
        <v>152</v>
      </c>
      <c r="D13" s="552">
        <v>18.897916666666667</v>
      </c>
      <c r="E13" s="552">
        <v>13.611559139784946</v>
      </c>
      <c r="F13" s="553">
        <f t="shared" si="0"/>
        <v>0.38837266712748103</v>
      </c>
      <c r="G13" s="138"/>
      <c r="H13" s="23"/>
      <c r="I13" s="3"/>
      <c r="L13" s="847">
        <v>10</v>
      </c>
      <c r="M13" s="848">
        <v>84.78</v>
      </c>
      <c r="N13" s="848">
        <v>270.17</v>
      </c>
      <c r="O13" s="848">
        <v>109.16</v>
      </c>
    </row>
    <row r="14" spans="1:15" ht="11.25" customHeight="1">
      <c r="A14" s="174"/>
      <c r="C14" s="548" t="s">
        <v>253</v>
      </c>
      <c r="D14" s="549">
        <v>21.065783060000001</v>
      </c>
      <c r="E14" s="549">
        <v>22.78056471</v>
      </c>
      <c r="F14" s="550">
        <f t="shared" si="0"/>
        <v>-7.5273886834212683E-2</v>
      </c>
      <c r="G14" s="138"/>
      <c r="H14" s="25"/>
      <c r="I14" s="3"/>
      <c r="L14" s="847">
        <v>11</v>
      </c>
      <c r="M14" s="848">
        <v>84.78</v>
      </c>
      <c r="N14" s="848">
        <v>376.42</v>
      </c>
      <c r="O14" s="848">
        <v>188.18</v>
      </c>
    </row>
    <row r="15" spans="1:15" ht="11.25" customHeight="1">
      <c r="A15" s="174"/>
      <c r="C15" s="551" t="s">
        <v>254</v>
      </c>
      <c r="D15" s="552">
        <v>56.075666939999998</v>
      </c>
      <c r="E15" s="552">
        <v>42.263386879999999</v>
      </c>
      <c r="F15" s="553">
        <f t="shared" si="0"/>
        <v>0.32681432037658786</v>
      </c>
      <c r="G15" s="138"/>
      <c r="H15" s="25"/>
      <c r="I15" s="3"/>
      <c r="K15" s="432">
        <v>12</v>
      </c>
      <c r="L15" s="847">
        <v>12</v>
      </c>
      <c r="M15" s="848">
        <v>106.16</v>
      </c>
      <c r="N15" s="848">
        <v>351.57</v>
      </c>
      <c r="O15" s="848">
        <v>159.6</v>
      </c>
    </row>
    <row r="16" spans="1:15" ht="11.25" customHeight="1">
      <c r="A16" s="174"/>
      <c r="C16" s="548" t="s">
        <v>159</v>
      </c>
      <c r="D16" s="549">
        <v>15.31813313</v>
      </c>
      <c r="E16" s="549">
        <v>11.923354890000001</v>
      </c>
      <c r="F16" s="550">
        <f t="shared" si="0"/>
        <v>0.28471669855664244</v>
      </c>
      <c r="G16" s="138"/>
      <c r="H16" s="25"/>
      <c r="I16" s="3"/>
      <c r="L16" s="847">
        <v>13</v>
      </c>
      <c r="M16" s="848">
        <v>101.71</v>
      </c>
      <c r="N16" s="848">
        <v>384.37</v>
      </c>
      <c r="O16" s="848">
        <v>161.77000000000001</v>
      </c>
    </row>
    <row r="17" spans="1:17" ht="11.25" customHeight="1">
      <c r="A17" s="174"/>
      <c r="C17" s="551" t="s">
        <v>163</v>
      </c>
      <c r="D17" s="552">
        <v>10.46859999</v>
      </c>
      <c r="E17" s="552">
        <v>8.7076774869999998</v>
      </c>
      <c r="F17" s="553">
        <f t="shared" si="0"/>
        <v>0.20222642669402299</v>
      </c>
      <c r="G17" s="138"/>
      <c r="H17" s="25"/>
      <c r="I17" s="3"/>
      <c r="L17" s="847">
        <v>14</v>
      </c>
      <c r="M17" s="848">
        <v>83.1</v>
      </c>
      <c r="N17" s="848">
        <v>337.84</v>
      </c>
      <c r="O17" s="848">
        <v>115.43</v>
      </c>
    </row>
    <row r="18" spans="1:17" ht="11.25" customHeight="1">
      <c r="A18" s="174"/>
      <c r="C18" s="548" t="s">
        <v>255</v>
      </c>
      <c r="D18" s="549">
        <v>11.98102868</v>
      </c>
      <c r="E18" s="549">
        <v>12.04506514</v>
      </c>
      <c r="F18" s="550">
        <f t="shared" si="0"/>
        <v>-5.3164062838767278E-3</v>
      </c>
      <c r="G18" s="138"/>
      <c r="H18" s="25"/>
      <c r="I18" s="3"/>
      <c r="L18" s="847">
        <v>15</v>
      </c>
      <c r="M18" s="848">
        <v>61.23</v>
      </c>
      <c r="N18" s="848">
        <v>282.32</v>
      </c>
      <c r="O18" s="848">
        <v>98.92</v>
      </c>
    </row>
    <row r="19" spans="1:17" ht="11.25" customHeight="1">
      <c r="A19" s="174"/>
      <c r="C19" s="551" t="s">
        <v>256</v>
      </c>
      <c r="D19" s="552">
        <v>16.266442152777778</v>
      </c>
      <c r="E19" s="552">
        <v>13.075815819892478</v>
      </c>
      <c r="F19" s="553">
        <f t="shared" si="0"/>
        <v>0.24400973345245056</v>
      </c>
      <c r="G19" s="138"/>
      <c r="H19" s="25"/>
      <c r="I19" s="3"/>
      <c r="K19" s="432">
        <v>16</v>
      </c>
      <c r="L19" s="847">
        <v>16</v>
      </c>
      <c r="M19" s="848">
        <v>49.8</v>
      </c>
      <c r="N19" s="848">
        <v>191.65</v>
      </c>
      <c r="O19" s="848">
        <v>82.48</v>
      </c>
      <c r="Q19" s="730"/>
    </row>
    <row r="20" spans="1:17" ht="11.25" customHeight="1">
      <c r="A20" s="174"/>
      <c r="C20" s="548" t="s">
        <v>257</v>
      </c>
      <c r="D20" s="549">
        <v>1.4577000019999999</v>
      </c>
      <c r="E20" s="549">
        <v>1.377290313</v>
      </c>
      <c r="F20" s="550">
        <f t="shared" si="0"/>
        <v>5.838252708308992E-2</v>
      </c>
      <c r="G20" s="138"/>
      <c r="H20" s="25"/>
      <c r="I20" s="3"/>
      <c r="L20" s="847">
        <v>17</v>
      </c>
      <c r="M20" s="848">
        <v>40.21</v>
      </c>
      <c r="N20" s="848">
        <v>160.35</v>
      </c>
      <c r="O20" s="848">
        <v>77.02</v>
      </c>
    </row>
    <row r="21" spans="1:17" ht="11.25" customHeight="1">
      <c r="A21" s="174"/>
      <c r="C21" s="551" t="s">
        <v>150</v>
      </c>
      <c r="D21" s="552">
        <v>101.1574336</v>
      </c>
      <c r="E21" s="552">
        <v>100.2985161</v>
      </c>
      <c r="F21" s="553">
        <f t="shared" si="0"/>
        <v>8.5636112417021484E-3</v>
      </c>
      <c r="G21" s="138"/>
      <c r="H21" s="25"/>
      <c r="I21" s="3"/>
      <c r="L21" s="847">
        <v>18</v>
      </c>
      <c r="M21" s="848">
        <v>43.46</v>
      </c>
      <c r="N21" s="848">
        <v>136.65</v>
      </c>
      <c r="O21" s="848">
        <v>62.63</v>
      </c>
    </row>
    <row r="22" spans="1:17" ht="11.25" customHeight="1">
      <c r="A22" s="174"/>
      <c r="C22" s="548" t="s">
        <v>148</v>
      </c>
      <c r="D22" s="549">
        <v>0.15000000599999999</v>
      </c>
      <c r="E22" s="549">
        <v>0.63670967499999997</v>
      </c>
      <c r="F22" s="550">
        <f t="shared" si="0"/>
        <v>-0.76441381073720926</v>
      </c>
      <c r="G22" s="138"/>
      <c r="H22" s="25"/>
      <c r="I22" s="3"/>
      <c r="L22" s="847">
        <v>19</v>
      </c>
      <c r="M22" s="848">
        <v>35.65</v>
      </c>
      <c r="N22" s="848">
        <v>135.97</v>
      </c>
      <c r="O22" s="848">
        <v>93.03</v>
      </c>
    </row>
    <row r="23" spans="1:17" ht="11.25" customHeight="1">
      <c r="A23" s="174"/>
      <c r="C23" s="551" t="s">
        <v>149</v>
      </c>
      <c r="D23" s="552">
        <v>20.796033019999999</v>
      </c>
      <c r="E23" s="552">
        <v>24.563386550000001</v>
      </c>
      <c r="F23" s="553">
        <f t="shared" si="0"/>
        <v>-0.15337272498364038</v>
      </c>
      <c r="G23" s="138"/>
      <c r="H23" s="25"/>
      <c r="I23" s="3"/>
      <c r="K23" s="432">
        <v>20</v>
      </c>
      <c r="L23" s="847">
        <v>20</v>
      </c>
      <c r="M23" s="848">
        <v>26.22</v>
      </c>
      <c r="N23" s="848">
        <v>135.66</v>
      </c>
      <c r="O23" s="848">
        <v>72.349999999999994</v>
      </c>
    </row>
    <row r="24" spans="1:17" ht="11.25" customHeight="1">
      <c r="A24" s="174"/>
      <c r="C24" s="548" t="s">
        <v>165</v>
      </c>
      <c r="D24" s="549">
        <v>5.824700022</v>
      </c>
      <c r="E24" s="549">
        <v>6.0201290649999999</v>
      </c>
      <c r="F24" s="550">
        <f t="shared" si="0"/>
        <v>-3.246260020174499E-2</v>
      </c>
      <c r="G24" s="138"/>
      <c r="H24" s="26"/>
      <c r="I24" s="3"/>
      <c r="L24" s="847">
        <v>21</v>
      </c>
      <c r="M24" s="848">
        <v>27.95</v>
      </c>
      <c r="N24" s="848">
        <v>113.82</v>
      </c>
      <c r="O24" s="848">
        <v>90.75</v>
      </c>
    </row>
    <row r="25" spans="1:17" ht="11.25" customHeight="1">
      <c r="A25" s="138"/>
      <c r="C25" s="551" t="s">
        <v>155</v>
      </c>
      <c r="D25" s="552">
        <v>3.1400003509999999</v>
      </c>
      <c r="E25" s="552">
        <v>12.543430770000001</v>
      </c>
      <c r="F25" s="553">
        <f t="shared" si="0"/>
        <v>-0.74966973481370769</v>
      </c>
      <c r="G25" s="158"/>
      <c r="H25" s="25"/>
      <c r="I25" s="3"/>
      <c r="L25" s="847">
        <v>22</v>
      </c>
      <c r="M25" s="848">
        <v>32.409999999999997</v>
      </c>
      <c r="N25" s="848">
        <v>64.03</v>
      </c>
      <c r="O25" s="848">
        <v>53.02</v>
      </c>
    </row>
    <row r="26" spans="1:17" ht="11.25" customHeight="1">
      <c r="A26" s="175"/>
      <c r="C26" s="548" t="s">
        <v>156</v>
      </c>
      <c r="D26" s="549">
        <v>0.86193333400000005</v>
      </c>
      <c r="E26" s="549">
        <v>3.0457096950000002</v>
      </c>
      <c r="F26" s="550">
        <f t="shared" si="0"/>
        <v>-0.71700082400663601</v>
      </c>
      <c r="G26" s="138"/>
      <c r="H26" s="23"/>
      <c r="I26" s="3"/>
      <c r="L26" s="847">
        <v>23</v>
      </c>
      <c r="M26" s="848">
        <v>28.93</v>
      </c>
      <c r="N26" s="848">
        <v>53.15</v>
      </c>
      <c r="O26" s="848">
        <v>32.43</v>
      </c>
    </row>
    <row r="27" spans="1:17" ht="11.25" customHeight="1">
      <c r="A27" s="138"/>
      <c r="C27" s="551" t="s">
        <v>157</v>
      </c>
      <c r="D27" s="552">
        <v>2.3466666000000001E-2</v>
      </c>
      <c r="E27" s="552">
        <v>8.4290324E-2</v>
      </c>
      <c r="F27" s="553">
        <f t="shared" si="0"/>
        <v>-0.7215971550898298</v>
      </c>
      <c r="G27" s="138"/>
      <c r="H27" s="23"/>
      <c r="I27" s="3"/>
      <c r="K27" s="432">
        <v>24</v>
      </c>
      <c r="L27" s="847">
        <v>24</v>
      </c>
      <c r="M27" s="848">
        <v>26.59</v>
      </c>
      <c r="N27" s="848">
        <v>45.98</v>
      </c>
      <c r="O27" s="848">
        <v>27.75</v>
      </c>
    </row>
    <row r="28" spans="1:17" ht="11.25" customHeight="1">
      <c r="A28" s="138"/>
      <c r="C28" s="548" t="s">
        <v>158</v>
      </c>
      <c r="D28" s="549">
        <v>0</v>
      </c>
      <c r="E28" s="549">
        <v>0</v>
      </c>
      <c r="F28" s="550" t="str">
        <f t="shared" si="0"/>
        <v/>
      </c>
      <c r="G28" s="138"/>
      <c r="H28" s="23"/>
      <c r="I28" s="3"/>
      <c r="L28" s="847">
        <v>25</v>
      </c>
      <c r="M28" s="848">
        <v>23.61</v>
      </c>
      <c r="N28" s="848">
        <v>38.68</v>
      </c>
      <c r="O28" s="848">
        <v>24.81</v>
      </c>
    </row>
    <row r="29" spans="1:17" ht="11.25" customHeight="1">
      <c r="A29" s="158"/>
      <c r="C29" s="551" t="s">
        <v>160</v>
      </c>
      <c r="D29" s="552">
        <v>4.0029960000000004</v>
      </c>
      <c r="E29" s="552">
        <v>2.3586542449999999</v>
      </c>
      <c r="F29" s="553">
        <f t="shared" si="0"/>
        <v>0.6971525218186444</v>
      </c>
      <c r="G29" s="176"/>
      <c r="H29" s="23"/>
      <c r="I29" s="3"/>
      <c r="L29" s="847">
        <v>26</v>
      </c>
      <c r="M29" s="848">
        <v>24.94</v>
      </c>
      <c r="N29" s="848">
        <v>34.68</v>
      </c>
      <c r="O29" s="848">
        <v>21.81</v>
      </c>
    </row>
    <row r="30" spans="1:17" ht="11.25" customHeight="1">
      <c r="A30" s="175"/>
      <c r="C30" s="554" t="s">
        <v>151</v>
      </c>
      <c r="D30" s="555">
        <v>1.20625</v>
      </c>
      <c r="E30" s="555">
        <v>2.269489247311828</v>
      </c>
      <c r="F30" s="556">
        <f t="shared" si="0"/>
        <v>-0.46849274503997629</v>
      </c>
      <c r="G30" s="138"/>
      <c r="H30" s="25"/>
      <c r="I30" s="3"/>
      <c r="L30" s="847">
        <v>27</v>
      </c>
      <c r="M30" s="848">
        <v>25.54</v>
      </c>
      <c r="N30" s="848">
        <v>31.72</v>
      </c>
      <c r="O30" s="848">
        <v>18.649999999999999</v>
      </c>
    </row>
    <row r="31" spans="1:17" ht="11.25" customHeight="1">
      <c r="A31" s="137"/>
      <c r="C31" s="268" t="str">
        <f>"Cuadro N°10: Promedio de caudales en "&amp;'1. Resumen'!Q4</f>
        <v>Cuadro N°10: Promedio de caudales en julio</v>
      </c>
      <c r="D31" s="137"/>
      <c r="E31" s="137"/>
      <c r="F31" s="137"/>
      <c r="G31" s="137"/>
      <c r="H31" s="25"/>
      <c r="I31" s="6"/>
      <c r="K31" s="432">
        <v>28</v>
      </c>
      <c r="L31" s="847">
        <v>28</v>
      </c>
      <c r="M31" s="848">
        <v>23.56</v>
      </c>
      <c r="N31" s="848">
        <v>29.25</v>
      </c>
      <c r="O31" s="848">
        <v>14.27</v>
      </c>
    </row>
    <row r="32" spans="1:17" ht="11.25" customHeight="1">
      <c r="A32" s="137"/>
      <c r="B32" s="137"/>
      <c r="C32" s="137"/>
      <c r="D32" s="137"/>
      <c r="E32" s="137"/>
      <c r="F32" s="137"/>
      <c r="G32" s="137"/>
      <c r="H32" s="25"/>
      <c r="I32" s="6"/>
      <c r="L32" s="847">
        <v>29</v>
      </c>
      <c r="M32" s="848">
        <v>22.4</v>
      </c>
      <c r="N32" s="848">
        <v>29.53</v>
      </c>
      <c r="O32" s="848">
        <v>11.51</v>
      </c>
    </row>
    <row r="33" spans="1:15" ht="11.25" customHeight="1">
      <c r="A33" s="137"/>
      <c r="B33" s="137"/>
      <c r="C33" s="137"/>
      <c r="D33" s="137"/>
      <c r="E33" s="137"/>
      <c r="F33" s="137"/>
      <c r="G33" s="137"/>
      <c r="H33" s="25"/>
      <c r="I33" s="6"/>
      <c r="L33" s="847">
        <v>30</v>
      </c>
      <c r="M33" s="848">
        <v>21.29</v>
      </c>
      <c r="N33" s="848">
        <v>27.62</v>
      </c>
      <c r="O33" s="848">
        <v>9.7200000000000006</v>
      </c>
    </row>
    <row r="34" spans="1:15" ht="11.25" customHeight="1">
      <c r="A34" s="137"/>
      <c r="B34" s="137"/>
      <c r="C34" s="137"/>
      <c r="D34" s="137"/>
      <c r="E34" s="137"/>
      <c r="F34" s="137"/>
      <c r="G34" s="137"/>
      <c r="H34" s="25"/>
      <c r="I34" s="6"/>
      <c r="L34" s="847">
        <v>31</v>
      </c>
      <c r="M34" s="848">
        <v>19.34</v>
      </c>
      <c r="N34" s="848">
        <v>27.99</v>
      </c>
      <c r="O34" s="848">
        <v>8.09</v>
      </c>
    </row>
    <row r="35" spans="1:15" ht="17.25" customHeight="1">
      <c r="A35" s="968" t="s">
        <v>385</v>
      </c>
      <c r="B35" s="968"/>
      <c r="C35" s="968"/>
      <c r="D35" s="968"/>
      <c r="E35" s="968"/>
      <c r="F35" s="968"/>
      <c r="G35" s="968"/>
      <c r="H35" s="25"/>
      <c r="I35" s="6"/>
      <c r="K35" s="432">
        <v>32</v>
      </c>
      <c r="L35" s="847">
        <v>32</v>
      </c>
      <c r="M35" s="848">
        <v>19.649999999999999</v>
      </c>
      <c r="N35" s="848">
        <v>31.42</v>
      </c>
      <c r="O35" s="848">
        <v>7.62</v>
      </c>
    </row>
    <row r="36" spans="1:15" ht="11.25" customHeight="1">
      <c r="A36" s="137"/>
      <c r="B36" s="137"/>
      <c r="C36" s="137"/>
      <c r="D36" s="137"/>
      <c r="E36" s="137"/>
      <c r="F36" s="137"/>
      <c r="G36" s="137"/>
      <c r="H36" s="25"/>
      <c r="I36" s="6"/>
      <c r="L36" s="847">
        <v>33</v>
      </c>
      <c r="M36" s="848">
        <v>18.420000000000002</v>
      </c>
      <c r="N36" s="848">
        <v>29.71</v>
      </c>
      <c r="O36" s="848">
        <v>9.5500000000000007</v>
      </c>
    </row>
    <row r="37" spans="1:15" ht="11.25" customHeight="1">
      <c r="A37" s="136"/>
      <c r="B37" s="138"/>
      <c r="C37" s="138"/>
      <c r="D37" s="138"/>
      <c r="E37" s="138"/>
      <c r="F37" s="138"/>
      <c r="G37" s="138"/>
      <c r="H37" s="26"/>
      <c r="I37" s="6"/>
      <c r="L37" s="847">
        <v>34</v>
      </c>
      <c r="M37" s="848">
        <v>17.170000000000002</v>
      </c>
      <c r="N37" s="848">
        <v>30.51</v>
      </c>
      <c r="O37" s="848">
        <v>10.75</v>
      </c>
    </row>
    <row r="38" spans="1:15" ht="11.25" customHeight="1">
      <c r="A38" s="74"/>
      <c r="B38" s="73"/>
      <c r="C38" s="73"/>
      <c r="D38" s="73"/>
      <c r="E38" s="73"/>
      <c r="F38" s="73"/>
      <c r="G38" s="73"/>
      <c r="H38" s="3"/>
      <c r="I38" s="6"/>
      <c r="L38" s="847">
        <v>35</v>
      </c>
      <c r="M38" s="848">
        <v>17.47</v>
      </c>
      <c r="N38" s="848">
        <v>27.5</v>
      </c>
      <c r="O38" s="848">
        <v>8.31</v>
      </c>
    </row>
    <row r="39" spans="1:15" ht="11.25" customHeight="1">
      <c r="A39" s="74"/>
      <c r="B39" s="73"/>
      <c r="C39" s="73"/>
      <c r="D39" s="73"/>
      <c r="E39" s="73"/>
      <c r="F39" s="73"/>
      <c r="G39" s="73"/>
      <c r="H39" s="3"/>
      <c r="I39" s="10"/>
      <c r="K39" s="432">
        <v>36</v>
      </c>
      <c r="L39" s="847">
        <v>36</v>
      </c>
      <c r="M39" s="848">
        <v>13.42</v>
      </c>
      <c r="N39" s="848">
        <v>26.21</v>
      </c>
      <c r="O39" s="848">
        <v>6.53</v>
      </c>
    </row>
    <row r="40" spans="1:15" ht="11.25" customHeight="1">
      <c r="A40" s="74"/>
      <c r="B40" s="73"/>
      <c r="C40" s="73"/>
      <c r="D40" s="73"/>
      <c r="E40" s="73"/>
      <c r="F40" s="73"/>
      <c r="G40" s="73"/>
      <c r="H40" s="3"/>
      <c r="I40" s="10"/>
      <c r="L40" s="847">
        <v>37</v>
      </c>
      <c r="M40" s="848">
        <v>11.2</v>
      </c>
      <c r="N40" s="848">
        <v>29.98</v>
      </c>
      <c r="O40" s="848">
        <v>9.7799999999999994</v>
      </c>
    </row>
    <row r="41" spans="1:15" ht="11.25" customHeight="1">
      <c r="A41" s="74"/>
      <c r="B41" s="73"/>
      <c r="C41" s="73"/>
      <c r="D41" s="73"/>
      <c r="E41" s="73"/>
      <c r="F41" s="73"/>
      <c r="G41" s="73"/>
      <c r="H41" s="3"/>
      <c r="I41" s="7"/>
      <c r="L41" s="847">
        <v>38</v>
      </c>
      <c r="M41" s="848">
        <v>11</v>
      </c>
      <c r="N41" s="848">
        <v>34.369999999999997</v>
      </c>
      <c r="O41" s="848">
        <v>7.47</v>
      </c>
    </row>
    <row r="42" spans="1:15" ht="11.25" customHeight="1">
      <c r="A42" s="74"/>
      <c r="B42" s="73"/>
      <c r="C42" s="73"/>
      <c r="D42" s="73"/>
      <c r="E42" s="73"/>
      <c r="F42" s="73"/>
      <c r="G42" s="73"/>
      <c r="H42" s="3"/>
      <c r="I42" s="7"/>
      <c r="K42" s="432">
        <v>39</v>
      </c>
      <c r="L42" s="847">
        <v>39</v>
      </c>
      <c r="M42" s="848">
        <v>11.14</v>
      </c>
      <c r="N42" s="848">
        <v>42.17</v>
      </c>
      <c r="O42" s="848">
        <v>7.49</v>
      </c>
    </row>
    <row r="43" spans="1:15" ht="11.25" customHeight="1">
      <c r="A43" s="74"/>
      <c r="B43" s="73"/>
      <c r="C43" s="73"/>
      <c r="D43" s="73"/>
      <c r="E43" s="73"/>
      <c r="F43" s="73"/>
      <c r="G43" s="73"/>
      <c r="H43" s="3"/>
      <c r="I43" s="7"/>
      <c r="L43" s="847">
        <v>40</v>
      </c>
      <c r="M43" s="848">
        <v>12.8</v>
      </c>
      <c r="N43" s="848">
        <v>37.270000000000003</v>
      </c>
      <c r="O43" s="848">
        <v>15.47</v>
      </c>
    </row>
    <row r="44" spans="1:15" ht="11.25" customHeight="1">
      <c r="A44" s="74"/>
      <c r="B44" s="73"/>
      <c r="C44" s="73"/>
      <c r="D44" s="73"/>
      <c r="E44" s="73"/>
      <c r="F44" s="73"/>
      <c r="G44" s="73"/>
      <c r="H44" s="6"/>
      <c r="I44" s="10"/>
      <c r="L44" s="847">
        <v>41</v>
      </c>
      <c r="M44" s="848">
        <v>14.41</v>
      </c>
      <c r="N44" s="848">
        <v>40.04</v>
      </c>
      <c r="O44" s="848">
        <v>18</v>
      </c>
    </row>
    <row r="45" spans="1:15" ht="11.25" customHeight="1">
      <c r="A45" s="74"/>
      <c r="B45" s="73"/>
      <c r="C45" s="73"/>
      <c r="D45" s="73"/>
      <c r="E45" s="73"/>
      <c r="F45" s="73"/>
      <c r="G45" s="73"/>
      <c r="H45" s="3"/>
      <c r="I45" s="10"/>
      <c r="L45" s="847">
        <v>42</v>
      </c>
      <c r="M45" s="848">
        <v>15.87</v>
      </c>
      <c r="N45" s="848">
        <v>35.79</v>
      </c>
      <c r="O45" s="848">
        <v>12.74</v>
      </c>
    </row>
    <row r="46" spans="1:15" ht="11.25" customHeight="1">
      <c r="A46" s="74"/>
      <c r="B46" s="73"/>
      <c r="C46" s="73"/>
      <c r="D46" s="73"/>
      <c r="E46" s="73"/>
      <c r="F46" s="73"/>
      <c r="G46" s="73"/>
      <c r="H46" s="3"/>
      <c r="I46" s="10"/>
      <c r="K46" s="432">
        <v>43</v>
      </c>
      <c r="L46" s="847">
        <v>43</v>
      </c>
      <c r="M46" s="848">
        <v>19.61</v>
      </c>
      <c r="N46" s="848">
        <v>50.36</v>
      </c>
      <c r="O46" s="848">
        <v>30.75</v>
      </c>
    </row>
    <row r="47" spans="1:15" ht="11.25" customHeight="1">
      <c r="A47" s="74"/>
      <c r="B47" s="73"/>
      <c r="C47" s="73"/>
      <c r="D47" s="73"/>
      <c r="E47" s="73"/>
      <c r="F47" s="73"/>
      <c r="G47" s="73"/>
      <c r="H47" s="11"/>
      <c r="I47" s="11"/>
      <c r="L47" s="847">
        <v>44</v>
      </c>
      <c r="M47" s="848">
        <v>21.85</v>
      </c>
      <c r="N47" s="848">
        <v>54.94</v>
      </c>
      <c r="O47" s="848">
        <v>23.58</v>
      </c>
    </row>
    <row r="48" spans="1:15" ht="11.25" customHeight="1">
      <c r="A48" s="74"/>
      <c r="B48" s="73"/>
      <c r="C48" s="73"/>
      <c r="D48" s="73"/>
      <c r="E48" s="73"/>
      <c r="F48" s="73"/>
      <c r="G48" s="73"/>
      <c r="H48" s="11"/>
      <c r="I48" s="11"/>
      <c r="L48" s="847">
        <v>45</v>
      </c>
      <c r="M48" s="848">
        <v>16.79</v>
      </c>
      <c r="N48" s="848">
        <v>41.16</v>
      </c>
      <c r="O48" s="848">
        <v>11.77</v>
      </c>
    </row>
    <row r="49" spans="1:15" ht="11.25" customHeight="1">
      <c r="A49" s="74"/>
      <c r="B49" s="73"/>
      <c r="C49" s="73"/>
      <c r="D49" s="73"/>
      <c r="E49" s="73"/>
      <c r="F49" s="73"/>
      <c r="G49" s="73"/>
      <c r="H49" s="11"/>
      <c r="I49" s="11"/>
      <c r="L49" s="847">
        <v>46</v>
      </c>
      <c r="M49" s="848">
        <v>16.010000000000002</v>
      </c>
      <c r="N49" s="848">
        <v>42.65</v>
      </c>
      <c r="O49" s="848">
        <v>9.33</v>
      </c>
    </row>
    <row r="50" spans="1:15" ht="11.25" customHeight="1">
      <c r="A50" s="74"/>
      <c r="B50" s="73"/>
      <c r="C50" s="73"/>
      <c r="D50" s="73"/>
      <c r="E50" s="73"/>
      <c r="F50" s="73"/>
      <c r="G50" s="73"/>
      <c r="H50" s="11"/>
      <c r="I50" s="11"/>
      <c r="L50" s="847">
        <v>47</v>
      </c>
      <c r="M50" s="848">
        <v>14.72</v>
      </c>
      <c r="N50" s="848">
        <v>39.76</v>
      </c>
      <c r="O50" s="848">
        <v>8.19</v>
      </c>
    </row>
    <row r="51" spans="1:15" ht="11.25" customHeight="1">
      <c r="A51" s="74"/>
      <c r="B51" s="73"/>
      <c r="C51" s="73"/>
      <c r="D51" s="73"/>
      <c r="E51" s="73"/>
      <c r="F51" s="73"/>
      <c r="G51" s="73"/>
      <c r="H51" s="11"/>
      <c r="I51" s="11"/>
      <c r="K51" s="432">
        <v>48</v>
      </c>
      <c r="L51" s="847">
        <v>48</v>
      </c>
      <c r="M51" s="848">
        <v>18.932000297142856</v>
      </c>
      <c r="N51" s="848">
        <v>47.388000487142854</v>
      </c>
      <c r="O51" s="848">
        <v>19.661285946</v>
      </c>
    </row>
    <row r="52" spans="1:15" ht="11.25" customHeight="1">
      <c r="A52" s="74"/>
      <c r="B52" s="73"/>
      <c r="C52" s="73"/>
      <c r="D52" s="73"/>
      <c r="E52" s="73"/>
      <c r="F52" s="73"/>
      <c r="G52" s="73"/>
      <c r="H52" s="11"/>
      <c r="I52" s="11"/>
      <c r="L52" s="847">
        <v>49</v>
      </c>
      <c r="M52" s="848">
        <v>28.48371397</v>
      </c>
      <c r="N52" s="848">
        <v>78.087428497142852</v>
      </c>
      <c r="O52" s="848">
        <v>19.181428364285715</v>
      </c>
    </row>
    <row r="53" spans="1:15" ht="11.25" customHeight="1">
      <c r="A53" s="74"/>
      <c r="B53" s="73"/>
      <c r="C53" s="73"/>
      <c r="D53" s="73"/>
      <c r="E53" s="73"/>
      <c r="F53" s="73"/>
      <c r="G53" s="73"/>
      <c r="H53" s="11"/>
      <c r="I53" s="11"/>
      <c r="L53" s="847">
        <v>50</v>
      </c>
      <c r="M53" s="848">
        <v>32.583286012857144</v>
      </c>
      <c r="N53" s="848">
        <v>69.764142717142846</v>
      </c>
      <c r="O53" s="848">
        <v>23.7245715</v>
      </c>
    </row>
    <row r="54" spans="1:15" ht="11.25" customHeight="1">
      <c r="A54" s="74"/>
      <c r="B54" s="73"/>
      <c r="C54" s="73"/>
      <c r="D54" s="73"/>
      <c r="E54" s="73"/>
      <c r="F54" s="73"/>
      <c r="G54" s="73"/>
      <c r="H54" s="11"/>
      <c r="I54" s="11"/>
      <c r="L54" s="847">
        <v>51</v>
      </c>
      <c r="M54" s="848">
        <v>34.501856668571428</v>
      </c>
      <c r="N54" s="848">
        <v>71.14499991142857</v>
      </c>
      <c r="O54" s="848">
        <v>26.158142907142857</v>
      </c>
    </row>
    <row r="55" spans="1:15" ht="13.2">
      <c r="A55" s="74"/>
      <c r="B55" s="73"/>
      <c r="C55" s="73"/>
      <c r="D55" s="73"/>
      <c r="E55" s="73"/>
      <c r="F55" s="73"/>
      <c r="G55" s="73"/>
      <c r="H55" s="11"/>
      <c r="I55" s="11"/>
      <c r="K55" s="432">
        <v>52</v>
      </c>
      <c r="L55" s="847">
        <v>52</v>
      </c>
      <c r="M55" s="848">
        <v>27.781857355714287</v>
      </c>
      <c r="N55" s="848">
        <v>83.196000228571435</v>
      </c>
      <c r="O55" s="848">
        <v>21.776999882857144</v>
      </c>
    </row>
    <row r="56" spans="1:15" ht="13.2">
      <c r="A56" s="74"/>
      <c r="B56" s="73"/>
      <c r="C56" s="73"/>
      <c r="D56" s="73"/>
      <c r="E56" s="73"/>
      <c r="F56" s="73"/>
      <c r="G56" s="73"/>
      <c r="H56" s="11"/>
      <c r="I56" s="11"/>
      <c r="J56" s="111">
        <v>2018</v>
      </c>
      <c r="K56" s="432">
        <v>1</v>
      </c>
      <c r="L56" s="847">
        <v>1</v>
      </c>
      <c r="M56" s="848">
        <v>29.44</v>
      </c>
      <c r="N56" s="848">
        <v>69.087142857142865</v>
      </c>
      <c r="O56" s="848">
        <v>15.747142857142856</v>
      </c>
    </row>
    <row r="57" spans="1:15" ht="13.2">
      <c r="A57" s="74"/>
      <c r="B57" s="73"/>
      <c r="C57" s="73"/>
      <c r="D57" s="73"/>
      <c r="E57" s="73"/>
      <c r="F57" s="73"/>
      <c r="G57" s="73"/>
      <c r="H57" s="11"/>
      <c r="I57" s="11"/>
      <c r="L57" s="847">
        <v>2</v>
      </c>
      <c r="M57" s="848">
        <v>42.880857194285717</v>
      </c>
      <c r="N57" s="848">
        <v>96.785858138571413</v>
      </c>
      <c r="O57" s="848">
        <v>37.6</v>
      </c>
    </row>
    <row r="58" spans="1:15" ht="13.2">
      <c r="A58" s="74"/>
      <c r="B58" s="73"/>
      <c r="C58" s="73"/>
      <c r="D58" s="73"/>
      <c r="E58" s="73"/>
      <c r="F58" s="73"/>
      <c r="G58" s="73"/>
      <c r="H58" s="11"/>
      <c r="I58" s="11"/>
      <c r="L58" s="847">
        <v>3</v>
      </c>
      <c r="M58" s="848">
        <v>74.002572194285705</v>
      </c>
      <c r="N58" s="848">
        <v>158.17728531428571</v>
      </c>
      <c r="O58" s="848">
        <v>101.26128550142856</v>
      </c>
    </row>
    <row r="59" spans="1:15" ht="13.2">
      <c r="A59" s="74"/>
      <c r="B59" s="73"/>
      <c r="C59" s="73"/>
      <c r="D59" s="73"/>
      <c r="E59" s="73"/>
      <c r="F59" s="73"/>
      <c r="G59" s="73"/>
      <c r="H59" s="11"/>
      <c r="I59" s="11"/>
      <c r="K59" s="432">
        <v>4</v>
      </c>
      <c r="L59" s="847">
        <v>4</v>
      </c>
      <c r="M59" s="848">
        <v>77.812570845714291</v>
      </c>
      <c r="N59" s="848">
        <v>167.02357267142858</v>
      </c>
      <c r="O59" s="848">
        <v>77.354000085714276</v>
      </c>
    </row>
    <row r="60" spans="1:15" ht="13.2">
      <c r="A60" s="74"/>
      <c r="B60" s="73"/>
      <c r="C60" s="73"/>
      <c r="D60" s="73"/>
      <c r="E60" s="73"/>
      <c r="F60" s="73"/>
      <c r="G60" s="73"/>
      <c r="H60" s="11"/>
      <c r="I60" s="11"/>
      <c r="L60" s="847">
        <v>5</v>
      </c>
      <c r="M60" s="848">
        <v>61.531714848571433</v>
      </c>
      <c r="N60" s="848">
        <v>113.19585745142855</v>
      </c>
      <c r="O60" s="848">
        <v>30.667142595714285</v>
      </c>
    </row>
    <row r="61" spans="1:15" ht="13.2">
      <c r="A61" s="268" t="s">
        <v>472</v>
      </c>
      <c r="B61" s="73"/>
      <c r="C61" s="73"/>
      <c r="D61" s="73"/>
      <c r="E61" s="73"/>
      <c r="F61" s="73"/>
      <c r="G61" s="73"/>
      <c r="H61" s="11"/>
      <c r="I61" s="11"/>
      <c r="L61" s="847">
        <v>6</v>
      </c>
      <c r="M61" s="848">
        <v>54.024142672857138</v>
      </c>
      <c r="N61" s="848">
        <v>88.535714287142852</v>
      </c>
      <c r="O61" s="848">
        <v>32.444142750000005</v>
      </c>
    </row>
    <row r="62" spans="1:15">
      <c r="L62" s="847">
        <v>7</v>
      </c>
      <c r="M62" s="848">
        <v>59.271427155714285</v>
      </c>
      <c r="N62" s="848">
        <v>99.37822619047617</v>
      </c>
      <c r="O62" s="848">
        <v>30.338148809523812</v>
      </c>
    </row>
    <row r="63" spans="1:15">
      <c r="K63" s="432">
        <v>8</v>
      </c>
      <c r="L63" s="847">
        <v>8</v>
      </c>
      <c r="M63" s="848">
        <v>78.025571005714284</v>
      </c>
      <c r="N63" s="848">
        <v>140.28</v>
      </c>
      <c r="O63" s="848">
        <v>62.97</v>
      </c>
    </row>
    <row r="64" spans="1:15">
      <c r="L64" s="847">
        <v>9</v>
      </c>
      <c r="M64" s="848">
        <v>61.11871501571428</v>
      </c>
      <c r="N64" s="848">
        <v>102.99642836285715</v>
      </c>
      <c r="O64" s="848">
        <v>31.244571685714288</v>
      </c>
    </row>
    <row r="65" spans="11:15">
      <c r="L65" s="847">
        <v>10</v>
      </c>
      <c r="M65" s="848">
        <v>84.500714981428573</v>
      </c>
      <c r="N65" s="848">
        <v>175.90485927142853</v>
      </c>
      <c r="O65" s="848">
        <v>36.038285662857142</v>
      </c>
    </row>
    <row r="66" spans="11:15">
      <c r="L66" s="847">
        <v>11</v>
      </c>
      <c r="M66" s="848">
        <v>83.643855504285725</v>
      </c>
      <c r="N66" s="848">
        <v>169.64671761428571</v>
      </c>
      <c r="O66" s="848">
        <v>25.076428275714282</v>
      </c>
    </row>
    <row r="67" spans="11:15">
      <c r="K67" s="432">
        <v>12</v>
      </c>
      <c r="L67" s="847">
        <v>12</v>
      </c>
      <c r="M67" s="848">
        <v>98.99</v>
      </c>
      <c r="N67" s="848">
        <v>198.22</v>
      </c>
      <c r="O67" s="848">
        <v>24.63</v>
      </c>
    </row>
    <row r="68" spans="11:15">
      <c r="L68" s="847">
        <v>13</v>
      </c>
      <c r="M68" s="848">
        <v>106.64928652857144</v>
      </c>
      <c r="N68" s="848">
        <v>312.6314304857143</v>
      </c>
      <c r="O68" s="848">
        <v>38.701428550000003</v>
      </c>
    </row>
    <row r="69" spans="11:15">
      <c r="L69" s="847">
        <v>14</v>
      </c>
      <c r="M69" s="848">
        <v>86.488428389999996</v>
      </c>
      <c r="N69" s="848">
        <v>235.31328691428573</v>
      </c>
      <c r="O69" s="848">
        <v>94.596427907142839</v>
      </c>
    </row>
    <row r="70" spans="11:15">
      <c r="L70" s="847">
        <v>15</v>
      </c>
      <c r="M70" s="848">
        <v>88.217001778571429</v>
      </c>
      <c r="N70" s="848">
        <v>294.1721409428572</v>
      </c>
      <c r="O70" s="848">
        <v>92.07</v>
      </c>
    </row>
    <row r="71" spans="11:15">
      <c r="K71" s="432">
        <v>16</v>
      </c>
      <c r="L71" s="847">
        <v>16</v>
      </c>
      <c r="M71" s="848">
        <v>65.84</v>
      </c>
      <c r="N71" s="848">
        <v>149.18</v>
      </c>
      <c r="O71" s="848">
        <v>45.4</v>
      </c>
    </row>
    <row r="72" spans="11:15">
      <c r="L72" s="847">
        <v>17</v>
      </c>
      <c r="M72" s="848">
        <v>51.88</v>
      </c>
      <c r="N72" s="848">
        <v>104.35</v>
      </c>
      <c r="O72" s="848">
        <v>41.47</v>
      </c>
    </row>
    <row r="73" spans="11:15">
      <c r="L73" s="847">
        <v>18</v>
      </c>
      <c r="M73" s="848">
        <v>49.672285897142856</v>
      </c>
      <c r="N73" s="848">
        <v>78.038143701428567</v>
      </c>
      <c r="O73" s="848">
        <v>65.800999782857133</v>
      </c>
    </row>
    <row r="74" spans="11:15">
      <c r="L74" s="847">
        <v>19</v>
      </c>
      <c r="M74" s="848">
        <v>45.203000204285708</v>
      </c>
      <c r="N74" s="848">
        <v>78.313856942857129</v>
      </c>
      <c r="O74" s="848">
        <v>75.104713441428572</v>
      </c>
    </row>
    <row r="75" spans="11:15">
      <c r="K75" s="432">
        <v>20</v>
      </c>
      <c r="L75" s="847">
        <v>20</v>
      </c>
      <c r="M75" s="848">
        <v>37.385857718571437</v>
      </c>
      <c r="N75" s="848">
        <v>130.92628696285712</v>
      </c>
      <c r="O75" s="848">
        <v>97.861000055714285</v>
      </c>
    </row>
    <row r="76" spans="11:15">
      <c r="L76" s="847">
        <v>21</v>
      </c>
      <c r="M76" s="848">
        <v>31.609713962857143</v>
      </c>
      <c r="N76" s="848">
        <v>64.449287412857146</v>
      </c>
      <c r="O76" s="848">
        <v>107.7964292242857</v>
      </c>
    </row>
    <row r="77" spans="11:15">
      <c r="L77" s="847">
        <v>22</v>
      </c>
      <c r="M77" s="848">
        <v>23.360142844285715</v>
      </c>
      <c r="N77" s="848">
        <v>64.449287412857146</v>
      </c>
      <c r="O77" s="848">
        <v>107.7964292242857</v>
      </c>
    </row>
    <row r="78" spans="11:15">
      <c r="L78" s="847">
        <v>23</v>
      </c>
      <c r="M78" s="848">
        <v>22.118571418571431</v>
      </c>
      <c r="N78" s="848">
        <v>39.50100054</v>
      </c>
      <c r="O78" s="848">
        <v>35.176713670000005</v>
      </c>
    </row>
    <row r="79" spans="11:15">
      <c r="K79" s="432">
        <v>24</v>
      </c>
      <c r="L79" s="847">
        <v>24</v>
      </c>
      <c r="M79" s="848">
        <v>18.655142918571432</v>
      </c>
      <c r="N79" s="848">
        <v>33.690285274285714</v>
      </c>
      <c r="O79" s="848">
        <v>23.41942841571429</v>
      </c>
    </row>
    <row r="80" spans="11:15">
      <c r="L80" s="847">
        <v>25</v>
      </c>
      <c r="M80" s="848">
        <v>15.664428437142856</v>
      </c>
      <c r="N80" s="848">
        <v>30.228428704285715</v>
      </c>
      <c r="O80" s="848">
        <v>15.98614284142857</v>
      </c>
    </row>
    <row r="81" spans="11:15">
      <c r="L81" s="847">
        <v>26</v>
      </c>
      <c r="M81" s="848">
        <v>13.848143032857147</v>
      </c>
      <c r="N81" s="848">
        <v>27.872285568571431</v>
      </c>
      <c r="O81" s="848">
        <v>14.09042848857143</v>
      </c>
    </row>
    <row r="82" spans="11:15">
      <c r="L82" s="847">
        <v>27</v>
      </c>
      <c r="M82" s="848">
        <v>12.865857259999999</v>
      </c>
      <c r="N82" s="848">
        <v>27.257571358571429</v>
      </c>
      <c r="O82" s="848">
        <v>11.838857105714284</v>
      </c>
    </row>
    <row r="83" spans="11:15">
      <c r="K83" s="432">
        <v>28</v>
      </c>
      <c r="L83" s="847">
        <v>28</v>
      </c>
      <c r="M83" s="848">
        <v>12.915285789999999</v>
      </c>
      <c r="N83" s="848">
        <v>27.217285974285712</v>
      </c>
      <c r="O83" s="848">
        <v>9.7789998731428565</v>
      </c>
    </row>
    <row r="84" spans="11:15">
      <c r="L84" s="847">
        <v>29</v>
      </c>
      <c r="M84" s="848">
        <v>15.908571428571426</v>
      </c>
      <c r="N84" s="848">
        <v>24.955714285714286</v>
      </c>
      <c r="O84" s="848">
        <v>8.4957142857142856</v>
      </c>
    </row>
    <row r="85" spans="11:15">
      <c r="L85" s="847">
        <v>30</v>
      </c>
      <c r="M85" s="848">
        <v>16.584000042857145</v>
      </c>
      <c r="N85" s="848">
        <v>24.80942862142857</v>
      </c>
      <c r="O85" s="848">
        <v>7.807428428142857</v>
      </c>
    </row>
    <row r="86" spans="11:15">
      <c r="L86" s="847">
        <v>31</v>
      </c>
      <c r="M86" s="848">
        <v>18.553000000000001</v>
      </c>
      <c r="N86" s="848">
        <v>25.690999999999999</v>
      </c>
      <c r="O86" s="848">
        <v>7.53</v>
      </c>
    </row>
    <row r="87" spans="11:15">
      <c r="K87" s="432">
        <v>32</v>
      </c>
      <c r="L87" s="847">
        <v>32</v>
      </c>
      <c r="M87" s="848">
        <v>17.769714355714285</v>
      </c>
      <c r="N87" s="848">
        <v>27.630000251428573</v>
      </c>
      <c r="O87" s="848">
        <v>6.4074286734285701</v>
      </c>
    </row>
    <row r="88" spans="11:15">
      <c r="L88" s="847">
        <v>33</v>
      </c>
      <c r="M88" s="848">
        <v>14.782857348571428</v>
      </c>
      <c r="N88" s="848">
        <v>23.78</v>
      </c>
      <c r="O88" s="848">
        <v>4.9400000000000004</v>
      </c>
    </row>
    <row r="89" spans="11:15">
      <c r="L89" s="847">
        <v>34</v>
      </c>
      <c r="M89" s="848">
        <v>15.984000069999999</v>
      </c>
      <c r="N89" s="848">
        <v>23.527999878571428</v>
      </c>
      <c r="O89" s="848">
        <v>4.6688571658571432</v>
      </c>
    </row>
    <row r="90" spans="11:15">
      <c r="L90" s="847">
        <v>35</v>
      </c>
      <c r="M90" s="848">
        <v>15.55</v>
      </c>
      <c r="N90" s="848">
        <v>23.29</v>
      </c>
      <c r="O90" s="848">
        <v>4.5999999999999996</v>
      </c>
    </row>
    <row r="91" spans="11:15">
      <c r="K91" s="432">
        <v>36</v>
      </c>
      <c r="L91" s="847">
        <v>36</v>
      </c>
      <c r="M91" s="848">
        <v>15.042857142857143</v>
      </c>
      <c r="N91" s="848">
        <v>23.007142857142856</v>
      </c>
      <c r="O91" s="848">
        <v>3.9657142857142857</v>
      </c>
    </row>
    <row r="92" spans="11:15">
      <c r="L92" s="847">
        <v>37</v>
      </c>
      <c r="M92" s="848">
        <v>13.386857033</v>
      </c>
      <c r="N92" s="848">
        <v>23.173571724285711</v>
      </c>
      <c r="O92" s="848">
        <v>3.5334285327142858</v>
      </c>
    </row>
    <row r="93" spans="11:15">
      <c r="L93" s="847">
        <v>38</v>
      </c>
      <c r="M93" s="848">
        <v>12.963714189999999</v>
      </c>
      <c r="N93" s="848">
        <v>26.454000201428567</v>
      </c>
      <c r="O93" s="848">
        <v>6.4914285118571433</v>
      </c>
    </row>
    <row r="94" spans="11:15">
      <c r="L94" s="847">
        <v>39</v>
      </c>
      <c r="M94" s="848">
        <v>9.4700000000000006</v>
      </c>
      <c r="N94" s="848">
        <v>23.7</v>
      </c>
      <c r="O94" s="848">
        <v>4.9000000000000004</v>
      </c>
    </row>
    <row r="95" spans="11:15">
      <c r="K95" s="432">
        <v>40</v>
      </c>
      <c r="L95" s="847">
        <v>40</v>
      </c>
      <c r="M95" s="848">
        <v>9.6714286802857146</v>
      </c>
      <c r="N95" s="848">
        <v>23.695143017142858</v>
      </c>
      <c r="O95" s="848">
        <v>4.898285797571428</v>
      </c>
    </row>
    <row r="96" spans="11:15">
      <c r="L96" s="847">
        <v>41</v>
      </c>
      <c r="M96" s="848">
        <v>13.23900018419533</v>
      </c>
      <c r="N96" s="848">
        <v>28.113285882132363</v>
      </c>
      <c r="O96" s="848">
        <v>8.3430000032697169</v>
      </c>
    </row>
    <row r="97" spans="10:15">
      <c r="L97" s="847">
        <v>42</v>
      </c>
      <c r="M97" s="848">
        <v>13.085142816816015</v>
      </c>
      <c r="N97" s="848">
        <v>37.073285511561743</v>
      </c>
      <c r="O97" s="848">
        <v>7.2735712868826683</v>
      </c>
    </row>
    <row r="98" spans="10:15">
      <c r="L98" s="847">
        <v>43</v>
      </c>
      <c r="M98" s="848">
        <v>24.981571742466489</v>
      </c>
      <c r="N98" s="848">
        <v>70.535571507045162</v>
      </c>
      <c r="O98" s="848">
        <v>7.4324284962245324</v>
      </c>
    </row>
    <row r="99" spans="10:15">
      <c r="K99" s="432">
        <v>44</v>
      </c>
      <c r="L99" s="847">
        <v>44</v>
      </c>
      <c r="M99" s="848">
        <v>20.55814279714286</v>
      </c>
      <c r="N99" s="848">
        <v>55.183714184285712</v>
      </c>
      <c r="O99" s="848">
        <v>15.801856994857145</v>
      </c>
    </row>
    <row r="100" spans="10:15">
      <c r="L100" s="847">
        <v>45</v>
      </c>
      <c r="M100" s="848">
        <v>26.170000077142856</v>
      </c>
      <c r="N100" s="848">
        <v>60.445714132857141</v>
      </c>
      <c r="O100" s="848">
        <v>26.432857787142858</v>
      </c>
    </row>
    <row r="101" spans="10:15">
      <c r="L101" s="847">
        <v>46</v>
      </c>
      <c r="M101" s="848">
        <v>19.728571428571428</v>
      </c>
      <c r="N101" s="848">
        <v>57.005714285714291</v>
      </c>
      <c r="O101" s="848">
        <v>53.502857142857145</v>
      </c>
    </row>
    <row r="102" spans="10:15">
      <c r="L102" s="847">
        <v>47</v>
      </c>
      <c r="M102" s="848">
        <v>39.656714302857139</v>
      </c>
      <c r="N102" s="848">
        <v>103.00771440714287</v>
      </c>
      <c r="O102" s="848">
        <v>53.459142955714292</v>
      </c>
    </row>
    <row r="103" spans="10:15">
      <c r="K103" s="432">
        <v>48</v>
      </c>
      <c r="L103" s="847">
        <v>48</v>
      </c>
      <c r="M103" s="848">
        <v>39.656714302857139</v>
      </c>
      <c r="N103" s="848">
        <v>99.828000734285709</v>
      </c>
      <c r="O103" s="848">
        <v>45.539571760000008</v>
      </c>
    </row>
    <row r="104" spans="10:15">
      <c r="L104" s="847">
        <v>49</v>
      </c>
      <c r="M104" s="848">
        <v>22.62857142857143</v>
      </c>
      <c r="N104" s="848">
        <v>60.27571428571428</v>
      </c>
      <c r="O104" s="848">
        <v>17.955714285714286</v>
      </c>
    </row>
    <row r="105" spans="10:15">
      <c r="L105" s="847">
        <v>50</v>
      </c>
      <c r="M105" s="848">
        <v>17.776714461428572</v>
      </c>
      <c r="N105" s="848">
        <v>46.701999664285715</v>
      </c>
      <c r="O105" s="848">
        <v>13.432571411428571</v>
      </c>
    </row>
    <row r="106" spans="10:15">
      <c r="L106" s="847">
        <v>51</v>
      </c>
      <c r="M106" s="848">
        <v>34.085714285714282</v>
      </c>
      <c r="N106" s="848">
        <v>68.7</v>
      </c>
      <c r="O106" s="848">
        <v>39.414285714285711</v>
      </c>
    </row>
    <row r="107" spans="10:15">
      <c r="K107" s="432">
        <v>52</v>
      </c>
      <c r="L107" s="847">
        <v>52</v>
      </c>
      <c r="M107" s="848">
        <v>52.094142914285719</v>
      </c>
      <c r="N107" s="848">
        <v>97.347143448571416</v>
      </c>
      <c r="O107" s="848">
        <v>65.679429182857149</v>
      </c>
    </row>
    <row r="108" spans="10:15">
      <c r="J108" s="111">
        <v>2019</v>
      </c>
      <c r="K108" s="432">
        <v>1</v>
      </c>
      <c r="L108" s="847">
        <v>1</v>
      </c>
      <c r="M108" s="848">
        <v>27.79999951142857</v>
      </c>
      <c r="N108" s="848">
        <v>78.298570904285711</v>
      </c>
      <c r="O108" s="848">
        <v>21.927143370000003</v>
      </c>
    </row>
    <row r="109" spans="10:15">
      <c r="L109" s="847">
        <v>2</v>
      </c>
      <c r="M109" s="848">
        <v>28.678571428571427</v>
      </c>
      <c r="N109" s="848">
        <v>95.081715179999989</v>
      </c>
      <c r="O109" s="848">
        <v>22.397999900000002</v>
      </c>
    </row>
    <row r="110" spans="10:15">
      <c r="L110" s="847">
        <v>3</v>
      </c>
      <c r="M110" s="848">
        <v>44.51</v>
      </c>
      <c r="N110" s="848">
        <v>95.65</v>
      </c>
      <c r="O110" s="848">
        <v>17.61</v>
      </c>
    </row>
    <row r="111" spans="10:15">
      <c r="K111" s="432">
        <v>4</v>
      </c>
      <c r="L111" s="847">
        <v>4</v>
      </c>
      <c r="M111" s="848">
        <v>73.323141914285699</v>
      </c>
      <c r="N111" s="848">
        <v>109.29957036285714</v>
      </c>
      <c r="O111" s="848">
        <v>17.638000354285712</v>
      </c>
    </row>
    <row r="112" spans="10:15">
      <c r="L112" s="847">
        <v>5</v>
      </c>
      <c r="M112" s="848">
        <v>103.17716724333333</v>
      </c>
      <c r="N112" s="848">
        <v>149.65083311999999</v>
      </c>
      <c r="O112" s="848">
        <v>19.218833289999999</v>
      </c>
    </row>
    <row r="113" spans="11:15">
      <c r="L113" s="847">
        <v>6</v>
      </c>
      <c r="M113" s="848">
        <v>79.165714285714287</v>
      </c>
      <c r="N113" s="848">
        <v>136.57714285714286</v>
      </c>
      <c r="O113" s="848">
        <v>57.185714285714276</v>
      </c>
    </row>
    <row r="114" spans="11:15">
      <c r="L114" s="847">
        <v>7</v>
      </c>
      <c r="M114" s="848">
        <v>120.02256992142858</v>
      </c>
      <c r="N114" s="848">
        <v>224.71071514285714</v>
      </c>
      <c r="O114" s="848">
        <v>118.06042697857141</v>
      </c>
    </row>
    <row r="115" spans="11:15">
      <c r="K115" s="432">
        <v>8</v>
      </c>
      <c r="L115" s="847">
        <v>8</v>
      </c>
      <c r="M115" s="848">
        <v>97.560142514285715</v>
      </c>
      <c r="N115" s="848">
        <v>198.04342652857142</v>
      </c>
      <c r="O115" s="848">
        <v>106.29885756428571</v>
      </c>
    </row>
    <row r="116" spans="11:15">
      <c r="L116" s="847">
        <v>9</v>
      </c>
      <c r="M116" s="848">
        <v>97.560142514285715</v>
      </c>
      <c r="N116" s="848">
        <v>191.0112849857143</v>
      </c>
      <c r="O116" s="848">
        <v>142.12385776285717</v>
      </c>
    </row>
    <row r="117" spans="11:15">
      <c r="L117" s="847">
        <v>10</v>
      </c>
      <c r="M117" s="848">
        <v>97.497286117142863</v>
      </c>
      <c r="N117" s="848">
        <v>215.64014109999999</v>
      </c>
      <c r="O117" s="848">
        <v>164.59685624285717</v>
      </c>
    </row>
    <row r="118" spans="11:15">
      <c r="L118" s="847">
        <v>11</v>
      </c>
      <c r="M118" s="848">
        <v>98.21585736955906</v>
      </c>
      <c r="N118" s="848">
        <v>236.76099940708642</v>
      </c>
      <c r="O118" s="848">
        <v>121.6507121494835</v>
      </c>
    </row>
    <row r="119" spans="11:15">
      <c r="K119" s="432">
        <v>12</v>
      </c>
      <c r="L119" s="847">
        <v>12</v>
      </c>
      <c r="M119" s="848">
        <v>91.857713972857141</v>
      </c>
      <c r="N119" s="848">
        <v>250.8679761904763</v>
      </c>
      <c r="O119" s="848">
        <v>166.63136904761905</v>
      </c>
    </row>
    <row r="120" spans="11:15">
      <c r="L120" s="847">
        <v>13</v>
      </c>
      <c r="M120" s="848">
        <v>100.0137132957143</v>
      </c>
      <c r="N120" s="848">
        <v>301.45971681428574</v>
      </c>
      <c r="O120" s="848">
        <v>180.07000078571429</v>
      </c>
    </row>
    <row r="121" spans="11:15">
      <c r="L121" s="847">
        <v>14</v>
      </c>
      <c r="M121" s="848">
        <v>84.272714885714294</v>
      </c>
      <c r="N121" s="848">
        <v>253.08542525714284</v>
      </c>
      <c r="O121" s="848">
        <v>143.43971579999999</v>
      </c>
    </row>
    <row r="122" spans="11:15">
      <c r="L122" s="847">
        <v>15</v>
      </c>
      <c r="M122" s="848">
        <v>61.074856892857142</v>
      </c>
      <c r="N122" s="848">
        <v>253.08542525714284</v>
      </c>
      <c r="O122" s="848">
        <v>152.6561442857143</v>
      </c>
    </row>
    <row r="123" spans="11:15">
      <c r="K123" s="432">
        <v>16</v>
      </c>
      <c r="L123" s="847">
        <v>16</v>
      </c>
      <c r="M123" s="848">
        <v>47.843714031428576</v>
      </c>
      <c r="N123" s="848">
        <v>141.0458592</v>
      </c>
      <c r="O123" s="848">
        <v>83.844285145714295</v>
      </c>
    </row>
    <row r="124" spans="11:15">
      <c r="L124" s="847">
        <v>17</v>
      </c>
      <c r="M124" s="848">
        <v>50.907143728571427</v>
      </c>
      <c r="N124" s="848">
        <v>123.86656951428571</v>
      </c>
      <c r="O124" s="848">
        <v>125.28814153857142</v>
      </c>
    </row>
    <row r="125" spans="11:15">
      <c r="L125" s="847">
        <v>18</v>
      </c>
      <c r="M125" s="848">
        <v>39.120999471428568</v>
      </c>
      <c r="N125" s="848">
        <v>85.173857551428583</v>
      </c>
      <c r="O125" s="848">
        <v>66.347143447142855</v>
      </c>
    </row>
    <row r="126" spans="11:15">
      <c r="L126" s="847">
        <v>19</v>
      </c>
      <c r="M126" s="848">
        <v>35.410856791428571</v>
      </c>
      <c r="N126" s="848">
        <v>71.224285714285699</v>
      </c>
      <c r="O126" s="848">
        <v>42.216071428571425</v>
      </c>
    </row>
    <row r="127" spans="11:15">
      <c r="L127" s="847">
        <v>20</v>
      </c>
      <c r="M127" s="848">
        <v>32.405142920000003</v>
      </c>
      <c r="N127" s="848">
        <v>76.857142859999996</v>
      </c>
      <c r="O127" s="848">
        <v>58.324429100000003</v>
      </c>
    </row>
    <row r="128" spans="11:15">
      <c r="L128" s="847">
        <v>21</v>
      </c>
      <c r="M128" s="848">
        <v>26.58385740142857</v>
      </c>
      <c r="N128" s="848">
        <v>47.97114345</v>
      </c>
      <c r="O128" s="848">
        <v>34.032571519999998</v>
      </c>
    </row>
    <row r="129" spans="11:15">
      <c r="K129" s="432">
        <v>22</v>
      </c>
      <c r="L129" s="847">
        <v>22</v>
      </c>
      <c r="M129" s="848">
        <v>19.653714315714286</v>
      </c>
      <c r="N129" s="848">
        <v>37.624285945285713</v>
      </c>
      <c r="O129" s="848">
        <v>40.524285998571429</v>
      </c>
    </row>
    <row r="130" spans="11:15">
      <c r="L130" s="847">
        <v>23</v>
      </c>
      <c r="M130" s="848">
        <v>16.50400011857143</v>
      </c>
      <c r="N130" s="848">
        <v>37.806285858571421</v>
      </c>
      <c r="O130" s="848">
        <v>25.010571342857141</v>
      </c>
    </row>
    <row r="131" spans="11:15">
      <c r="L131" s="847">
        <v>24</v>
      </c>
      <c r="M131" s="848">
        <v>14.890428544285713</v>
      </c>
      <c r="N131" s="848">
        <v>35.468714032857143</v>
      </c>
      <c r="O131" s="848">
        <v>18.242713997857145</v>
      </c>
    </row>
    <row r="132" spans="11:15">
      <c r="L132" s="847">
        <v>25</v>
      </c>
      <c r="M132" s="848">
        <v>15.340000017142858</v>
      </c>
      <c r="N132" s="848">
        <v>33.200142724285719</v>
      </c>
      <c r="O132" s="848">
        <v>16.013142995714286</v>
      </c>
    </row>
    <row r="133" spans="11:15">
      <c r="K133" s="432">
        <v>26</v>
      </c>
      <c r="L133" s="847">
        <v>26</v>
      </c>
      <c r="M133" s="848">
        <v>15.521142687142857</v>
      </c>
      <c r="N133" s="848">
        <v>28.376285825714287</v>
      </c>
      <c r="O133" s="848">
        <v>12.961571557142857</v>
      </c>
    </row>
    <row r="134" spans="11:15">
      <c r="L134" s="847">
        <v>27</v>
      </c>
      <c r="M134" s="848">
        <v>15.32</v>
      </c>
      <c r="N134" s="848">
        <v>28.47</v>
      </c>
      <c r="O134" s="848">
        <v>11.39</v>
      </c>
    </row>
    <row r="135" spans="11:15">
      <c r="L135" s="847">
        <v>28</v>
      </c>
      <c r="M135" s="848">
        <v>14.809428488571427</v>
      </c>
      <c r="N135" s="849">
        <v>28.920333226666667</v>
      </c>
      <c r="O135" s="848">
        <v>11.405166626666668</v>
      </c>
    </row>
    <row r="136" spans="11:15">
      <c r="L136" s="847">
        <v>29</v>
      </c>
      <c r="M136" s="848">
        <v>13.666428565978956</v>
      </c>
      <c r="N136" s="849">
        <v>24.422333717346149</v>
      </c>
      <c r="O136" s="848">
        <v>10.173999945322651</v>
      </c>
    </row>
    <row r="137" spans="11:15">
      <c r="K137" s="432">
        <v>30</v>
      </c>
      <c r="L137" s="847">
        <v>30</v>
      </c>
      <c r="M137" s="848">
        <v>13.392857142857142</v>
      </c>
      <c r="N137" s="849">
        <v>24.086666666666662</v>
      </c>
      <c r="O137" s="848">
        <v>9.1716666666666669</v>
      </c>
    </row>
    <row r="138" spans="11:15">
      <c r="L138" s="847">
        <v>31</v>
      </c>
      <c r="M138" s="848">
        <v>13.098428589999999</v>
      </c>
      <c r="N138" s="849">
        <v>22.471285411428575</v>
      </c>
      <c r="O138" s="848">
        <v>8.5915715354285727</v>
      </c>
    </row>
    <row r="139" spans="11:15">
      <c r="L139" s="847">
        <v>32</v>
      </c>
      <c r="M139" s="848">
        <v>12.228285654285713</v>
      </c>
      <c r="N139" s="849">
        <v>25.212714058571429</v>
      </c>
      <c r="O139" s="848">
        <v>6.6260000637142857</v>
      </c>
    </row>
    <row r="140" spans="11:15">
      <c r="L140" s="847">
        <v>33</v>
      </c>
      <c r="M140" s="848">
        <v>12.838714327142856</v>
      </c>
      <c r="N140" s="849">
        <v>28.061000278571431</v>
      </c>
      <c r="O140" s="848">
        <v>5.9311428751428581</v>
      </c>
    </row>
    <row r="141" spans="11:15">
      <c r="K141" s="432">
        <v>34</v>
      </c>
      <c r="L141" s="847">
        <v>34</v>
      </c>
      <c r="M141" s="848">
        <v>12.37928554</v>
      </c>
      <c r="N141" s="849">
        <v>28.455856868571431</v>
      </c>
      <c r="O141" s="848">
        <v>5.2604285648571434</v>
      </c>
    </row>
    <row r="142" spans="11:15">
      <c r="L142" s="847">
        <v>35</v>
      </c>
      <c r="M142" s="848">
        <v>11.92371409142857</v>
      </c>
      <c r="N142" s="849">
        <v>26.646000226666668</v>
      </c>
      <c r="O142" s="848">
        <v>4.7316666444999997</v>
      </c>
    </row>
    <row r="143" spans="11:15">
      <c r="L143" s="847">
        <v>36</v>
      </c>
      <c r="M143" s="848">
        <v>10.731857162857143</v>
      </c>
      <c r="N143" s="848">
        <v>27.720570974285714</v>
      </c>
      <c r="O143" s="848">
        <v>4.5542856622857144</v>
      </c>
    </row>
    <row r="144" spans="11:15">
      <c r="L144" s="847">
        <v>37</v>
      </c>
      <c r="M144" s="848">
        <v>11.481428825714286</v>
      </c>
      <c r="N144" s="848">
        <v>27.967571258571429</v>
      </c>
      <c r="O144" s="848">
        <v>4.1919999124285718</v>
      </c>
    </row>
    <row r="145" spans="11:15">
      <c r="L145" s="847">
        <v>38</v>
      </c>
      <c r="M145" s="848">
        <v>12.217142857142859</v>
      </c>
      <c r="N145" s="848">
        <v>31.354000000000003</v>
      </c>
      <c r="O145" s="848">
        <v>4.1759999999999993</v>
      </c>
    </row>
    <row r="146" spans="11:15">
      <c r="L146" s="847">
        <v>39</v>
      </c>
      <c r="M146" s="848">
        <v>15.0261430740356</v>
      </c>
      <c r="N146" s="848">
        <v>37.146399307250938</v>
      </c>
      <c r="O146" s="848">
        <v>4.8932001113891559</v>
      </c>
    </row>
    <row r="147" spans="11:15">
      <c r="K147" s="432">
        <v>40</v>
      </c>
      <c r="L147" s="847">
        <v>40</v>
      </c>
      <c r="M147" s="848">
        <v>13.292000225714288</v>
      </c>
      <c r="N147" s="850">
        <v>29.934999783333328</v>
      </c>
      <c r="O147" s="848">
        <v>5.3130000431666664</v>
      </c>
    </row>
    <row r="148" spans="11:15">
      <c r="L148" s="847">
        <v>41</v>
      </c>
      <c r="M148" s="848">
        <v>15.472143037142859</v>
      </c>
      <c r="N148" s="850">
        <v>31.668000084285715</v>
      </c>
      <c r="O148" s="848">
        <v>8.3924286701428574</v>
      </c>
    </row>
    <row r="149" spans="11:15">
      <c r="L149" s="847">
        <v>42</v>
      </c>
      <c r="M149" s="848">
        <v>14.602857142857143</v>
      </c>
      <c r="N149" s="850">
        <v>30.061428571428571</v>
      </c>
      <c r="O149" s="848">
        <v>9.2871428571428574</v>
      </c>
    </row>
    <row r="150" spans="11:15">
      <c r="L150" s="847">
        <v>43</v>
      </c>
      <c r="M150" s="848">
        <v>18.763999527142854</v>
      </c>
      <c r="N150" s="850">
        <v>48.129999975714291</v>
      </c>
      <c r="O150" s="848">
        <v>18.153714861428572</v>
      </c>
    </row>
    <row r="151" spans="11:15">
      <c r="K151" s="432">
        <v>44</v>
      </c>
      <c r="L151" s="847">
        <v>44</v>
      </c>
      <c r="M151" s="848">
        <v>12.722428322857143</v>
      </c>
      <c r="N151" s="850">
        <v>37.781833011666663</v>
      </c>
      <c r="O151" s="848">
        <v>19.903499760000003</v>
      </c>
    </row>
    <row r="152" spans="11:15">
      <c r="L152" s="847">
        <v>45</v>
      </c>
      <c r="M152" s="848">
        <v>22.372000012857146</v>
      </c>
      <c r="N152" s="848">
        <v>60.721429549999996</v>
      </c>
      <c r="O152" s="848">
        <v>69.077428547142844</v>
      </c>
    </row>
    <row r="153" spans="11:15">
      <c r="L153" s="847">
        <v>46</v>
      </c>
      <c r="M153" s="848">
        <v>28.101571491428576</v>
      </c>
      <c r="N153" s="848">
        <v>68.569856369999997</v>
      </c>
      <c r="O153" s="848">
        <v>51.190428054285711</v>
      </c>
    </row>
    <row r="154" spans="11:15">
      <c r="L154" s="847">
        <v>47</v>
      </c>
      <c r="M154" s="848">
        <v>22.222285951428574</v>
      </c>
      <c r="N154" s="848">
        <v>51.534999302857152</v>
      </c>
      <c r="O154" s="848">
        <v>21.676285608571426</v>
      </c>
    </row>
    <row r="155" spans="11:15">
      <c r="K155" s="432">
        <v>48</v>
      </c>
      <c r="L155" s="847">
        <v>48</v>
      </c>
      <c r="M155" s="848">
        <v>18.796428408571426</v>
      </c>
      <c r="N155" s="848">
        <v>45.115714484285718</v>
      </c>
      <c r="O155" s="848">
        <v>19.428714208571428</v>
      </c>
    </row>
    <row r="156" spans="11:15">
      <c r="L156" s="847">
        <v>49</v>
      </c>
      <c r="M156" s="848">
        <v>40.459857124285712</v>
      </c>
      <c r="N156" s="848">
        <v>84.846428458571424</v>
      </c>
      <c r="O156" s="848">
        <v>67.787142617142862</v>
      </c>
    </row>
    <row r="157" spans="11:15">
      <c r="L157" s="847">
        <v>50</v>
      </c>
      <c r="M157" s="848">
        <v>55.208571570000004</v>
      </c>
      <c r="N157" s="848">
        <v>99.139714364285723</v>
      </c>
      <c r="O157" s="848">
        <v>46.000713344285714</v>
      </c>
    </row>
    <row r="158" spans="11:15">
      <c r="L158" s="847">
        <v>51</v>
      </c>
      <c r="M158" s="848">
        <v>84.778857641428559</v>
      </c>
      <c r="N158" s="848">
        <v>201.52657207142857</v>
      </c>
      <c r="O158" s="848">
        <v>43.586286274285712</v>
      </c>
    </row>
    <row r="159" spans="11:15">
      <c r="K159" s="432">
        <v>52</v>
      </c>
      <c r="L159" s="847">
        <v>52</v>
      </c>
      <c r="M159" s="848">
        <v>90.21400125571428</v>
      </c>
      <c r="N159" s="848">
        <v>224.1094316857143</v>
      </c>
      <c r="O159" s="848">
        <v>50.483570642857153</v>
      </c>
    </row>
    <row r="160" spans="11:15">
      <c r="K160" s="847"/>
      <c r="L160" s="847">
        <v>53</v>
      </c>
      <c r="M160" s="848">
        <v>80.061285835714287</v>
      </c>
      <c r="N160" s="848">
        <v>205.2461395</v>
      </c>
      <c r="O160" s="848">
        <v>83.637714931428576</v>
      </c>
    </row>
    <row r="161" spans="10:15">
      <c r="J161" s="111">
        <v>2020</v>
      </c>
      <c r="K161" s="851"/>
      <c r="L161" s="847">
        <v>1</v>
      </c>
      <c r="M161" s="848">
        <v>42.7519994463239</v>
      </c>
      <c r="N161" s="848">
        <v>129.33128356933543</v>
      </c>
      <c r="O161" s="848">
        <v>35.412713732038192</v>
      </c>
    </row>
    <row r="162" spans="10:15">
      <c r="K162" s="847"/>
      <c r="L162" s="847">
        <v>2</v>
      </c>
      <c r="M162" s="848">
        <v>30.679571151428568</v>
      </c>
      <c r="N162" s="848">
        <v>73.393001012857141</v>
      </c>
      <c r="O162" s="848">
        <v>22.044856754285714</v>
      </c>
    </row>
    <row r="163" spans="10:15">
      <c r="K163" s="847"/>
      <c r="L163" s="847">
        <v>3</v>
      </c>
      <c r="M163" s="848">
        <v>46.443999700000006</v>
      </c>
      <c r="N163" s="848">
        <v>73.092571804285726</v>
      </c>
      <c r="O163" s="848">
        <v>18.210142817142859</v>
      </c>
    </row>
    <row r="164" spans="10:15">
      <c r="K164" s="432">
        <v>4</v>
      </c>
      <c r="L164" s="847">
        <v>4</v>
      </c>
      <c r="M164" s="848">
        <v>56.559571404285713</v>
      </c>
      <c r="N164" s="848">
        <v>140.69343129999999</v>
      </c>
      <c r="O164" s="848">
        <v>15.934428624285713</v>
      </c>
    </row>
    <row r="165" spans="10:15">
      <c r="L165" s="847">
        <v>5</v>
      </c>
      <c r="M165" s="848">
        <v>85.997285015714283</v>
      </c>
      <c r="N165" s="848">
        <v>189.96014404285714</v>
      </c>
      <c r="O165" s="848">
        <v>16.347999845714288</v>
      </c>
    </row>
    <row r="166" spans="10:15">
      <c r="L166" s="847">
        <v>6</v>
      </c>
      <c r="M166" s="848">
        <v>79.643857683454215</v>
      </c>
      <c r="N166" s="848">
        <v>184.55100359235459</v>
      </c>
      <c r="O166" s="848">
        <v>24.545571190970243</v>
      </c>
    </row>
    <row r="167" spans="10:15">
      <c r="K167" s="847"/>
      <c r="L167" s="847">
        <v>7</v>
      </c>
      <c r="M167" s="848">
        <v>62.11542837857143</v>
      </c>
      <c r="N167" s="848">
        <v>141.4891401142857</v>
      </c>
      <c r="O167" s="848">
        <v>17.933714184285712</v>
      </c>
    </row>
    <row r="168" spans="10:15">
      <c r="K168" s="432">
        <v>8</v>
      </c>
      <c r="L168" s="847">
        <v>8</v>
      </c>
      <c r="M168" s="848">
        <v>41.134571620396166</v>
      </c>
      <c r="N168" s="848">
        <v>83.969571794782198</v>
      </c>
      <c r="O168" s="848">
        <v>15.5625712530953</v>
      </c>
    </row>
    <row r="169" spans="10:15">
      <c r="L169" s="847">
        <v>9</v>
      </c>
      <c r="M169" s="848">
        <v>70.027142117142859</v>
      </c>
      <c r="N169" s="848">
        <v>124.34114185428572</v>
      </c>
      <c r="O169" s="848">
        <v>23.340428760000002</v>
      </c>
    </row>
    <row r="170" spans="10:15">
      <c r="L170" s="847">
        <v>10</v>
      </c>
      <c r="M170" s="848">
        <v>51.713285718571434</v>
      </c>
      <c r="N170" s="848">
        <v>110.96499854142857</v>
      </c>
      <c r="O170" s="848">
        <v>51.143429344285714</v>
      </c>
    </row>
    <row r="171" spans="10:15">
      <c r="K171" s="847"/>
      <c r="L171" s="847">
        <v>11</v>
      </c>
      <c r="M171" s="848">
        <v>64.999999455714274</v>
      </c>
      <c r="N171" s="848">
        <v>130.17914037142856</v>
      </c>
      <c r="O171" s="848">
        <v>73.820713587142862</v>
      </c>
    </row>
    <row r="172" spans="10:15">
      <c r="K172" s="847">
        <v>12</v>
      </c>
      <c r="L172" s="847">
        <v>12</v>
      </c>
      <c r="M172" s="848">
        <v>70.530143192836164</v>
      </c>
      <c r="N172" s="848">
        <v>127.86657169886942</v>
      </c>
      <c r="O172" s="848">
        <v>34.1388571602957</v>
      </c>
    </row>
    <row r="173" spans="10:15">
      <c r="K173" s="847"/>
      <c r="L173" s="847">
        <v>13</v>
      </c>
      <c r="M173" s="848">
        <v>73.710714612688278</v>
      </c>
      <c r="N173" s="848">
        <v>138.12900325230143</v>
      </c>
      <c r="O173" s="848">
        <v>66.457714898245612</v>
      </c>
    </row>
    <row r="174" spans="10:15">
      <c r="L174" s="847">
        <v>14</v>
      </c>
      <c r="M174" s="848">
        <v>57.796857017142862</v>
      </c>
      <c r="N174" s="848">
        <v>109.14457049285714</v>
      </c>
      <c r="O174" s="848">
        <v>82.626999985714278</v>
      </c>
    </row>
    <row r="175" spans="10:15">
      <c r="K175" s="852"/>
      <c r="L175" s="847">
        <v>15</v>
      </c>
      <c r="M175" s="848">
        <v>44.430285317142861</v>
      </c>
      <c r="N175" s="848">
        <v>80.133571635714276</v>
      </c>
      <c r="O175" s="848">
        <v>89.91342707714287</v>
      </c>
    </row>
    <row r="176" spans="10:15">
      <c r="K176" s="852">
        <v>16</v>
      </c>
      <c r="L176" s="847">
        <v>16</v>
      </c>
      <c r="M176" s="848">
        <v>30.701856885714285</v>
      </c>
      <c r="N176" s="848">
        <v>57.13714327142857</v>
      </c>
      <c r="O176" s="848">
        <v>73.487428932857142</v>
      </c>
    </row>
    <row r="177" spans="10:21" s="730" customFormat="1">
      <c r="J177" s="111"/>
      <c r="K177" s="852"/>
      <c r="L177" s="847">
        <v>17</v>
      </c>
      <c r="M177" s="848">
        <v>24.932857240949314</v>
      </c>
      <c r="N177" s="848">
        <v>55.184285845075259</v>
      </c>
      <c r="O177" s="848">
        <v>80.585714067731558</v>
      </c>
      <c r="P177" s="432"/>
      <c r="Q177" s="423"/>
      <c r="R177" s="423"/>
      <c r="S177" s="423"/>
      <c r="T177" s="423"/>
      <c r="U177" s="423"/>
    </row>
    <row r="178" spans="10:21" s="730" customFormat="1">
      <c r="J178" s="111"/>
      <c r="K178" s="852"/>
      <c r="L178" s="847">
        <v>18</v>
      </c>
      <c r="M178" s="848">
        <v>46.867285591428576</v>
      </c>
      <c r="N178" s="848">
        <v>80.201000221428572</v>
      </c>
      <c r="O178" s="848">
        <v>93.131286082857144</v>
      </c>
      <c r="P178" s="432"/>
      <c r="Q178" s="423"/>
      <c r="R178" s="423"/>
      <c r="S178" s="423"/>
      <c r="T178" s="423"/>
      <c r="U178" s="423"/>
    </row>
    <row r="179" spans="10:21" s="730" customFormat="1">
      <c r="J179" s="111"/>
      <c r="K179" s="852"/>
      <c r="L179" s="847">
        <v>19</v>
      </c>
      <c r="M179" s="848">
        <v>39.880857740000003</v>
      </c>
      <c r="N179" s="848">
        <v>73.398713792857151</v>
      </c>
      <c r="O179" s="848">
        <v>43.960427964285714</v>
      </c>
      <c r="P179" s="432"/>
      <c r="Q179" s="423"/>
      <c r="R179" s="423"/>
      <c r="S179" s="423"/>
      <c r="T179" s="423"/>
      <c r="U179" s="423"/>
    </row>
    <row r="180" spans="10:21" s="730" customFormat="1">
      <c r="J180" s="111"/>
      <c r="K180" s="852">
        <v>20</v>
      </c>
      <c r="L180" s="847">
        <v>20</v>
      </c>
      <c r="M180" s="848">
        <v>34.332998821428575</v>
      </c>
      <c r="N180" s="848">
        <v>57.629714421428567</v>
      </c>
      <c r="O180" s="848">
        <v>29.038571492857141</v>
      </c>
      <c r="P180" s="432"/>
      <c r="Q180" s="423"/>
      <c r="R180" s="423"/>
      <c r="S180" s="423"/>
      <c r="T180" s="423"/>
      <c r="U180" s="423"/>
    </row>
    <row r="181" spans="10:21" s="730" customFormat="1">
      <c r="J181" s="111"/>
      <c r="K181" s="852"/>
      <c r="L181" s="847">
        <v>21</v>
      </c>
      <c r="M181" s="848">
        <v>28.39914212908057</v>
      </c>
      <c r="N181" s="848">
        <v>47.208427974155924</v>
      </c>
      <c r="O181" s="848">
        <v>20.747856957571798</v>
      </c>
      <c r="P181" s="432"/>
      <c r="Q181" s="423"/>
      <c r="R181" s="423"/>
      <c r="S181" s="423"/>
      <c r="T181" s="423"/>
      <c r="U181" s="423"/>
    </row>
    <row r="182" spans="10:21" s="730" customFormat="1">
      <c r="J182" s="111"/>
      <c r="K182" s="852"/>
      <c r="L182" s="847">
        <v>22</v>
      </c>
      <c r="M182" s="848">
        <v>19.016142710000004</v>
      </c>
      <c r="N182" s="848">
        <v>39.635571071428572</v>
      </c>
      <c r="O182" s="848">
        <v>28.597570964285715</v>
      </c>
      <c r="P182" s="432"/>
      <c r="Q182" s="423"/>
      <c r="R182" s="423"/>
      <c r="S182" s="423"/>
      <c r="T182" s="423"/>
      <c r="U182" s="423"/>
    </row>
    <row r="183" spans="10:21" s="730" customFormat="1">
      <c r="J183" s="111"/>
      <c r="K183" s="852"/>
      <c r="L183" s="847">
        <v>23</v>
      </c>
      <c r="M183" s="848">
        <v>16.323713982857143</v>
      </c>
      <c r="N183" s="848">
        <v>49.136857168571431</v>
      </c>
      <c r="O183" s="848">
        <v>19.104714530000003</v>
      </c>
      <c r="P183" s="432"/>
      <c r="Q183" s="423"/>
      <c r="R183" s="423"/>
      <c r="S183" s="423"/>
      <c r="T183" s="423"/>
      <c r="U183" s="423"/>
    </row>
    <row r="184" spans="10:21" s="730" customFormat="1">
      <c r="J184" s="111"/>
      <c r="K184" s="852">
        <v>24</v>
      </c>
      <c r="L184" s="847">
        <v>24</v>
      </c>
      <c r="M184" s="848">
        <v>14.458999906267413</v>
      </c>
      <c r="N184" s="848">
        <v>34.150428227015844</v>
      </c>
      <c r="O184" s="848">
        <v>14.211285591125442</v>
      </c>
      <c r="P184" s="432"/>
      <c r="Q184" s="423"/>
      <c r="R184" s="423"/>
      <c r="S184" s="423"/>
      <c r="T184" s="423"/>
      <c r="U184" s="423"/>
    </row>
    <row r="185" spans="10:21" s="730" customFormat="1">
      <c r="J185" s="111"/>
      <c r="K185" s="852"/>
      <c r="L185" s="847">
        <v>25</v>
      </c>
      <c r="M185" s="848">
        <v>13.476999827142858</v>
      </c>
      <c r="N185" s="848">
        <v>32.288857598571425</v>
      </c>
      <c r="O185" s="848">
        <v>11.628714288571429</v>
      </c>
      <c r="P185" s="432"/>
      <c r="Q185" s="423"/>
      <c r="R185" s="423"/>
      <c r="S185" s="423"/>
      <c r="T185" s="423"/>
      <c r="U185" s="423"/>
    </row>
    <row r="186" spans="10:21" s="730" customFormat="1">
      <c r="J186" s="111"/>
      <c r="K186" s="852"/>
      <c r="L186" s="847">
        <v>26</v>
      </c>
      <c r="M186" s="848">
        <v>14.175142699999999</v>
      </c>
      <c r="N186" s="848">
        <v>29.45585686714286</v>
      </c>
      <c r="O186" s="848">
        <v>11.67571422</v>
      </c>
      <c r="P186" s="432"/>
      <c r="Q186" s="423"/>
      <c r="R186" s="423"/>
      <c r="S186" s="423"/>
      <c r="T186" s="423"/>
      <c r="U186" s="423"/>
    </row>
    <row r="187" spans="10:21" s="730" customFormat="1">
      <c r="J187" s="111"/>
      <c r="K187" s="852"/>
      <c r="L187" s="847">
        <v>27</v>
      </c>
      <c r="M187" s="848">
        <v>12.859571456909155</v>
      </c>
      <c r="N187" s="848">
        <v>27.986428669520745</v>
      </c>
      <c r="O187" s="848">
        <v>27.48885754176543</v>
      </c>
      <c r="P187" s="432"/>
      <c r="Q187" s="423"/>
      <c r="R187" s="423"/>
      <c r="S187" s="423"/>
      <c r="T187" s="423"/>
      <c r="U187" s="423"/>
    </row>
    <row r="188" spans="10:21" s="730" customFormat="1">
      <c r="J188" s="111"/>
      <c r="K188" s="852"/>
      <c r="L188" s="847">
        <v>28</v>
      </c>
      <c r="M188" s="848">
        <v>11.472142902857144</v>
      </c>
      <c r="N188" s="848">
        <v>24.371857235714284</v>
      </c>
      <c r="O188" s="848">
        <v>32.395143782857147</v>
      </c>
      <c r="P188" s="432"/>
      <c r="Q188" s="423"/>
      <c r="R188" s="423"/>
      <c r="S188" s="423"/>
      <c r="T188" s="423"/>
      <c r="U188" s="423"/>
    </row>
    <row r="189" spans="10:21" s="730" customFormat="1">
      <c r="J189" s="111"/>
      <c r="K189" s="852"/>
      <c r="L189" s="847">
        <v>29</v>
      </c>
      <c r="M189" s="848">
        <v>11.32885715142857</v>
      </c>
      <c r="N189" s="848">
        <v>23.620857238571428</v>
      </c>
      <c r="O189" s="848">
        <v>14.974999971428572</v>
      </c>
      <c r="P189" s="432"/>
      <c r="Q189" s="423"/>
      <c r="R189" s="423"/>
      <c r="S189" s="423"/>
      <c r="T189" s="423"/>
      <c r="U189" s="423"/>
    </row>
    <row r="190" spans="10:21">
      <c r="K190" s="852">
        <v>30</v>
      </c>
      <c r="L190" s="847">
        <v>30</v>
      </c>
      <c r="M190" s="848">
        <v>11.152000155714285</v>
      </c>
      <c r="N190" s="848">
        <v>26.757428577142853</v>
      </c>
      <c r="O190" s="848">
        <v>14.12842846</v>
      </c>
    </row>
    <row r="191" spans="10:21">
      <c r="K191" s="852"/>
      <c r="M191" s="848"/>
      <c r="N191" s="848"/>
      <c r="O191" s="848"/>
    </row>
    <row r="192" spans="10:21">
      <c r="K192" s="852"/>
      <c r="L192" s="852"/>
      <c r="M192" s="848"/>
      <c r="N192" s="848"/>
      <c r="O192" s="848"/>
    </row>
    <row r="193" spans="11:15">
      <c r="K193" s="852"/>
      <c r="L193" s="852"/>
      <c r="M193" s="848"/>
      <c r="N193" s="848"/>
      <c r="O193" s="848"/>
    </row>
    <row r="194" spans="11:15">
      <c r="K194" s="852"/>
      <c r="L194" s="852"/>
    </row>
    <row r="195" spans="11:15">
      <c r="K195" s="671"/>
      <c r="L195" s="852"/>
      <c r="M195" s="848"/>
      <c r="N195" s="848"/>
      <c r="O195" s="848"/>
    </row>
    <row r="196" spans="11:15">
      <c r="K196" s="671"/>
      <c r="L196" s="852"/>
      <c r="M196" s="848"/>
      <c r="N196" s="848"/>
      <c r="O196" s="848"/>
    </row>
    <row r="197" spans="11:15">
      <c r="K197" s="671"/>
      <c r="L197" s="852"/>
      <c r="M197" s="848"/>
      <c r="N197" s="848"/>
      <c r="O197" s="848"/>
    </row>
    <row r="198" spans="11:15">
      <c r="K198" s="852"/>
      <c r="L198" s="852"/>
      <c r="M198" s="432" t="s">
        <v>263</v>
      </c>
      <c r="N198" s="432" t="s">
        <v>264</v>
      </c>
      <c r="O198" s="432" t="s">
        <v>265</v>
      </c>
    </row>
    <row r="199" spans="11:15">
      <c r="K199" s="671"/>
      <c r="L199" s="852"/>
      <c r="M199" s="848"/>
      <c r="N199" s="848"/>
      <c r="O199" s="848"/>
    </row>
    <row r="200" spans="11:15">
      <c r="K200" s="671"/>
      <c r="L200" s="852"/>
      <c r="M200" s="848"/>
      <c r="N200" s="848"/>
      <c r="O200" s="848"/>
    </row>
    <row r="201" spans="11:15">
      <c r="K201" s="671"/>
      <c r="L201" s="852"/>
      <c r="M201" s="848"/>
      <c r="N201" s="848"/>
      <c r="O201" s="848"/>
    </row>
    <row r="202" spans="11:15">
      <c r="K202" s="852"/>
      <c r="L202" s="852"/>
      <c r="M202" s="848"/>
      <c r="N202" s="848"/>
      <c r="O202" s="848"/>
    </row>
    <row r="203" spans="11:15">
      <c r="K203" s="671"/>
      <c r="L203" s="852"/>
      <c r="M203" s="848"/>
      <c r="N203" s="848"/>
      <c r="O203" s="848"/>
    </row>
    <row r="204" spans="11:15">
      <c r="K204" s="671"/>
      <c r="L204" s="852"/>
      <c r="M204" s="848"/>
      <c r="N204" s="848"/>
      <c r="O204" s="848"/>
    </row>
    <row r="205" spans="11:15">
      <c r="K205" s="671"/>
      <c r="L205" s="852"/>
      <c r="M205" s="848"/>
      <c r="N205" s="848"/>
      <c r="O205" s="848"/>
    </row>
    <row r="206" spans="11:15">
      <c r="K206" s="671"/>
      <c r="L206" s="852"/>
      <c r="M206" s="848"/>
      <c r="N206" s="848"/>
      <c r="O206" s="848"/>
    </row>
    <row r="207" spans="11:15">
      <c r="K207" s="671"/>
      <c r="L207" s="852"/>
      <c r="M207" s="848"/>
      <c r="N207" s="848"/>
      <c r="O207" s="848"/>
    </row>
    <row r="208" spans="11:15">
      <c r="K208" s="671"/>
      <c r="L208" s="852"/>
      <c r="M208" s="848"/>
      <c r="N208" s="848"/>
      <c r="O208" s="848"/>
    </row>
    <row r="209" spans="11:15">
      <c r="K209" s="671"/>
      <c r="L209" s="852"/>
      <c r="M209" s="848"/>
      <c r="N209" s="848"/>
      <c r="O209" s="848"/>
    </row>
    <row r="210" spans="11:15">
      <c r="K210" s="671"/>
      <c r="L210" s="852"/>
      <c r="M210" s="848"/>
      <c r="N210" s="848"/>
      <c r="O210" s="848"/>
    </row>
    <row r="211" spans="11:15">
      <c r="M211" s="848"/>
      <c r="N211" s="848"/>
      <c r="O211" s="848"/>
    </row>
    <row r="212" spans="11:15">
      <c r="M212" s="848"/>
      <c r="N212" s="848"/>
      <c r="O212" s="848"/>
    </row>
    <row r="213" spans="11:15">
      <c r="M213" s="848"/>
      <c r="N213" s="848"/>
      <c r="O213" s="848"/>
    </row>
    <row r="214" spans="11:15">
      <c r="M214" s="848"/>
      <c r="N214" s="848"/>
      <c r="O214" s="848"/>
    </row>
    <row r="215" spans="11:15">
      <c r="M215" s="848"/>
      <c r="N215" s="848"/>
      <c r="O215" s="848"/>
    </row>
    <row r="216" spans="11:15">
      <c r="M216" s="848"/>
      <c r="N216" s="848"/>
      <c r="O216" s="848"/>
    </row>
    <row r="217" spans="11:15">
      <c r="M217" s="848"/>
      <c r="N217" s="848"/>
      <c r="O217" s="848"/>
    </row>
    <row r="218" spans="11:15">
      <c r="M218" s="848"/>
      <c r="N218" s="848"/>
      <c r="O218" s="848"/>
    </row>
    <row r="219" spans="11:15">
      <c r="M219" s="848"/>
      <c r="N219" s="848"/>
      <c r="O219" s="848"/>
    </row>
    <row r="220" spans="11:15">
      <c r="M220" s="848"/>
      <c r="N220" s="848"/>
      <c r="O220" s="848"/>
    </row>
    <row r="221" spans="11:15">
      <c r="M221" s="848"/>
      <c r="N221" s="848"/>
      <c r="O221" s="848"/>
    </row>
    <row r="222" spans="11:15">
      <c r="M222" s="848"/>
      <c r="N222" s="848"/>
      <c r="O222" s="848"/>
    </row>
    <row r="223" spans="11:15">
      <c r="M223" s="848"/>
      <c r="N223" s="848"/>
      <c r="O223" s="848"/>
    </row>
    <row r="224" spans="11:15">
      <c r="M224" s="848"/>
      <c r="N224" s="848"/>
      <c r="O224" s="848"/>
    </row>
    <row r="226" spans="13:15">
      <c r="M226" s="432" t="s">
        <v>263</v>
      </c>
      <c r="N226" s="432" t="s">
        <v>264</v>
      </c>
      <c r="O226" s="432" t="s">
        <v>265</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Julio 2020
INFSGI-MES-07-2020
13/08/2020
Versión: 01</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29"/>
  <sheetViews>
    <sheetView showGridLines="0" view="pageBreakPreview" zoomScaleNormal="100" zoomScaleSheetLayoutView="100" zoomScalePageLayoutView="130" workbookViewId="0">
      <selection activeCell="N53" sqref="N53"/>
    </sheetView>
  </sheetViews>
  <sheetFormatPr baseColWidth="10" defaultColWidth="9.28515625" defaultRowHeight="10.199999999999999"/>
  <cols>
    <col min="10" max="11" width="9.28515625" customWidth="1"/>
    <col min="13" max="16" width="9.28515625" style="423"/>
    <col min="17" max="17" width="11.7109375" style="423" bestFit="1" customWidth="1"/>
    <col min="18" max="18" width="15.140625" style="423" customWidth="1"/>
    <col min="19" max="19" width="14.28515625" style="423" customWidth="1"/>
    <col min="20" max="20" width="14.42578125" style="423" customWidth="1"/>
    <col min="21" max="21" width="9.42578125" style="423" bestFit="1" customWidth="1"/>
    <col min="22" max="22" width="14.7109375" style="423" customWidth="1"/>
    <col min="23" max="23" width="9.42578125" style="423" customWidth="1"/>
    <col min="24" max="24" width="9.7109375" style="423" bestFit="1" customWidth="1"/>
    <col min="25" max="25" width="9.42578125" style="423" bestFit="1" customWidth="1"/>
    <col min="26" max="26" width="9.28515625" style="413"/>
    <col min="27" max="30" width="9.28515625" style="298"/>
    <col min="31" max="32" width="9.28515625" style="286"/>
  </cols>
  <sheetData>
    <row r="1" spans="1:25" ht="11.25" customHeight="1"/>
    <row r="2" spans="1:25" ht="11.25" customHeight="1">
      <c r="A2" s="299"/>
      <c r="B2" s="300"/>
      <c r="C2" s="300"/>
      <c r="D2" s="300"/>
      <c r="E2" s="300"/>
      <c r="F2" s="300"/>
      <c r="G2" s="174"/>
      <c r="H2" s="174"/>
      <c r="I2" s="132"/>
    </row>
    <row r="3" spans="1:25" ht="11.25" customHeight="1">
      <c r="A3" s="132"/>
      <c r="B3" s="132"/>
      <c r="C3" s="132"/>
      <c r="D3" s="132"/>
      <c r="E3" s="132"/>
      <c r="F3" s="132"/>
      <c r="G3" s="138"/>
      <c r="H3" s="138"/>
      <c r="I3" s="138"/>
      <c r="J3" s="148"/>
      <c r="K3" s="148"/>
      <c r="L3" s="148"/>
      <c r="O3" s="423" t="s">
        <v>262</v>
      </c>
      <c r="P3" s="424"/>
      <c r="Q3" s="423" t="s">
        <v>266</v>
      </c>
      <c r="R3" s="423" t="s">
        <v>267</v>
      </c>
      <c r="S3" s="423" t="s">
        <v>268</v>
      </c>
      <c r="T3" s="423" t="s">
        <v>269</v>
      </c>
      <c r="U3" s="423" t="s">
        <v>270</v>
      </c>
      <c r="V3" s="423" t="s">
        <v>271</v>
      </c>
      <c r="W3" s="423" t="s">
        <v>272</v>
      </c>
      <c r="X3" s="423" t="s">
        <v>273</v>
      </c>
      <c r="Y3" s="423" t="s">
        <v>274</v>
      </c>
    </row>
    <row r="4" spans="1:25" ht="11.25" customHeight="1">
      <c r="A4" s="132"/>
      <c r="B4" s="132"/>
      <c r="C4" s="132"/>
      <c r="D4" s="132"/>
      <c r="E4" s="132"/>
      <c r="F4" s="132"/>
      <c r="G4" s="138"/>
      <c r="H4" s="138"/>
      <c r="I4" s="138"/>
      <c r="J4" s="148"/>
      <c r="K4" s="148"/>
      <c r="L4" s="148"/>
      <c r="N4" s="423">
        <v>2017</v>
      </c>
      <c r="O4" s="423">
        <v>1</v>
      </c>
      <c r="P4" s="424">
        <v>1</v>
      </c>
      <c r="Q4" s="425">
        <v>13.85</v>
      </c>
      <c r="R4" s="425">
        <v>11.3</v>
      </c>
      <c r="S4" s="425">
        <v>104.02</v>
      </c>
      <c r="T4" s="425">
        <v>148.43</v>
      </c>
      <c r="U4" s="425">
        <v>24.1</v>
      </c>
      <c r="V4" s="425">
        <v>10.220000000000001</v>
      </c>
      <c r="W4" s="425">
        <v>3.28</v>
      </c>
      <c r="X4" s="425">
        <v>89.46</v>
      </c>
      <c r="Y4" s="425">
        <v>25.43</v>
      </c>
    </row>
    <row r="5" spans="1:25" ht="11.25" customHeight="1">
      <c r="A5" s="176"/>
      <c r="B5" s="176"/>
      <c r="C5" s="176"/>
      <c r="D5" s="176"/>
      <c r="E5" s="176"/>
      <c r="F5" s="176"/>
      <c r="G5" s="176"/>
      <c r="H5" s="176"/>
      <c r="I5" s="176"/>
      <c r="J5" s="24"/>
      <c r="K5" s="24"/>
      <c r="L5" s="131"/>
      <c r="P5" s="424">
        <v>2</v>
      </c>
      <c r="Q5" s="425">
        <v>14.96</v>
      </c>
      <c r="R5" s="425">
        <v>15.4</v>
      </c>
      <c r="S5" s="425">
        <v>143.97</v>
      </c>
      <c r="T5" s="425">
        <v>175.88</v>
      </c>
      <c r="U5" s="425">
        <v>33.74</v>
      </c>
      <c r="V5" s="425">
        <v>10.17</v>
      </c>
      <c r="W5" s="425">
        <v>6.45</v>
      </c>
      <c r="X5" s="425">
        <v>178.14</v>
      </c>
      <c r="Y5" s="425">
        <v>55.67</v>
      </c>
    </row>
    <row r="6" spans="1:25" ht="11.25" customHeight="1">
      <c r="A6" s="132"/>
      <c r="B6" s="301"/>
      <c r="C6" s="302"/>
      <c r="D6" s="303"/>
      <c r="E6" s="303"/>
      <c r="F6" s="177"/>
      <c r="G6" s="178"/>
      <c r="H6" s="178"/>
      <c r="I6" s="179"/>
      <c r="J6" s="24"/>
      <c r="K6" s="24"/>
      <c r="L6" s="19"/>
      <c r="P6" s="424">
        <v>3</v>
      </c>
      <c r="Q6" s="425">
        <v>28.98</v>
      </c>
      <c r="R6" s="425">
        <v>21.94</v>
      </c>
      <c r="S6" s="425">
        <v>355.12</v>
      </c>
      <c r="T6" s="425">
        <v>177.57</v>
      </c>
      <c r="U6" s="425">
        <v>35.49</v>
      </c>
      <c r="V6" s="425">
        <v>10</v>
      </c>
      <c r="W6" s="425">
        <v>9.0500000000000007</v>
      </c>
      <c r="X6" s="425">
        <v>174.94</v>
      </c>
      <c r="Y6" s="425">
        <v>58.31</v>
      </c>
    </row>
    <row r="7" spans="1:25" ht="11.25" customHeight="1">
      <c r="A7" s="132"/>
      <c r="B7" s="180"/>
      <c r="C7" s="180"/>
      <c r="D7" s="181"/>
      <c r="E7" s="181"/>
      <c r="F7" s="177"/>
      <c r="G7" s="178"/>
      <c r="H7" s="178"/>
      <c r="I7" s="179"/>
      <c r="J7" s="25"/>
      <c r="K7" s="25"/>
      <c r="L7" s="22"/>
      <c r="O7" s="423">
        <v>4</v>
      </c>
      <c r="P7" s="424">
        <v>4</v>
      </c>
      <c r="Q7" s="425">
        <v>30.46</v>
      </c>
      <c r="R7" s="425">
        <v>23.91</v>
      </c>
      <c r="S7" s="425">
        <v>519.4</v>
      </c>
      <c r="T7" s="425">
        <v>205.76</v>
      </c>
      <c r="U7" s="425">
        <v>48.48</v>
      </c>
      <c r="V7" s="425">
        <v>10</v>
      </c>
      <c r="W7" s="425">
        <v>2.4300000000000002</v>
      </c>
      <c r="X7" s="425">
        <v>141.31</v>
      </c>
      <c r="Y7" s="425">
        <v>47.49</v>
      </c>
    </row>
    <row r="8" spans="1:25" ht="11.25" customHeight="1">
      <c r="A8" s="132"/>
      <c r="B8" s="182"/>
      <c r="C8" s="132"/>
      <c r="D8" s="156"/>
      <c r="E8" s="156"/>
      <c r="F8" s="177"/>
      <c r="G8" s="178"/>
      <c r="H8" s="178"/>
      <c r="I8" s="179"/>
      <c r="J8" s="23"/>
      <c r="K8" s="23"/>
      <c r="L8" s="24"/>
      <c r="P8" s="424">
        <v>5</v>
      </c>
      <c r="Q8" s="425">
        <v>21.36</v>
      </c>
      <c r="R8" s="425">
        <v>18.07</v>
      </c>
      <c r="S8" s="425">
        <v>330.78</v>
      </c>
      <c r="T8" s="425">
        <v>123.41</v>
      </c>
      <c r="U8" s="425">
        <v>25.33</v>
      </c>
      <c r="V8" s="425">
        <v>11.41</v>
      </c>
      <c r="W8" s="425">
        <v>2.87</v>
      </c>
      <c r="X8" s="425">
        <v>123.59</v>
      </c>
      <c r="Y8" s="425">
        <v>45.46</v>
      </c>
    </row>
    <row r="9" spans="1:25" ht="11.25" customHeight="1">
      <c r="A9" s="132"/>
      <c r="B9" s="182"/>
      <c r="C9" s="132"/>
      <c r="D9" s="156"/>
      <c r="E9" s="156"/>
      <c r="F9" s="177"/>
      <c r="G9" s="178"/>
      <c r="H9" s="178"/>
      <c r="I9" s="179"/>
      <c r="J9" s="25"/>
      <c r="K9" s="26"/>
      <c r="L9" s="22"/>
      <c r="P9" s="424">
        <v>6</v>
      </c>
      <c r="Q9" s="425">
        <v>25.42</v>
      </c>
      <c r="R9" s="425">
        <v>21.42</v>
      </c>
      <c r="S9" s="425">
        <v>200.58</v>
      </c>
      <c r="T9" s="425">
        <v>108.48</v>
      </c>
      <c r="U9" s="425">
        <v>22.99</v>
      </c>
      <c r="V9" s="425">
        <v>10.57</v>
      </c>
      <c r="W9" s="425">
        <v>3.01</v>
      </c>
      <c r="X9" s="425">
        <v>85.48</v>
      </c>
      <c r="Y9" s="425">
        <v>28.56</v>
      </c>
    </row>
    <row r="10" spans="1:25" ht="11.25" customHeight="1">
      <c r="A10" s="132"/>
      <c r="B10" s="182"/>
      <c r="C10" s="132"/>
      <c r="D10" s="156"/>
      <c r="E10" s="156"/>
      <c r="F10" s="177"/>
      <c r="G10" s="178"/>
      <c r="H10" s="178"/>
      <c r="I10" s="179"/>
      <c r="J10" s="25"/>
      <c r="K10" s="25"/>
      <c r="L10" s="22"/>
      <c r="P10" s="424">
        <v>7</v>
      </c>
      <c r="Q10" s="425">
        <v>35.43</v>
      </c>
      <c r="R10" s="425">
        <v>25.12</v>
      </c>
      <c r="S10" s="425">
        <v>393.69</v>
      </c>
      <c r="T10" s="425">
        <v>144.62</v>
      </c>
      <c r="U10" s="425">
        <v>39.44</v>
      </c>
      <c r="V10" s="425">
        <v>10</v>
      </c>
      <c r="W10" s="425">
        <v>2.88</v>
      </c>
      <c r="X10" s="425">
        <v>100.57</v>
      </c>
      <c r="Y10" s="425">
        <v>25.04</v>
      </c>
    </row>
    <row r="11" spans="1:25" ht="11.25" customHeight="1">
      <c r="A11" s="132"/>
      <c r="B11" s="156"/>
      <c r="C11" s="132"/>
      <c r="D11" s="156"/>
      <c r="E11" s="156"/>
      <c r="F11" s="177"/>
      <c r="G11" s="178"/>
      <c r="H11" s="178"/>
      <c r="I11" s="179"/>
      <c r="J11" s="25"/>
      <c r="K11" s="25"/>
      <c r="L11" s="22"/>
      <c r="O11" s="423">
        <v>8</v>
      </c>
      <c r="P11" s="424">
        <v>8</v>
      </c>
      <c r="Q11" s="425">
        <v>30.45</v>
      </c>
      <c r="R11" s="425">
        <v>23.33</v>
      </c>
      <c r="S11" s="425">
        <v>345.37</v>
      </c>
      <c r="T11" s="425">
        <v>140.63</v>
      </c>
      <c r="U11" s="425">
        <v>30.47</v>
      </c>
      <c r="V11" s="425">
        <v>9.58</v>
      </c>
      <c r="W11" s="425">
        <v>2.0699999999999998</v>
      </c>
      <c r="X11" s="425">
        <v>163.72999999999999</v>
      </c>
      <c r="Y11" s="425">
        <v>58.84</v>
      </c>
    </row>
    <row r="12" spans="1:25" ht="11.25" customHeight="1">
      <c r="A12" s="132"/>
      <c r="B12" s="156"/>
      <c r="C12" s="132"/>
      <c r="D12" s="156"/>
      <c r="E12" s="156"/>
      <c r="F12" s="177"/>
      <c r="G12" s="178"/>
      <c r="H12" s="178"/>
      <c r="I12" s="179"/>
      <c r="J12" s="25"/>
      <c r="K12" s="25"/>
      <c r="L12" s="22"/>
      <c r="P12" s="424">
        <v>9</v>
      </c>
      <c r="Q12" s="425">
        <v>37.72</v>
      </c>
      <c r="R12" s="425">
        <v>24.83</v>
      </c>
      <c r="S12" s="425">
        <v>567.22</v>
      </c>
      <c r="T12" s="425">
        <v>245.85</v>
      </c>
      <c r="U12" s="425">
        <v>67.56</v>
      </c>
      <c r="V12" s="425">
        <v>9.01</v>
      </c>
      <c r="W12" s="425">
        <v>7.33</v>
      </c>
      <c r="X12" s="425">
        <v>285.31</v>
      </c>
      <c r="Y12" s="425">
        <v>102.26</v>
      </c>
    </row>
    <row r="13" spans="1:25" ht="11.25" customHeight="1">
      <c r="A13" s="132"/>
      <c r="B13" s="156"/>
      <c r="C13" s="132"/>
      <c r="D13" s="156"/>
      <c r="E13" s="156"/>
      <c r="F13" s="177"/>
      <c r="G13" s="178"/>
      <c r="H13" s="178"/>
      <c r="I13" s="179"/>
      <c r="J13" s="23"/>
      <c r="K13" s="23"/>
      <c r="L13" s="24"/>
      <c r="P13" s="424">
        <v>10</v>
      </c>
      <c r="Q13" s="425">
        <v>36.46</v>
      </c>
      <c r="R13" s="425">
        <v>24.95</v>
      </c>
      <c r="S13" s="425">
        <v>467.04</v>
      </c>
      <c r="T13" s="425">
        <v>188.01</v>
      </c>
      <c r="U13" s="425">
        <v>50.5</v>
      </c>
      <c r="V13" s="425">
        <v>10.06</v>
      </c>
      <c r="W13" s="425">
        <v>3.71</v>
      </c>
      <c r="X13" s="425">
        <v>374.33</v>
      </c>
      <c r="Y13" s="425">
        <v>83.74</v>
      </c>
    </row>
    <row r="14" spans="1:25" ht="11.25" customHeight="1">
      <c r="A14" s="132"/>
      <c r="B14" s="156"/>
      <c r="C14" s="132"/>
      <c r="D14" s="156"/>
      <c r="E14" s="156"/>
      <c r="F14" s="177"/>
      <c r="G14" s="178"/>
      <c r="H14" s="178"/>
      <c r="I14" s="179"/>
      <c r="J14" s="25"/>
      <c r="K14" s="26"/>
      <c r="L14" s="22"/>
      <c r="P14" s="424">
        <v>11</v>
      </c>
      <c r="Q14" s="425">
        <v>35.590000000000003</v>
      </c>
      <c r="R14" s="425">
        <v>26.89</v>
      </c>
      <c r="S14" s="425">
        <v>448.3</v>
      </c>
      <c r="T14" s="425">
        <v>169.95</v>
      </c>
      <c r="U14" s="425">
        <v>51.21</v>
      </c>
      <c r="V14" s="425">
        <v>26.15</v>
      </c>
      <c r="W14" s="425">
        <v>8.66</v>
      </c>
      <c r="X14" s="425">
        <v>219.86</v>
      </c>
      <c r="Y14" s="425">
        <v>62.42</v>
      </c>
    </row>
    <row r="15" spans="1:25" ht="11.25" customHeight="1">
      <c r="A15" s="132"/>
      <c r="B15" s="156"/>
      <c r="C15" s="132"/>
      <c r="D15" s="156"/>
      <c r="E15" s="156"/>
      <c r="F15" s="177"/>
      <c r="G15" s="178"/>
      <c r="H15" s="178"/>
      <c r="I15" s="179"/>
      <c r="J15" s="25"/>
      <c r="K15" s="26"/>
      <c r="L15" s="22"/>
      <c r="O15" s="423">
        <v>12</v>
      </c>
      <c r="P15" s="424">
        <v>12</v>
      </c>
      <c r="Q15" s="425">
        <v>37.82</v>
      </c>
      <c r="R15" s="425">
        <v>20.6</v>
      </c>
      <c r="S15" s="425">
        <v>350.87</v>
      </c>
      <c r="T15" s="425">
        <v>146.01</v>
      </c>
      <c r="U15" s="425">
        <v>38.08</v>
      </c>
      <c r="V15" s="425">
        <v>12.43</v>
      </c>
      <c r="W15" s="425">
        <v>5.63</v>
      </c>
      <c r="X15" s="425">
        <v>190.11</v>
      </c>
      <c r="Y15" s="425">
        <v>52.01</v>
      </c>
    </row>
    <row r="16" spans="1:25" ht="11.25" customHeight="1">
      <c r="A16" s="132"/>
      <c r="B16" s="156"/>
      <c r="C16" s="132"/>
      <c r="D16" s="156"/>
      <c r="E16" s="156"/>
      <c r="F16" s="177"/>
      <c r="G16" s="178"/>
      <c r="H16" s="178"/>
      <c r="I16" s="179"/>
      <c r="J16" s="25"/>
      <c r="K16" s="26"/>
      <c r="L16" s="22"/>
      <c r="P16" s="424">
        <v>13</v>
      </c>
      <c r="Q16" s="425">
        <v>35.93</v>
      </c>
      <c r="R16" s="425">
        <v>24.02</v>
      </c>
      <c r="S16" s="425">
        <v>380.48</v>
      </c>
      <c r="T16" s="425">
        <v>173.02</v>
      </c>
      <c r="U16" s="425">
        <v>38.869999999999997</v>
      </c>
      <c r="V16" s="425">
        <v>11.98</v>
      </c>
      <c r="W16" s="425">
        <v>5.83</v>
      </c>
      <c r="X16" s="425">
        <v>272.08999999999997</v>
      </c>
      <c r="Y16" s="425">
        <v>65.430000000000007</v>
      </c>
    </row>
    <row r="17" spans="1:25" ht="11.25" customHeight="1">
      <c r="A17" s="132"/>
      <c r="B17" s="156"/>
      <c r="C17" s="132"/>
      <c r="D17" s="156"/>
      <c r="E17" s="156"/>
      <c r="F17" s="177"/>
      <c r="G17" s="178"/>
      <c r="H17" s="178"/>
      <c r="I17" s="179"/>
      <c r="J17" s="25"/>
      <c r="K17" s="26"/>
      <c r="L17" s="22"/>
      <c r="P17" s="424">
        <v>14</v>
      </c>
      <c r="Q17" s="425">
        <v>42.9</v>
      </c>
      <c r="R17" s="425">
        <v>17.87</v>
      </c>
      <c r="S17" s="425">
        <v>427.28</v>
      </c>
      <c r="T17" s="425">
        <v>137.65</v>
      </c>
      <c r="U17" s="425">
        <v>35.950000000000003</v>
      </c>
      <c r="V17" s="425">
        <v>28.72</v>
      </c>
      <c r="W17" s="425">
        <v>4.95</v>
      </c>
      <c r="X17" s="425">
        <v>301.82</v>
      </c>
      <c r="Y17" s="425">
        <v>71.06</v>
      </c>
    </row>
    <row r="18" spans="1:25" ht="11.25" customHeight="1">
      <c r="A18" s="969" t="s">
        <v>469</v>
      </c>
      <c r="B18" s="969"/>
      <c r="C18" s="969"/>
      <c r="D18" s="969"/>
      <c r="E18" s="969"/>
      <c r="F18" s="969"/>
      <c r="G18" s="969"/>
      <c r="H18" s="969"/>
      <c r="I18" s="969"/>
      <c r="J18" s="969"/>
      <c r="K18" s="969"/>
      <c r="L18" s="969"/>
      <c r="P18" s="424">
        <v>15</v>
      </c>
      <c r="Q18" s="425">
        <v>31.19</v>
      </c>
      <c r="R18" s="425">
        <v>17.87</v>
      </c>
      <c r="S18" s="425">
        <v>334.14</v>
      </c>
      <c r="T18" s="425">
        <v>129.9</v>
      </c>
      <c r="U18" s="425">
        <v>29.93</v>
      </c>
      <c r="V18" s="425">
        <v>16.28</v>
      </c>
      <c r="W18" s="425">
        <v>1.82</v>
      </c>
      <c r="X18" s="425">
        <v>203.49</v>
      </c>
      <c r="Y18" s="425">
        <v>77.099999999999994</v>
      </c>
    </row>
    <row r="19" spans="1:25" ht="11.25" customHeight="1">
      <c r="A19" s="25"/>
      <c r="B19" s="156"/>
      <c r="C19" s="132"/>
      <c r="D19" s="156"/>
      <c r="E19" s="156"/>
      <c r="F19" s="177"/>
      <c r="G19" s="178"/>
      <c r="H19" s="178"/>
      <c r="I19" s="179"/>
      <c r="J19" s="25"/>
      <c r="K19" s="26"/>
      <c r="L19" s="22"/>
      <c r="O19" s="423">
        <v>16</v>
      </c>
      <c r="P19" s="424">
        <v>16</v>
      </c>
      <c r="Q19" s="425">
        <v>22.8</v>
      </c>
      <c r="R19" s="425">
        <v>11.46</v>
      </c>
      <c r="S19" s="425">
        <v>218.96</v>
      </c>
      <c r="T19" s="425">
        <v>100.66</v>
      </c>
      <c r="U19" s="425">
        <v>21.85</v>
      </c>
      <c r="V19" s="425">
        <v>15.43</v>
      </c>
      <c r="W19" s="425">
        <v>2.33</v>
      </c>
      <c r="X19" s="425">
        <v>155.33000000000001</v>
      </c>
      <c r="Y19" s="425">
        <v>48.77</v>
      </c>
    </row>
    <row r="20" spans="1:25" ht="11.25" customHeight="1">
      <c r="A20" s="132"/>
      <c r="B20" s="156"/>
      <c r="C20" s="132"/>
      <c r="D20" s="156"/>
      <c r="E20" s="156"/>
      <c r="F20" s="177"/>
      <c r="G20" s="178"/>
      <c r="H20" s="178"/>
      <c r="I20" s="179"/>
      <c r="J20" s="25"/>
      <c r="K20" s="26"/>
      <c r="L20" s="22"/>
      <c r="P20" s="424">
        <v>17</v>
      </c>
      <c r="Q20" s="425">
        <v>20.18</v>
      </c>
      <c r="R20" s="425">
        <v>11.46</v>
      </c>
      <c r="S20" s="425">
        <v>180.47</v>
      </c>
      <c r="T20" s="425">
        <v>91.24</v>
      </c>
      <c r="U20" s="425">
        <v>18.89</v>
      </c>
      <c r="V20" s="425">
        <v>12.29</v>
      </c>
      <c r="W20" s="425">
        <v>1.9</v>
      </c>
      <c r="X20" s="425">
        <v>111.37</v>
      </c>
      <c r="Y20" s="425">
        <v>34.409999999999997</v>
      </c>
    </row>
    <row r="21" spans="1:25" ht="11.25" customHeight="1">
      <c r="A21" s="132"/>
      <c r="B21" s="156"/>
      <c r="C21" s="132"/>
      <c r="D21" s="156"/>
      <c r="E21" s="156"/>
      <c r="F21" s="177"/>
      <c r="G21" s="178"/>
      <c r="H21" s="178"/>
      <c r="I21" s="179"/>
      <c r="J21" s="25"/>
      <c r="K21" s="29"/>
      <c r="L21" s="30"/>
      <c r="P21" s="424">
        <v>18</v>
      </c>
      <c r="Q21" s="425">
        <v>19.84</v>
      </c>
      <c r="R21" s="425">
        <v>10.36</v>
      </c>
      <c r="S21" s="425">
        <v>212.89</v>
      </c>
      <c r="T21" s="425">
        <v>98.95</v>
      </c>
      <c r="U21" s="425">
        <v>19.899999999999999</v>
      </c>
      <c r="V21" s="425">
        <v>11.64</v>
      </c>
      <c r="W21" s="425">
        <v>1.46</v>
      </c>
      <c r="X21" s="425">
        <v>117.05</v>
      </c>
      <c r="Y21" s="425">
        <v>28.8</v>
      </c>
    </row>
    <row r="22" spans="1:25" ht="11.25" customHeight="1">
      <c r="A22" s="137"/>
      <c r="B22" s="156"/>
      <c r="C22" s="132"/>
      <c r="D22" s="156"/>
      <c r="E22" s="156"/>
      <c r="F22" s="177"/>
      <c r="G22" s="178"/>
      <c r="H22" s="178"/>
      <c r="I22" s="179"/>
      <c r="J22" s="25"/>
      <c r="K22" s="26"/>
      <c r="L22" s="22"/>
      <c r="P22" s="424">
        <v>19</v>
      </c>
      <c r="Q22" s="425">
        <v>21.4</v>
      </c>
      <c r="R22" s="425">
        <v>9.25</v>
      </c>
      <c r="S22" s="425">
        <v>199.54</v>
      </c>
      <c r="T22" s="425">
        <v>89.02</v>
      </c>
      <c r="U22" s="425">
        <v>15.9</v>
      </c>
      <c r="V22" s="425">
        <v>11</v>
      </c>
      <c r="W22" s="425">
        <v>1.36</v>
      </c>
      <c r="X22" s="425">
        <v>79.2</v>
      </c>
      <c r="Y22" s="425">
        <v>22.78</v>
      </c>
    </row>
    <row r="23" spans="1:25" ht="11.25" customHeight="1">
      <c r="A23" s="137"/>
      <c r="B23" s="156"/>
      <c r="C23" s="132"/>
      <c r="D23" s="156"/>
      <c r="E23" s="156"/>
      <c r="F23" s="177"/>
      <c r="G23" s="178"/>
      <c r="H23" s="178"/>
      <c r="I23" s="179"/>
      <c r="J23" s="25"/>
      <c r="K23" s="26"/>
      <c r="L23" s="22"/>
      <c r="O23" s="423">
        <v>20</v>
      </c>
      <c r="P23" s="424">
        <v>20</v>
      </c>
      <c r="Q23" s="425">
        <v>17.23</v>
      </c>
      <c r="R23" s="425">
        <v>6.32</v>
      </c>
      <c r="S23" s="425">
        <v>136.84</v>
      </c>
      <c r="T23" s="425">
        <v>72.95</v>
      </c>
      <c r="U23" s="425">
        <v>15.03</v>
      </c>
      <c r="V23" s="425">
        <v>11</v>
      </c>
      <c r="W23" s="425">
        <v>1.98</v>
      </c>
      <c r="X23" s="425">
        <v>69.37</v>
      </c>
      <c r="Y23" s="425">
        <v>17.8</v>
      </c>
    </row>
    <row r="24" spans="1:25" ht="11.25" customHeight="1">
      <c r="A24" s="137"/>
      <c r="B24" s="156"/>
      <c r="C24" s="132"/>
      <c r="D24" s="156"/>
      <c r="E24" s="156"/>
      <c r="F24" s="177"/>
      <c r="G24" s="178"/>
      <c r="H24" s="178"/>
      <c r="I24" s="179"/>
      <c r="J24" s="26"/>
      <c r="K24" s="26"/>
      <c r="L24" s="22"/>
      <c r="P24" s="424">
        <v>21</v>
      </c>
      <c r="Q24" s="425">
        <v>16.09</v>
      </c>
      <c r="R24" s="425">
        <v>6.32</v>
      </c>
      <c r="S24" s="425">
        <v>116.86</v>
      </c>
      <c r="T24" s="425">
        <v>99.42</v>
      </c>
      <c r="U24" s="425">
        <v>20.059999999999999</v>
      </c>
      <c r="V24" s="425">
        <v>11.01</v>
      </c>
      <c r="W24" s="425">
        <v>1.6</v>
      </c>
      <c r="X24" s="425">
        <v>68.8</v>
      </c>
      <c r="Y24" s="425">
        <v>17.84</v>
      </c>
    </row>
    <row r="25" spans="1:25" ht="11.25" customHeight="1">
      <c r="A25" s="137"/>
      <c r="B25" s="156"/>
      <c r="C25" s="132"/>
      <c r="D25" s="156"/>
      <c r="E25" s="156"/>
      <c r="F25" s="177"/>
      <c r="G25" s="178"/>
      <c r="H25" s="178"/>
      <c r="I25" s="179"/>
      <c r="J25" s="25"/>
      <c r="K25" s="29"/>
      <c r="L25" s="30"/>
      <c r="P25" s="424">
        <v>22</v>
      </c>
      <c r="Q25" s="425">
        <v>15.1</v>
      </c>
      <c r="R25" s="425">
        <v>5.59</v>
      </c>
      <c r="S25" s="425">
        <v>118.58</v>
      </c>
      <c r="T25" s="425">
        <v>79.099999999999994</v>
      </c>
      <c r="U25" s="425">
        <v>16</v>
      </c>
      <c r="V25" s="425">
        <v>11</v>
      </c>
      <c r="W25" s="425">
        <v>1.01</v>
      </c>
      <c r="X25" s="425">
        <v>69.05</v>
      </c>
      <c r="Y25" s="425">
        <v>16.37</v>
      </c>
    </row>
    <row r="26" spans="1:25" ht="11.25" customHeight="1">
      <c r="A26" s="137"/>
      <c r="B26" s="156"/>
      <c r="C26" s="132"/>
      <c r="D26" s="156"/>
      <c r="E26" s="156"/>
      <c r="F26" s="138"/>
      <c r="G26" s="138"/>
      <c r="H26" s="138"/>
      <c r="I26" s="138"/>
      <c r="J26" s="23"/>
      <c r="K26" s="26"/>
      <c r="L26" s="22"/>
      <c r="P26" s="424">
        <v>23</v>
      </c>
      <c r="Q26" s="425">
        <v>14.28</v>
      </c>
      <c r="R26" s="425">
        <v>4.8499999999999996</v>
      </c>
      <c r="S26" s="425">
        <v>112.05</v>
      </c>
      <c r="T26" s="425">
        <v>63.27</v>
      </c>
      <c r="U26" s="425">
        <v>13.78</v>
      </c>
      <c r="V26" s="425">
        <v>11</v>
      </c>
      <c r="W26" s="425">
        <v>1.82</v>
      </c>
      <c r="X26" s="425">
        <v>54.09</v>
      </c>
      <c r="Y26" s="425">
        <v>13.15</v>
      </c>
    </row>
    <row r="27" spans="1:25" ht="11.25" customHeight="1">
      <c r="A27" s="137"/>
      <c r="B27" s="156"/>
      <c r="C27" s="132"/>
      <c r="D27" s="156"/>
      <c r="E27" s="156"/>
      <c r="F27" s="138"/>
      <c r="G27" s="138"/>
      <c r="H27" s="138"/>
      <c r="I27" s="138"/>
      <c r="J27" s="23"/>
      <c r="K27" s="26"/>
      <c r="L27" s="22"/>
      <c r="O27" s="423">
        <v>24</v>
      </c>
      <c r="P27" s="424">
        <v>24</v>
      </c>
      <c r="Q27" s="425">
        <v>13.3</v>
      </c>
      <c r="R27" s="425">
        <v>4.8499999999999996</v>
      </c>
      <c r="S27" s="425">
        <v>91.62</v>
      </c>
      <c r="T27" s="425">
        <v>49.79</v>
      </c>
      <c r="U27" s="425">
        <v>11.29</v>
      </c>
      <c r="V27" s="425">
        <v>11</v>
      </c>
      <c r="W27" s="425">
        <v>1.89</v>
      </c>
      <c r="X27" s="425">
        <v>45.31</v>
      </c>
      <c r="Y27" s="425">
        <v>10.85</v>
      </c>
    </row>
    <row r="28" spans="1:25" ht="11.25" customHeight="1">
      <c r="A28" s="136"/>
      <c r="B28" s="138"/>
      <c r="C28" s="138"/>
      <c r="D28" s="138"/>
      <c r="E28" s="138"/>
      <c r="F28" s="138"/>
      <c r="G28" s="138"/>
      <c r="H28" s="138"/>
      <c r="I28" s="138"/>
      <c r="J28" s="25"/>
      <c r="K28" s="26"/>
      <c r="L28" s="22"/>
      <c r="P28" s="424">
        <v>25</v>
      </c>
      <c r="Q28" s="425">
        <v>12.63</v>
      </c>
      <c r="R28" s="425">
        <v>3.77</v>
      </c>
      <c r="S28" s="425">
        <v>81.33</v>
      </c>
      <c r="T28" s="425">
        <v>46.74</v>
      </c>
      <c r="U28" s="425">
        <v>10.02</v>
      </c>
      <c r="V28" s="425">
        <v>11</v>
      </c>
      <c r="W28" s="425">
        <v>1.77</v>
      </c>
      <c r="X28" s="425">
        <v>40.42</v>
      </c>
      <c r="Y28" s="425">
        <v>8.98</v>
      </c>
    </row>
    <row r="29" spans="1:25" ht="11.25" customHeight="1">
      <c r="A29" s="136"/>
      <c r="B29" s="138"/>
      <c r="C29" s="138"/>
      <c r="D29" s="138"/>
      <c r="E29" s="138"/>
      <c r="F29" s="138"/>
      <c r="G29" s="138"/>
      <c r="H29" s="138"/>
      <c r="I29" s="138"/>
      <c r="J29" s="25"/>
      <c r="K29" s="26"/>
      <c r="L29" s="22"/>
      <c r="P29" s="424">
        <v>26</v>
      </c>
      <c r="Q29" s="425">
        <v>11.92</v>
      </c>
      <c r="R29" s="425">
        <v>3.77</v>
      </c>
      <c r="S29" s="425">
        <v>80.900000000000006</v>
      </c>
      <c r="T29" s="425">
        <v>41.45</v>
      </c>
      <c r="U29" s="425">
        <v>9.24</v>
      </c>
      <c r="V29" s="425">
        <v>12</v>
      </c>
      <c r="W29" s="425">
        <v>1.86</v>
      </c>
      <c r="X29" s="425">
        <v>37.89</v>
      </c>
      <c r="Y29" s="425">
        <v>9.41</v>
      </c>
    </row>
    <row r="30" spans="1:25" ht="11.25" customHeight="1">
      <c r="A30" s="136"/>
      <c r="B30" s="138"/>
      <c r="C30" s="138"/>
      <c r="D30" s="138"/>
      <c r="E30" s="138"/>
      <c r="F30" s="138"/>
      <c r="G30" s="138"/>
      <c r="H30" s="138"/>
      <c r="I30" s="138"/>
      <c r="J30" s="25"/>
      <c r="K30" s="26"/>
      <c r="L30" s="22"/>
      <c r="P30" s="424">
        <v>27</v>
      </c>
      <c r="Q30" s="425">
        <v>11.92</v>
      </c>
      <c r="R30" s="425">
        <v>3.91</v>
      </c>
      <c r="S30" s="425">
        <v>82.99</v>
      </c>
      <c r="T30" s="425">
        <v>60.31</v>
      </c>
      <c r="U30" s="425">
        <v>9.73</v>
      </c>
      <c r="V30" s="425">
        <v>12</v>
      </c>
      <c r="W30" s="425">
        <v>1.9</v>
      </c>
      <c r="X30" s="425">
        <v>38.229999999999997</v>
      </c>
      <c r="Y30" s="425">
        <v>8.58</v>
      </c>
    </row>
    <row r="31" spans="1:25" ht="11.25" customHeight="1">
      <c r="A31" s="136"/>
      <c r="B31" s="138"/>
      <c r="C31" s="138"/>
      <c r="D31" s="138"/>
      <c r="E31" s="138"/>
      <c r="F31" s="138"/>
      <c r="G31" s="138"/>
      <c r="H31" s="138"/>
      <c r="I31" s="138"/>
      <c r="J31" s="25"/>
      <c r="K31" s="26"/>
      <c r="L31" s="22"/>
      <c r="O31" s="423">
        <v>28</v>
      </c>
      <c r="P31" s="424">
        <v>28</v>
      </c>
      <c r="Q31" s="425">
        <v>11.04</v>
      </c>
      <c r="R31" s="425">
        <v>3.91</v>
      </c>
      <c r="S31" s="425">
        <v>71.739999999999995</v>
      </c>
      <c r="T31" s="425">
        <v>39.090000000000003</v>
      </c>
      <c r="U31" s="425">
        <v>8.42</v>
      </c>
      <c r="V31" s="425">
        <v>12</v>
      </c>
      <c r="W31" s="425">
        <v>1.65</v>
      </c>
      <c r="X31" s="425">
        <v>33.9</v>
      </c>
      <c r="Y31" s="425">
        <v>6.64</v>
      </c>
    </row>
    <row r="32" spans="1:25" ht="11.25" customHeight="1">
      <c r="A32" s="136"/>
      <c r="B32" s="138"/>
      <c r="C32" s="138"/>
      <c r="D32" s="138"/>
      <c r="E32" s="138"/>
      <c r="F32" s="138"/>
      <c r="G32" s="138"/>
      <c r="H32" s="138"/>
      <c r="I32" s="138"/>
      <c r="J32" s="26"/>
      <c r="K32" s="26"/>
      <c r="L32" s="22"/>
      <c r="P32" s="424">
        <v>29</v>
      </c>
      <c r="Q32" s="425">
        <v>10.27</v>
      </c>
      <c r="R32" s="425">
        <v>3.42</v>
      </c>
      <c r="S32" s="425">
        <v>67.8</v>
      </c>
      <c r="T32" s="425">
        <v>32.590000000000003</v>
      </c>
      <c r="U32" s="425">
        <v>7.7</v>
      </c>
      <c r="V32" s="425">
        <v>10.51</v>
      </c>
      <c r="W32" s="425">
        <v>1.79</v>
      </c>
      <c r="X32" s="425">
        <v>31.97</v>
      </c>
      <c r="Y32" s="425">
        <v>6.49</v>
      </c>
    </row>
    <row r="33" spans="1:25" ht="11.25" customHeight="1">
      <c r="A33" s="136"/>
      <c r="B33" s="138"/>
      <c r="C33" s="138"/>
      <c r="D33" s="138"/>
      <c r="E33" s="138"/>
      <c r="F33" s="138"/>
      <c r="G33" s="138"/>
      <c r="H33" s="138"/>
      <c r="I33" s="138"/>
      <c r="J33" s="25"/>
      <c r="K33" s="26"/>
      <c r="L33" s="22"/>
      <c r="P33" s="424">
        <v>30</v>
      </c>
      <c r="Q33" s="425">
        <v>9.4700000000000006</v>
      </c>
      <c r="R33" s="425">
        <v>3.42</v>
      </c>
      <c r="S33" s="425">
        <v>69.62</v>
      </c>
      <c r="T33" s="425">
        <v>28.39</v>
      </c>
      <c r="U33" s="425">
        <v>7.39</v>
      </c>
      <c r="V33" s="425">
        <v>12</v>
      </c>
      <c r="W33" s="425">
        <v>1.64</v>
      </c>
      <c r="X33" s="425">
        <v>31.76</v>
      </c>
      <c r="Y33" s="425">
        <v>6.15</v>
      </c>
    </row>
    <row r="34" spans="1:25" ht="11.25" customHeight="1">
      <c r="A34" s="136"/>
      <c r="B34" s="138"/>
      <c r="C34" s="138"/>
      <c r="D34" s="138"/>
      <c r="E34" s="138"/>
      <c r="F34" s="138"/>
      <c r="G34" s="138"/>
      <c r="H34" s="138"/>
      <c r="I34" s="138"/>
      <c r="J34" s="25"/>
      <c r="K34" s="34"/>
      <c r="L34" s="22"/>
      <c r="P34" s="424">
        <v>31</v>
      </c>
      <c r="Q34" s="425">
        <v>9.0500000000000007</v>
      </c>
      <c r="R34" s="425">
        <v>3.3</v>
      </c>
      <c r="S34" s="425">
        <v>61.71</v>
      </c>
      <c r="T34" s="425">
        <v>26.51</v>
      </c>
      <c r="U34" s="425">
        <v>7.02</v>
      </c>
      <c r="V34" s="425">
        <v>12</v>
      </c>
      <c r="W34" s="425">
        <v>1.87</v>
      </c>
      <c r="X34" s="425">
        <v>31.68</v>
      </c>
      <c r="Y34" s="425">
        <v>5.51</v>
      </c>
    </row>
    <row r="35" spans="1:25" ht="11.25" customHeight="1">
      <c r="A35" s="136"/>
      <c r="B35" s="138"/>
      <c r="C35" s="138"/>
      <c r="D35" s="138"/>
      <c r="E35" s="138"/>
      <c r="F35" s="138"/>
      <c r="G35" s="138"/>
      <c r="H35" s="138"/>
      <c r="I35" s="138"/>
      <c r="J35" s="25"/>
      <c r="K35" s="34"/>
      <c r="L35" s="38"/>
      <c r="O35" s="423">
        <v>32</v>
      </c>
      <c r="P35" s="424">
        <v>32</v>
      </c>
      <c r="Q35" s="425">
        <v>9.9</v>
      </c>
      <c r="R35" s="425">
        <v>2.68</v>
      </c>
      <c r="S35" s="425">
        <v>65.38</v>
      </c>
      <c r="T35" s="425">
        <v>24.1</v>
      </c>
      <c r="U35" s="425">
        <v>6.7</v>
      </c>
      <c r="V35" s="425">
        <v>12</v>
      </c>
      <c r="W35" s="425">
        <v>1.95</v>
      </c>
      <c r="X35" s="425">
        <v>31.01</v>
      </c>
      <c r="Y35" s="425">
        <v>5.16</v>
      </c>
    </row>
    <row r="36" spans="1:25" ht="11.25" customHeight="1">
      <c r="A36" s="136"/>
      <c r="B36" s="138"/>
      <c r="C36" s="138"/>
      <c r="D36" s="138"/>
      <c r="E36" s="138"/>
      <c r="F36" s="138"/>
      <c r="G36" s="138"/>
      <c r="H36" s="138"/>
      <c r="I36" s="138"/>
      <c r="J36" s="25"/>
      <c r="K36" s="29"/>
      <c r="L36" s="22"/>
      <c r="P36" s="424">
        <v>33</v>
      </c>
      <c r="Q36" s="425">
        <v>9.17</v>
      </c>
      <c r="R36" s="425">
        <v>2.4300000000000002</v>
      </c>
      <c r="S36" s="425">
        <v>59.63</v>
      </c>
      <c r="T36" s="425">
        <v>24.29</v>
      </c>
      <c r="U36" s="425">
        <v>6.44</v>
      </c>
      <c r="V36" s="425">
        <v>12</v>
      </c>
      <c r="W36" s="425">
        <v>1.82</v>
      </c>
      <c r="X36" s="425">
        <v>30.23</v>
      </c>
      <c r="Y36" s="425">
        <v>5.27</v>
      </c>
    </row>
    <row r="37" spans="1:25" ht="11.25" customHeight="1">
      <c r="A37" s="136"/>
      <c r="B37" s="138"/>
      <c r="C37" s="138"/>
      <c r="D37" s="138"/>
      <c r="E37" s="138"/>
      <c r="F37" s="138"/>
      <c r="G37" s="138"/>
      <c r="H37" s="138"/>
      <c r="I37" s="138"/>
      <c r="J37" s="25"/>
      <c r="K37" s="29"/>
      <c r="L37" s="22"/>
      <c r="P37" s="424">
        <v>34</v>
      </c>
      <c r="Q37" s="425">
        <v>7.78</v>
      </c>
      <c r="R37" s="425">
        <v>2.61</v>
      </c>
      <c r="S37" s="425">
        <v>60.62</v>
      </c>
      <c r="T37" s="425">
        <v>25.9</v>
      </c>
      <c r="U37" s="425">
        <v>6.62</v>
      </c>
      <c r="V37" s="425">
        <v>12</v>
      </c>
      <c r="W37" s="425">
        <v>1.89</v>
      </c>
      <c r="X37" s="425">
        <v>32.17</v>
      </c>
      <c r="Y37" s="425">
        <v>5.0599999999999996</v>
      </c>
    </row>
    <row r="38" spans="1:25" ht="11.25" customHeight="1">
      <c r="A38" s="136"/>
      <c r="B38" s="138"/>
      <c r="C38" s="138"/>
      <c r="D38" s="138"/>
      <c r="E38" s="138"/>
      <c r="F38" s="138"/>
      <c r="G38" s="138"/>
      <c r="H38" s="138"/>
      <c r="I38" s="138"/>
      <c r="J38" s="25"/>
      <c r="K38" s="29"/>
      <c r="L38" s="22"/>
      <c r="P38" s="424">
        <v>35</v>
      </c>
      <c r="Q38" s="425">
        <v>7.73</v>
      </c>
      <c r="R38" s="425">
        <v>3.07</v>
      </c>
      <c r="S38" s="425">
        <v>58.47</v>
      </c>
      <c r="T38" s="425">
        <v>26.33</v>
      </c>
      <c r="U38" s="425">
        <v>6.66</v>
      </c>
      <c r="V38" s="425">
        <v>12.14</v>
      </c>
      <c r="W38" s="425">
        <v>1.97</v>
      </c>
      <c r="X38" s="425">
        <v>31.63</v>
      </c>
      <c r="Y38" s="425">
        <v>4.84</v>
      </c>
    </row>
    <row r="39" spans="1:25" ht="11.25" customHeight="1">
      <c r="O39" s="423">
        <v>36</v>
      </c>
      <c r="P39" s="424">
        <v>36</v>
      </c>
      <c r="Q39" s="425">
        <v>7.1</v>
      </c>
      <c r="R39" s="425">
        <v>3.57</v>
      </c>
      <c r="S39" s="425">
        <v>61.13</v>
      </c>
      <c r="T39" s="425">
        <v>27.35</v>
      </c>
      <c r="U39" s="425">
        <v>6.84</v>
      </c>
      <c r="V39" s="425">
        <v>13</v>
      </c>
      <c r="W39" s="425">
        <v>1.76</v>
      </c>
      <c r="X39" s="425">
        <v>34.090000000000003</v>
      </c>
      <c r="Y39" s="425">
        <v>4.8899999999999997</v>
      </c>
    </row>
    <row r="40" spans="1:25" ht="11.25" customHeight="1">
      <c r="A40" s="969" t="s">
        <v>470</v>
      </c>
      <c r="B40" s="969"/>
      <c r="C40" s="969"/>
      <c r="D40" s="969"/>
      <c r="E40" s="969"/>
      <c r="F40" s="969"/>
      <c r="G40" s="969"/>
      <c r="H40" s="969"/>
      <c r="I40" s="969"/>
      <c r="J40" s="969"/>
      <c r="K40" s="969"/>
      <c r="L40" s="969"/>
      <c r="P40" s="424">
        <v>37</v>
      </c>
      <c r="Q40" s="425">
        <v>7.53</v>
      </c>
      <c r="R40" s="425">
        <v>5.04</v>
      </c>
      <c r="S40" s="425">
        <v>59.93</v>
      </c>
      <c r="T40" s="425">
        <v>34.56</v>
      </c>
      <c r="U40" s="425">
        <v>7.96</v>
      </c>
      <c r="V40" s="425">
        <v>13</v>
      </c>
      <c r="W40" s="425">
        <v>1.7</v>
      </c>
      <c r="X40" s="425">
        <v>38.06</v>
      </c>
      <c r="Y40" s="425">
        <v>8.4</v>
      </c>
    </row>
    <row r="41" spans="1:25" ht="11.25" customHeight="1">
      <c r="P41" s="424">
        <v>38</v>
      </c>
      <c r="Q41" s="425">
        <v>9.73</v>
      </c>
      <c r="R41" s="425">
        <v>3.75</v>
      </c>
      <c r="S41" s="425">
        <v>64.319999999999993</v>
      </c>
      <c r="T41" s="425">
        <v>41.74</v>
      </c>
      <c r="U41" s="425">
        <v>9.43</v>
      </c>
      <c r="V41" s="425">
        <v>13</v>
      </c>
      <c r="W41" s="425">
        <v>1.77</v>
      </c>
      <c r="X41" s="425">
        <v>41.12</v>
      </c>
      <c r="Y41" s="425">
        <v>6.42</v>
      </c>
    </row>
    <row r="42" spans="1:25" ht="11.25" customHeight="1">
      <c r="A42" s="136"/>
      <c r="B42" s="138"/>
      <c r="C42" s="138"/>
      <c r="D42" s="138"/>
      <c r="E42" s="138"/>
      <c r="F42" s="138"/>
      <c r="G42" s="138"/>
      <c r="H42" s="138"/>
      <c r="I42" s="138"/>
      <c r="O42" s="423">
        <v>39</v>
      </c>
      <c r="P42" s="424">
        <v>39</v>
      </c>
      <c r="Q42" s="425">
        <v>7.21</v>
      </c>
      <c r="R42" s="425">
        <v>3.83</v>
      </c>
      <c r="S42" s="425">
        <v>66.83</v>
      </c>
      <c r="T42" s="425">
        <v>46.48</v>
      </c>
      <c r="U42" s="425">
        <v>7.93</v>
      </c>
      <c r="V42" s="425">
        <v>13</v>
      </c>
      <c r="W42" s="425">
        <v>1.99</v>
      </c>
      <c r="X42" s="425">
        <v>33.06</v>
      </c>
      <c r="Y42" s="425">
        <v>7.98</v>
      </c>
    </row>
    <row r="43" spans="1:25" ht="11.25" customHeight="1">
      <c r="A43" s="136"/>
      <c r="B43" s="138"/>
      <c r="C43" s="138"/>
      <c r="D43" s="138"/>
      <c r="E43" s="138"/>
      <c r="F43" s="138"/>
      <c r="G43" s="138"/>
      <c r="H43" s="138"/>
      <c r="I43" s="138"/>
      <c r="P43" s="424">
        <v>40</v>
      </c>
      <c r="Q43" s="425">
        <v>6.89</v>
      </c>
      <c r="R43" s="425">
        <v>3.2</v>
      </c>
      <c r="S43" s="425">
        <v>56.32</v>
      </c>
      <c r="T43" s="425">
        <v>28.11</v>
      </c>
      <c r="U43" s="425">
        <v>6.02</v>
      </c>
      <c r="V43" s="425">
        <v>13</v>
      </c>
      <c r="W43" s="425">
        <v>1.48</v>
      </c>
      <c r="X43" s="425">
        <v>35.54</v>
      </c>
      <c r="Y43" s="425">
        <v>5.32</v>
      </c>
    </row>
    <row r="44" spans="1:25" ht="11.25" customHeight="1">
      <c r="A44" s="136"/>
      <c r="B44" s="138"/>
      <c r="C44" s="138"/>
      <c r="D44" s="138"/>
      <c r="E44" s="138"/>
      <c r="F44" s="138"/>
      <c r="G44" s="138"/>
      <c r="H44" s="138"/>
      <c r="I44" s="138"/>
      <c r="P44" s="424">
        <v>41</v>
      </c>
      <c r="Q44" s="425">
        <v>7.51</v>
      </c>
      <c r="R44" s="425">
        <v>3.26</v>
      </c>
      <c r="S44" s="425">
        <v>57.18</v>
      </c>
      <c r="T44" s="425">
        <v>32.11</v>
      </c>
      <c r="U44" s="425">
        <v>6.5</v>
      </c>
      <c r="V44" s="425">
        <v>13</v>
      </c>
      <c r="W44" s="425">
        <v>1.53</v>
      </c>
      <c r="X44" s="425">
        <v>37.47</v>
      </c>
      <c r="Y44" s="425">
        <v>4.95</v>
      </c>
    </row>
    <row r="45" spans="1:25" ht="11.25" customHeight="1">
      <c r="A45" s="136"/>
      <c r="B45" s="138"/>
      <c r="C45" s="138"/>
      <c r="D45" s="138"/>
      <c r="E45" s="138"/>
      <c r="F45" s="138"/>
      <c r="G45" s="138"/>
      <c r="H45" s="138"/>
      <c r="I45" s="138"/>
      <c r="P45" s="424">
        <v>42</v>
      </c>
      <c r="Q45" s="425">
        <v>7.92</v>
      </c>
      <c r="R45" s="425">
        <v>3.59</v>
      </c>
      <c r="S45" s="425">
        <v>71.87</v>
      </c>
      <c r="T45" s="425">
        <v>64.69</v>
      </c>
      <c r="U45" s="425">
        <v>9.44</v>
      </c>
      <c r="V45" s="425">
        <v>13</v>
      </c>
      <c r="W45" s="425">
        <v>1.93</v>
      </c>
      <c r="X45" s="425">
        <v>52.42</v>
      </c>
      <c r="Y45" s="425">
        <v>7.39</v>
      </c>
    </row>
    <row r="46" spans="1:25" ht="11.25" customHeight="1">
      <c r="A46" s="136"/>
      <c r="B46" s="138"/>
      <c r="C46" s="138"/>
      <c r="D46" s="138"/>
      <c r="E46" s="138"/>
      <c r="F46" s="138"/>
      <c r="G46" s="138"/>
      <c r="H46" s="138"/>
      <c r="I46" s="138"/>
      <c r="O46" s="423">
        <v>43</v>
      </c>
      <c r="P46" s="424">
        <v>43</v>
      </c>
      <c r="Q46" s="425">
        <v>9.16</v>
      </c>
      <c r="R46" s="425">
        <v>3.99</v>
      </c>
      <c r="S46" s="425">
        <v>73.22</v>
      </c>
      <c r="T46" s="425">
        <v>71.16</v>
      </c>
      <c r="U46" s="425">
        <v>8.8800000000000008</v>
      </c>
      <c r="V46" s="425">
        <v>13</v>
      </c>
      <c r="W46" s="425">
        <v>1.69</v>
      </c>
      <c r="X46" s="425">
        <v>43.93</v>
      </c>
      <c r="Y46" s="425">
        <v>6.18</v>
      </c>
    </row>
    <row r="47" spans="1:25" ht="11.25" customHeight="1">
      <c r="A47" s="136"/>
      <c r="B47" s="138"/>
      <c r="C47" s="138"/>
      <c r="D47" s="138"/>
      <c r="E47" s="138"/>
      <c r="F47" s="138"/>
      <c r="G47" s="138"/>
      <c r="H47" s="138"/>
      <c r="I47" s="138"/>
      <c r="P47" s="424">
        <v>44</v>
      </c>
      <c r="Q47" s="425">
        <v>8.81</v>
      </c>
      <c r="R47" s="425">
        <v>5.0199999999999996</v>
      </c>
      <c r="S47" s="425">
        <v>75.150000000000006</v>
      </c>
      <c r="T47" s="425">
        <v>62.33</v>
      </c>
      <c r="U47" s="425">
        <v>10.59</v>
      </c>
      <c r="V47" s="425">
        <v>13</v>
      </c>
      <c r="W47" s="425">
        <v>1.65</v>
      </c>
      <c r="X47" s="425">
        <v>40.229999999999997</v>
      </c>
      <c r="Y47" s="425">
        <v>8.7899999999999991</v>
      </c>
    </row>
    <row r="48" spans="1:25">
      <c r="A48" s="136"/>
      <c r="B48" s="138"/>
      <c r="C48" s="138"/>
      <c r="D48" s="138"/>
      <c r="E48" s="138"/>
      <c r="F48" s="138"/>
      <c r="G48" s="138"/>
      <c r="H48" s="138"/>
      <c r="I48" s="138"/>
      <c r="P48" s="424">
        <v>45</v>
      </c>
      <c r="Q48" s="425">
        <v>8.3800000000000008</v>
      </c>
      <c r="R48" s="425">
        <v>4.2</v>
      </c>
      <c r="S48" s="425">
        <v>67.39</v>
      </c>
      <c r="T48" s="425">
        <v>61.76</v>
      </c>
      <c r="U48" s="425">
        <v>10.039999999999999</v>
      </c>
      <c r="V48" s="425">
        <v>13</v>
      </c>
      <c r="W48" s="425">
        <v>1.51</v>
      </c>
      <c r="X48" s="425">
        <v>41.85</v>
      </c>
      <c r="Y48" s="425">
        <v>11.45</v>
      </c>
    </row>
    <row r="49" spans="1:25">
      <c r="A49" s="136"/>
      <c r="B49" s="138"/>
      <c r="C49" s="138"/>
      <c r="D49" s="138"/>
      <c r="E49" s="138"/>
      <c r="F49" s="138"/>
      <c r="G49" s="138"/>
      <c r="H49" s="138"/>
      <c r="I49" s="138"/>
      <c r="P49" s="424">
        <v>46</v>
      </c>
      <c r="Q49" s="425">
        <v>7.55</v>
      </c>
      <c r="R49" s="425">
        <v>3.7</v>
      </c>
      <c r="S49" s="425">
        <v>66.959999999999994</v>
      </c>
      <c r="T49" s="425">
        <v>66.040000000000006</v>
      </c>
      <c r="U49" s="425">
        <v>8.7799999999999994</v>
      </c>
      <c r="V49" s="425">
        <v>13</v>
      </c>
      <c r="W49" s="425">
        <v>1.65</v>
      </c>
      <c r="X49" s="425">
        <v>70.849999999999994</v>
      </c>
      <c r="Y49" s="425">
        <v>14.58</v>
      </c>
    </row>
    <row r="50" spans="1:25">
      <c r="A50" s="136"/>
      <c r="B50" s="138"/>
      <c r="C50" s="138"/>
      <c r="D50" s="138"/>
      <c r="E50" s="138"/>
      <c r="F50" s="138"/>
      <c r="G50" s="138"/>
      <c r="H50" s="138"/>
      <c r="I50" s="138"/>
      <c r="P50" s="424">
        <v>47</v>
      </c>
      <c r="Q50" s="425">
        <v>7.39</v>
      </c>
      <c r="R50" s="425">
        <v>3.85</v>
      </c>
      <c r="S50" s="425">
        <v>67.72</v>
      </c>
      <c r="T50" s="425">
        <v>52.82</v>
      </c>
      <c r="U50" s="425">
        <v>7.81</v>
      </c>
      <c r="V50" s="425">
        <v>13</v>
      </c>
      <c r="W50" s="425">
        <v>1.6</v>
      </c>
      <c r="X50" s="425">
        <v>64.819999999999993</v>
      </c>
      <c r="Y50" s="425">
        <v>12.14</v>
      </c>
    </row>
    <row r="51" spans="1:25">
      <c r="A51" s="136"/>
      <c r="B51" s="138"/>
      <c r="C51" s="138"/>
      <c r="D51" s="138"/>
      <c r="E51" s="138"/>
      <c r="F51" s="138"/>
      <c r="G51" s="138"/>
      <c r="H51" s="138"/>
      <c r="I51" s="138"/>
      <c r="O51" s="423">
        <v>48</v>
      </c>
      <c r="P51" s="424">
        <v>48</v>
      </c>
      <c r="Q51" s="425">
        <v>7.9678571564285718</v>
      </c>
      <c r="R51" s="425">
        <v>3.558142900428571</v>
      </c>
      <c r="S51" s="425">
        <v>77.366571698571434</v>
      </c>
      <c r="T51" s="425">
        <v>66.577285762857144</v>
      </c>
      <c r="U51" s="425">
        <v>9.1851428580000007</v>
      </c>
      <c r="V51" s="425">
        <v>13.005714417142858</v>
      </c>
      <c r="W51" s="425">
        <v>1.6</v>
      </c>
      <c r="X51" s="425">
        <v>47.846427917142854</v>
      </c>
      <c r="Y51" s="425">
        <v>12.516714369142859</v>
      </c>
    </row>
    <row r="52" spans="1:25">
      <c r="A52" s="136"/>
      <c r="B52" s="138"/>
      <c r="C52" s="138"/>
      <c r="D52" s="138"/>
      <c r="E52" s="138"/>
      <c r="F52" s="138"/>
      <c r="G52" s="138"/>
      <c r="H52" s="138"/>
      <c r="I52" s="138"/>
      <c r="P52" s="424">
        <v>49</v>
      </c>
      <c r="Q52" s="425">
        <v>8.4875713758571436</v>
      </c>
      <c r="R52" s="425">
        <v>3.2600000074285718</v>
      </c>
      <c r="S52" s="425">
        <v>84.55585806714285</v>
      </c>
      <c r="T52" s="425">
        <v>72.732000077142857</v>
      </c>
      <c r="U52" s="425">
        <v>14.04828548342857</v>
      </c>
      <c r="V52" s="425">
        <v>13.002857208571429</v>
      </c>
      <c r="W52" s="425">
        <v>1.6</v>
      </c>
      <c r="X52" s="425">
        <v>57.322143555714298</v>
      </c>
      <c r="Y52" s="425">
        <v>18.826999800000003</v>
      </c>
    </row>
    <row r="53" spans="1:25">
      <c r="A53" s="136"/>
      <c r="B53" s="138"/>
      <c r="C53" s="138"/>
      <c r="D53" s="138"/>
      <c r="E53" s="138"/>
      <c r="F53" s="138"/>
      <c r="G53" s="138"/>
      <c r="H53" s="138"/>
      <c r="I53" s="138"/>
      <c r="P53" s="424">
        <v>50</v>
      </c>
      <c r="Q53" s="425">
        <v>8.7257142747142868</v>
      </c>
      <c r="R53" s="425">
        <v>3.4628571441428577</v>
      </c>
      <c r="S53" s="425">
        <v>77.460142951428566</v>
      </c>
      <c r="T53" s="425">
        <v>64.097142899999994</v>
      </c>
      <c r="U53" s="425">
        <v>11.032857077571427</v>
      </c>
      <c r="V53" s="425">
        <v>13</v>
      </c>
      <c r="W53" s="425">
        <v>1.6000000240000001</v>
      </c>
      <c r="X53" s="425">
        <v>51.470714571428573</v>
      </c>
      <c r="Y53" s="425">
        <v>20.280285972857143</v>
      </c>
    </row>
    <row r="54" spans="1:25">
      <c r="A54" s="136"/>
      <c r="B54" s="138"/>
      <c r="C54" s="138"/>
      <c r="D54" s="138"/>
      <c r="E54" s="138"/>
      <c r="F54" s="138"/>
      <c r="G54" s="138"/>
      <c r="H54" s="138"/>
      <c r="I54" s="138"/>
      <c r="P54" s="424">
        <v>51</v>
      </c>
      <c r="Q54" s="425">
        <v>9.7215715127142861</v>
      </c>
      <c r="R54" s="425">
        <v>4.2539999484285715</v>
      </c>
      <c r="S54" s="425">
        <v>78.166143688571424</v>
      </c>
      <c r="T54" s="425">
        <v>94.237856191428577</v>
      </c>
      <c r="U54" s="425">
        <v>14.381428445285712</v>
      </c>
      <c r="V54" s="425">
        <v>13.01285743857143</v>
      </c>
      <c r="W54" s="425">
        <v>1.6257142851428572</v>
      </c>
      <c r="X54" s="425">
        <v>65.58357184285714</v>
      </c>
      <c r="Y54" s="425">
        <v>34.849000112857141</v>
      </c>
    </row>
    <row r="55" spans="1:25">
      <c r="A55" s="136"/>
      <c r="B55" s="138"/>
      <c r="C55" s="138"/>
      <c r="D55" s="138"/>
      <c r="E55" s="138"/>
      <c r="F55" s="138"/>
      <c r="G55" s="138"/>
      <c r="H55" s="138"/>
      <c r="I55" s="138"/>
      <c r="O55" s="423">
        <v>52</v>
      </c>
      <c r="P55" s="424">
        <v>52</v>
      </c>
      <c r="Q55" s="425">
        <v>10.323285784571427</v>
      </c>
      <c r="R55" s="425">
        <v>4.6457142829999993</v>
      </c>
      <c r="S55" s="425">
        <v>86.972714017142849</v>
      </c>
      <c r="T55" s="425">
        <v>94.357285634285716</v>
      </c>
      <c r="U55" s="425">
        <v>13.293999945714287</v>
      </c>
      <c r="V55" s="425">
        <v>13.09681579142857</v>
      </c>
      <c r="W55" s="425">
        <v>1.644999981</v>
      </c>
      <c r="X55" s="425">
        <v>104.27285767571428</v>
      </c>
      <c r="Y55" s="425">
        <v>35.335714887142856</v>
      </c>
    </row>
    <row r="56" spans="1:25">
      <c r="A56" s="136"/>
      <c r="B56" s="138"/>
      <c r="C56" s="138"/>
      <c r="D56" s="138"/>
      <c r="E56" s="138"/>
      <c r="F56" s="138"/>
      <c r="G56" s="138"/>
      <c r="H56" s="138"/>
      <c r="I56" s="138"/>
      <c r="N56" s="423">
        <v>2018</v>
      </c>
      <c r="O56" s="423">
        <v>1</v>
      </c>
      <c r="P56" s="424">
        <v>1</v>
      </c>
      <c r="Q56" s="425">
        <v>10.34</v>
      </c>
      <c r="R56" s="425">
        <v>4.4628571428571426</v>
      </c>
      <c r="S56" s="425">
        <v>140.04142857142858</v>
      </c>
      <c r="T56" s="425">
        <v>143.09</v>
      </c>
      <c r="U56" s="425">
        <v>20.63</v>
      </c>
      <c r="V56" s="425">
        <v>13</v>
      </c>
      <c r="W56" s="425">
        <v>1.64</v>
      </c>
      <c r="X56" s="425">
        <v>201.2428571428571</v>
      </c>
      <c r="Y56" s="425">
        <v>63.23</v>
      </c>
    </row>
    <row r="57" spans="1:25">
      <c r="A57" s="136"/>
      <c r="B57" s="138"/>
      <c r="C57" s="138"/>
      <c r="D57" s="138"/>
      <c r="E57" s="138"/>
      <c r="F57" s="138"/>
      <c r="G57" s="138"/>
      <c r="H57" s="138"/>
      <c r="I57" s="138"/>
      <c r="P57" s="424">
        <v>2</v>
      </c>
      <c r="Q57" s="425">
        <v>13.730999947142859</v>
      </c>
      <c r="R57" s="425">
        <v>3.5944285392857145</v>
      </c>
      <c r="S57" s="425">
        <v>209.91800362857143</v>
      </c>
      <c r="T57" s="425">
        <v>160.98214394285716</v>
      </c>
      <c r="U57" s="425">
        <v>36.213856559999996</v>
      </c>
      <c r="V57" s="425">
        <v>11.774285724285715</v>
      </c>
      <c r="W57" s="425">
        <v>1.5914286031428568</v>
      </c>
      <c r="X57" s="425">
        <v>229.4250030571429</v>
      </c>
      <c r="Y57" s="425">
        <v>56.654285431428562</v>
      </c>
    </row>
    <row r="58" spans="1:25">
      <c r="A58" s="136"/>
      <c r="B58" s="138"/>
      <c r="C58" s="138"/>
      <c r="D58" s="138"/>
      <c r="E58" s="138"/>
      <c r="F58" s="138"/>
      <c r="G58" s="138"/>
      <c r="H58" s="138"/>
      <c r="I58" s="138"/>
      <c r="P58" s="424">
        <v>3</v>
      </c>
      <c r="Q58" s="425">
        <v>15.983285902857142</v>
      </c>
      <c r="R58" s="425">
        <v>8.3045714242857152</v>
      </c>
      <c r="S58" s="425">
        <v>223.6645725857143</v>
      </c>
      <c r="T58" s="425">
        <v>190.44042751428574</v>
      </c>
      <c r="U58" s="425">
        <v>30.819142750000001</v>
      </c>
      <c r="V58" s="425">
        <v>11.857142857142858</v>
      </c>
      <c r="W58" s="425">
        <v>1.5814286125714285</v>
      </c>
      <c r="X58" s="425">
        <v>261.56357028571426</v>
      </c>
      <c r="Y58" s="425">
        <v>68.516428267142857</v>
      </c>
    </row>
    <row r="59" spans="1:25">
      <c r="A59" s="136"/>
      <c r="B59" s="138"/>
      <c r="C59" s="138"/>
      <c r="D59" s="138"/>
      <c r="E59" s="138"/>
      <c r="F59" s="138"/>
      <c r="G59" s="138"/>
      <c r="H59" s="138"/>
      <c r="I59" s="138"/>
      <c r="O59" s="423">
        <v>4</v>
      </c>
      <c r="P59" s="424">
        <v>4</v>
      </c>
      <c r="Q59" s="425">
        <v>21.988571574285714</v>
      </c>
      <c r="R59" s="425">
        <v>15.598142828000002</v>
      </c>
      <c r="S59" s="425">
        <v>346.88342720000003</v>
      </c>
      <c r="T59" s="425">
        <v>205.5832868285714</v>
      </c>
      <c r="U59" s="425">
        <v>40.893000467142862</v>
      </c>
      <c r="V59" s="425">
        <v>18.734285627142857</v>
      </c>
      <c r="W59" s="425">
        <v>1.5700000519999997</v>
      </c>
      <c r="X59" s="425">
        <v>261.98000009999998</v>
      </c>
      <c r="Y59" s="425">
        <v>58.935427530000005</v>
      </c>
    </row>
    <row r="60" spans="1:25">
      <c r="A60" s="136"/>
      <c r="B60" s="138"/>
      <c r="C60" s="138"/>
      <c r="D60" s="138"/>
      <c r="E60" s="138"/>
      <c r="F60" s="138"/>
      <c r="G60" s="138"/>
      <c r="H60" s="138"/>
      <c r="I60" s="138"/>
      <c r="P60" s="424">
        <v>5</v>
      </c>
      <c r="Q60" s="425">
        <v>17.729000225714284</v>
      </c>
      <c r="R60" s="425">
        <v>13.724571365714285</v>
      </c>
      <c r="S60" s="425">
        <v>214.95928737142859</v>
      </c>
      <c r="T60" s="425">
        <v>93.607142857142861</v>
      </c>
      <c r="U60" s="425">
        <v>17.748285841428572</v>
      </c>
      <c r="V60" s="425">
        <v>23.390000208571426</v>
      </c>
      <c r="W60" s="425">
        <v>1.5700000519999997</v>
      </c>
      <c r="X60" s="425">
        <v>141.83571514285714</v>
      </c>
      <c r="Y60" s="425">
        <v>45.332857951428579</v>
      </c>
    </row>
    <row r="61" spans="1:25">
      <c r="A61" s="136"/>
      <c r="B61" s="138"/>
      <c r="C61" s="138"/>
      <c r="D61" s="138"/>
      <c r="E61" s="138"/>
      <c r="F61" s="138"/>
      <c r="G61" s="138"/>
      <c r="H61" s="138"/>
      <c r="I61" s="138"/>
      <c r="P61" s="424">
        <v>6</v>
      </c>
      <c r="Q61" s="425">
        <v>13.582571572857143</v>
      </c>
      <c r="R61" s="425">
        <v>8.6634286477142854</v>
      </c>
      <c r="S61" s="425">
        <v>166.34242902857142</v>
      </c>
      <c r="T61" s="425">
        <v>108.25571334000001</v>
      </c>
      <c r="U61" s="425">
        <v>18.79157175142857</v>
      </c>
      <c r="V61" s="425">
        <v>20.201017107142857</v>
      </c>
      <c r="W61" s="425">
        <v>2.3694285491428571</v>
      </c>
      <c r="X61" s="425">
        <v>164.55714089999998</v>
      </c>
      <c r="Y61" s="425">
        <v>65.987571171428584</v>
      </c>
    </row>
    <row r="62" spans="1:25">
      <c r="A62" s="136"/>
      <c r="B62" s="138"/>
      <c r="C62" s="138"/>
      <c r="D62" s="138"/>
      <c r="E62" s="138"/>
      <c r="F62" s="138"/>
      <c r="G62" s="138"/>
      <c r="H62" s="138"/>
      <c r="I62" s="138"/>
      <c r="P62" s="424">
        <v>7</v>
      </c>
      <c r="Q62" s="425">
        <v>14.722571237142859</v>
      </c>
      <c r="R62" s="425">
        <v>11.071428435428571</v>
      </c>
      <c r="S62" s="425">
        <v>239.50057330000001</v>
      </c>
      <c r="T62" s="425">
        <v>202.98199900000003</v>
      </c>
      <c r="U62" s="425">
        <v>42.088571821428573</v>
      </c>
      <c r="V62" s="425">
        <v>15.283185821428571</v>
      </c>
      <c r="W62" s="425">
        <v>3.1689999100000001</v>
      </c>
      <c r="X62" s="425">
        <v>355.31285748571423</v>
      </c>
      <c r="Y62" s="425">
        <v>97.722999031428586</v>
      </c>
    </row>
    <row r="63" spans="1:25">
      <c r="A63" s="136"/>
      <c r="B63" s="138"/>
      <c r="C63" s="138"/>
      <c r="D63" s="138"/>
      <c r="E63" s="138"/>
      <c r="F63" s="138"/>
      <c r="G63" s="138"/>
      <c r="H63" s="138"/>
      <c r="I63" s="138"/>
      <c r="O63" s="423">
        <v>8</v>
      </c>
      <c r="P63" s="424">
        <v>8</v>
      </c>
      <c r="Q63" s="425">
        <v>18.48</v>
      </c>
      <c r="R63" s="425">
        <v>14.97</v>
      </c>
      <c r="S63" s="425">
        <v>357.61814662857148</v>
      </c>
      <c r="T63" s="425">
        <v>251.1</v>
      </c>
      <c r="U63" s="425">
        <v>43.74</v>
      </c>
      <c r="V63" s="425">
        <v>16.564</v>
      </c>
      <c r="W63" s="425">
        <v>3.16</v>
      </c>
      <c r="X63" s="425">
        <v>437.78</v>
      </c>
      <c r="Y63" s="425">
        <v>142.13</v>
      </c>
    </row>
    <row r="64" spans="1:25" ht="6" customHeight="1">
      <c r="A64" s="136"/>
      <c r="B64" s="138"/>
      <c r="C64" s="138"/>
      <c r="D64" s="138"/>
      <c r="E64" s="138"/>
      <c r="F64" s="138"/>
      <c r="G64" s="138"/>
      <c r="H64" s="138"/>
      <c r="I64" s="138"/>
      <c r="P64" s="424">
        <v>9</v>
      </c>
      <c r="Q64" s="425">
        <v>21.652428627142854</v>
      </c>
      <c r="R64" s="425">
        <v>14.185285431142857</v>
      </c>
      <c r="S64" s="425">
        <v>333.90885488571433</v>
      </c>
      <c r="T64" s="425">
        <v>204.95843285714287</v>
      </c>
      <c r="U64" s="425">
        <v>31.755000522857138</v>
      </c>
      <c r="V64" s="425">
        <v>15.852976190476195</v>
      </c>
      <c r="W64" s="425">
        <v>3.1689999100000001</v>
      </c>
      <c r="X64" s="425">
        <v>424.14571271428576</v>
      </c>
      <c r="Y64" s="425">
        <v>142.13857270714286</v>
      </c>
    </row>
    <row r="65" spans="1:25" ht="24.75" customHeight="1">
      <c r="A65" s="940" t="s">
        <v>471</v>
      </c>
      <c r="B65" s="940"/>
      <c r="C65" s="940"/>
      <c r="D65" s="940"/>
      <c r="E65" s="940"/>
      <c r="F65" s="940"/>
      <c r="G65" s="940"/>
      <c r="H65" s="940"/>
      <c r="I65" s="940"/>
      <c r="J65" s="940"/>
      <c r="K65" s="940"/>
      <c r="L65" s="940"/>
      <c r="P65" s="424">
        <v>10</v>
      </c>
      <c r="Q65" s="425">
        <v>30.272714344285713</v>
      </c>
      <c r="R65" s="425">
        <v>17.434571538571429</v>
      </c>
      <c r="S65" s="425">
        <v>431.64157101428572</v>
      </c>
      <c r="T65" s="425">
        <v>177.15485925714287</v>
      </c>
      <c r="U65" s="425">
        <v>31.196571622857142</v>
      </c>
      <c r="V65" s="425">
        <v>14.442</v>
      </c>
      <c r="W65" s="425">
        <v>4.7437142644285712</v>
      </c>
      <c r="X65" s="425">
        <v>293.69142804285718</v>
      </c>
      <c r="Y65" s="425">
        <v>72.30971418</v>
      </c>
    </row>
    <row r="66" spans="1:25" ht="20.25" customHeight="1">
      <c r="P66" s="424">
        <v>11</v>
      </c>
      <c r="Q66" s="425">
        <v>28.071857179999999</v>
      </c>
      <c r="R66" s="425">
        <v>17.048571724285715</v>
      </c>
      <c r="S66" s="425">
        <v>485.98543439999997</v>
      </c>
      <c r="T66" s="425">
        <v>169.375</v>
      </c>
      <c r="U66" s="425">
        <v>52.626284462857136</v>
      </c>
      <c r="V66" s="425">
        <v>18.273</v>
      </c>
      <c r="W66" s="425">
        <v>3.0879999738571429</v>
      </c>
      <c r="X66" s="425">
        <v>511.54500034285724</v>
      </c>
      <c r="Y66" s="425">
        <v>119.7894287057143</v>
      </c>
    </row>
    <row r="67" spans="1:25">
      <c r="O67" s="423">
        <v>12</v>
      </c>
      <c r="P67" s="424">
        <v>12</v>
      </c>
      <c r="Q67" s="425">
        <v>29.90999984714286</v>
      </c>
      <c r="R67" s="425">
        <v>21.62</v>
      </c>
      <c r="S67" s="425">
        <v>465.24414497142863</v>
      </c>
      <c r="T67" s="425">
        <v>201.58328465714288</v>
      </c>
      <c r="U67" s="425">
        <v>57.669144221428567</v>
      </c>
      <c r="V67" s="425">
        <v>23.244</v>
      </c>
      <c r="W67" s="425">
        <v>4.5095714328571432</v>
      </c>
      <c r="X67" s="425">
        <v>433.89143152857145</v>
      </c>
      <c r="Y67" s="425">
        <v>152.80443028571429</v>
      </c>
    </row>
    <row r="68" spans="1:25">
      <c r="P68" s="424">
        <v>13</v>
      </c>
      <c r="Q68" s="425">
        <v>28.360142844285718</v>
      </c>
      <c r="R68" s="425">
        <v>17.439428465714283</v>
      </c>
      <c r="S68" s="425">
        <v>396.37686155714289</v>
      </c>
      <c r="T68" s="425">
        <v>163.75585502857143</v>
      </c>
      <c r="U68" s="425">
        <v>35.725570951428573</v>
      </c>
      <c r="V68" s="425">
        <v>23.143392837142859</v>
      </c>
      <c r="W68" s="425">
        <v>3.3929999999999998</v>
      </c>
      <c r="X68" s="425">
        <v>281.79928587142859</v>
      </c>
      <c r="Y68" s="425">
        <v>107.32928468714286</v>
      </c>
    </row>
    <row r="69" spans="1:25">
      <c r="P69" s="424">
        <v>14</v>
      </c>
      <c r="Q69" s="425">
        <v>23.830285752857144</v>
      </c>
      <c r="R69" s="425">
        <v>12.833285604571429</v>
      </c>
      <c r="S69" s="425">
        <v>226.32643345714288</v>
      </c>
      <c r="T69" s="425">
        <v>133.53585814285714</v>
      </c>
      <c r="U69" s="425">
        <v>28.622000282857147</v>
      </c>
      <c r="V69" s="425">
        <v>19.16</v>
      </c>
      <c r="W69" s="425">
        <v>1.736</v>
      </c>
      <c r="X69" s="425">
        <v>176.23214502857144</v>
      </c>
      <c r="Y69" s="425">
        <v>80.936570849999995</v>
      </c>
    </row>
    <row r="70" spans="1:25">
      <c r="P70" s="424">
        <v>15</v>
      </c>
      <c r="Q70" s="425">
        <v>27</v>
      </c>
      <c r="R70" s="425">
        <v>15.571285655714286</v>
      </c>
      <c r="S70" s="425">
        <v>207.40800040000002</v>
      </c>
      <c r="T70" s="425">
        <v>107.59514291428572</v>
      </c>
      <c r="U70" s="425">
        <v>30.753999982857145</v>
      </c>
      <c r="V70" s="425">
        <v>14.377143042857142</v>
      </c>
      <c r="W70" s="425">
        <v>1.8612856864285716</v>
      </c>
      <c r="X70" s="425">
        <v>130.09</v>
      </c>
      <c r="Y70" s="425">
        <v>42.693143572857146</v>
      </c>
    </row>
    <row r="71" spans="1:25">
      <c r="O71" s="423">
        <v>16</v>
      </c>
      <c r="P71" s="424">
        <v>16</v>
      </c>
      <c r="Q71" s="425">
        <v>19.899999999999999</v>
      </c>
      <c r="R71" s="425">
        <v>12.83</v>
      </c>
      <c r="S71" s="425">
        <v>166.38871437142856</v>
      </c>
      <c r="T71" s="425">
        <v>95.78</v>
      </c>
      <c r="U71" s="425">
        <v>29.88</v>
      </c>
      <c r="V71" s="425">
        <v>12.36</v>
      </c>
      <c r="W71" s="425">
        <v>1.9</v>
      </c>
      <c r="X71" s="425">
        <v>96.9</v>
      </c>
      <c r="Y71" s="425">
        <v>33.717142651428574</v>
      </c>
    </row>
    <row r="72" spans="1:25">
      <c r="P72" s="424">
        <v>17</v>
      </c>
      <c r="Q72" s="425">
        <v>19.14</v>
      </c>
      <c r="R72" s="425">
        <v>13.52</v>
      </c>
      <c r="S72" s="425">
        <v>168.19342804285716</v>
      </c>
      <c r="T72" s="425">
        <v>95.39</v>
      </c>
      <c r="U72" s="425">
        <v>22.257285525714284</v>
      </c>
      <c r="V72" s="425">
        <v>13.4</v>
      </c>
      <c r="W72" s="425">
        <v>1.7940000124285713</v>
      </c>
      <c r="X72" s="425">
        <v>89.59</v>
      </c>
      <c r="Y72" s="425">
        <v>27.06</v>
      </c>
    </row>
    <row r="73" spans="1:25">
      <c r="P73" s="424">
        <v>18</v>
      </c>
      <c r="Q73" s="425">
        <v>19.703571455714286</v>
      </c>
      <c r="R73" s="425">
        <v>14.166857039571427</v>
      </c>
      <c r="S73" s="425">
        <v>171.5428597714286</v>
      </c>
      <c r="T73" s="425">
        <v>85.958285739999994</v>
      </c>
      <c r="U73" s="425">
        <v>21.651714052857141</v>
      </c>
      <c r="V73" s="425">
        <v>12.785805702857145</v>
      </c>
      <c r="W73" s="425">
        <v>2.3024285860000004</v>
      </c>
      <c r="X73" s="425">
        <v>89.602142331428567</v>
      </c>
      <c r="Y73" s="425">
        <v>22.269714081428571</v>
      </c>
    </row>
    <row r="74" spans="1:25">
      <c r="P74" s="424">
        <v>19</v>
      </c>
      <c r="Q74" s="425">
        <v>15.48828561</v>
      </c>
      <c r="R74" s="425">
        <v>12.650857108142857</v>
      </c>
      <c r="S74" s="425">
        <v>146.54485865714287</v>
      </c>
      <c r="T74" s="425">
        <v>88.244000028571435</v>
      </c>
      <c r="U74" s="425">
        <v>19.037142890000002</v>
      </c>
      <c r="V74" s="425">
        <v>11.328391347142857</v>
      </c>
      <c r="W74" s="425">
        <v>1.8057142665714285</v>
      </c>
      <c r="X74" s="425">
        <v>75.568572998571426</v>
      </c>
      <c r="Y74" s="425">
        <v>17.565999711428571</v>
      </c>
    </row>
    <row r="75" spans="1:25">
      <c r="O75" s="423">
        <v>20</v>
      </c>
      <c r="P75" s="424">
        <v>20</v>
      </c>
      <c r="Q75" s="425">
        <v>14.601142882857145</v>
      </c>
      <c r="R75" s="425">
        <v>10.013285772</v>
      </c>
      <c r="S75" s="425">
        <v>112.76242937142857</v>
      </c>
      <c r="T75" s="425">
        <v>64.809571402857145</v>
      </c>
      <c r="U75" s="425">
        <v>16.531571660000001</v>
      </c>
      <c r="V75" s="425">
        <v>10.899261474285714</v>
      </c>
      <c r="W75" s="425">
        <v>1.7767143248571429</v>
      </c>
      <c r="X75" s="425">
        <v>62.208570752857149</v>
      </c>
      <c r="Y75" s="425">
        <v>14.502285821428572</v>
      </c>
    </row>
    <row r="76" spans="1:25">
      <c r="P76" s="424">
        <v>21</v>
      </c>
      <c r="Q76" s="425">
        <v>13.411285537142858</v>
      </c>
      <c r="R76" s="425">
        <v>7.8631429672857154</v>
      </c>
      <c r="S76" s="425">
        <v>94.636570517142857</v>
      </c>
      <c r="T76" s="425">
        <v>49.303714208571428</v>
      </c>
      <c r="U76" s="425">
        <v>13.450571468571427</v>
      </c>
      <c r="V76" s="425">
        <v>11.166911400000002</v>
      </c>
      <c r="W76" s="425">
        <v>1.8437143055714282</v>
      </c>
      <c r="X76" s="425">
        <v>54.38714218285714</v>
      </c>
      <c r="Y76" s="425">
        <v>12.214999879999999</v>
      </c>
    </row>
    <row r="77" spans="1:25">
      <c r="P77" s="424">
        <v>22</v>
      </c>
      <c r="Q77" s="425">
        <v>12.490285737142855</v>
      </c>
      <c r="R77" s="425">
        <v>6.4215714250000007</v>
      </c>
      <c r="S77" s="425">
        <v>81.718714031428576</v>
      </c>
      <c r="T77" s="425">
        <v>42.928571428571431</v>
      </c>
      <c r="U77" s="425">
        <v>11.897571562857141</v>
      </c>
      <c r="V77" s="425">
        <v>10.57333578442857</v>
      </c>
      <c r="W77" s="425">
        <v>1.8770000252857142</v>
      </c>
      <c r="X77" s="425">
        <v>48.837857382857138</v>
      </c>
      <c r="Y77" s="425">
        <v>10.894571441428569</v>
      </c>
    </row>
    <row r="78" spans="1:25">
      <c r="P78" s="424">
        <v>23</v>
      </c>
      <c r="Q78" s="425">
        <v>12.278000014285713</v>
      </c>
      <c r="R78" s="425">
        <v>5.5577142921428564</v>
      </c>
      <c r="S78" s="425">
        <v>83.760285512857152</v>
      </c>
      <c r="T78" s="425">
        <v>67.797571451428567</v>
      </c>
      <c r="U78" s="425">
        <v>15.801714215714284</v>
      </c>
      <c r="V78" s="425">
        <v>11.341294289999999</v>
      </c>
      <c r="W78" s="425">
        <v>1.7928571701428571</v>
      </c>
      <c r="X78" s="425">
        <v>58.175000328571436</v>
      </c>
      <c r="Y78" s="425">
        <v>13.860571451428571</v>
      </c>
    </row>
    <row r="79" spans="1:25">
      <c r="O79" s="423">
        <v>24</v>
      </c>
      <c r="P79" s="424">
        <v>24</v>
      </c>
      <c r="Q79" s="425">
        <v>10.882714271142857</v>
      </c>
      <c r="R79" s="425">
        <v>5.3317142215714286</v>
      </c>
      <c r="S79" s="425">
        <v>82.799001421428557</v>
      </c>
      <c r="T79" s="425">
        <v>63.982142857142854</v>
      </c>
      <c r="U79" s="425">
        <v>15.595999989999999</v>
      </c>
      <c r="V79" s="425">
        <v>11.96411841142857</v>
      </c>
      <c r="W79" s="425">
        <v>2.0252857377142854</v>
      </c>
      <c r="X79" s="425">
        <v>61.988572801428582</v>
      </c>
      <c r="Y79" s="425">
        <v>13.392856871428572</v>
      </c>
    </row>
    <row r="80" spans="1:25">
      <c r="P80" s="424">
        <v>25</v>
      </c>
      <c r="Q80" s="425">
        <v>10.290999957142857</v>
      </c>
      <c r="R80" s="425">
        <v>3.7498572211428569</v>
      </c>
      <c r="S80" s="425">
        <v>74.093855721428568</v>
      </c>
      <c r="T80" s="425">
        <v>53.035571505714287</v>
      </c>
      <c r="U80" s="425">
        <v>14.135857038571428</v>
      </c>
      <c r="V80" s="425">
        <v>11.79</v>
      </c>
      <c r="W80" s="425">
        <v>2.0514285564285717</v>
      </c>
      <c r="X80" s="425">
        <v>51.970714024285719</v>
      </c>
      <c r="Y80" s="425">
        <v>10.749428476857142</v>
      </c>
    </row>
    <row r="81" spans="15:25">
      <c r="P81" s="424">
        <v>26</v>
      </c>
      <c r="Q81" s="425">
        <v>9.5591429302857147</v>
      </c>
      <c r="R81" s="425">
        <v>3.5651427677142853</v>
      </c>
      <c r="S81" s="425">
        <v>66.795142037142867</v>
      </c>
      <c r="T81" s="425">
        <v>40.369000025714286</v>
      </c>
      <c r="U81" s="425">
        <v>10.912428581428573</v>
      </c>
      <c r="V81" s="425">
        <v>10.93</v>
      </c>
      <c r="W81" s="425">
        <v>2.1038571597142854</v>
      </c>
      <c r="X81" s="425">
        <v>44.390714371428579</v>
      </c>
      <c r="Y81" s="425">
        <v>9.1145714351428584</v>
      </c>
    </row>
    <row r="82" spans="15:25">
      <c r="P82" s="424">
        <v>27</v>
      </c>
      <c r="Q82" s="425">
        <v>9.3137141635714293</v>
      </c>
      <c r="R82" s="425">
        <v>4.7600000245714282</v>
      </c>
      <c r="S82" s="425">
        <v>67.368571689999996</v>
      </c>
      <c r="T82" s="425">
        <v>33.409999999999997</v>
      </c>
      <c r="U82" s="425">
        <v>9.4035714009999989</v>
      </c>
      <c r="V82" s="425">
        <v>12.51</v>
      </c>
      <c r="W82" s="425">
        <v>2.0499999999999998</v>
      </c>
      <c r="X82" s="425">
        <v>39.173571994285716</v>
      </c>
      <c r="Y82" s="425">
        <v>7.6487142698571438</v>
      </c>
    </row>
    <row r="83" spans="15:25">
      <c r="O83" s="423">
        <v>28</v>
      </c>
      <c r="P83" s="424">
        <v>28</v>
      </c>
      <c r="Q83" s="425">
        <v>8.7544284548571447</v>
      </c>
      <c r="R83" s="425">
        <v>2.5707143034285713</v>
      </c>
      <c r="S83" s="425">
        <v>65.073571887142847</v>
      </c>
      <c r="T83" s="425">
        <v>33.160714285714285</v>
      </c>
      <c r="U83" s="425">
        <v>9.4155716217142871</v>
      </c>
      <c r="V83" s="425">
        <v>12.3</v>
      </c>
      <c r="W83" s="425">
        <v>2.2505714212857142</v>
      </c>
      <c r="X83" s="425">
        <v>36.999285560000011</v>
      </c>
      <c r="Y83" s="425">
        <v>7.0544285774285713</v>
      </c>
    </row>
    <row r="84" spans="15:25">
      <c r="P84" s="424">
        <v>29</v>
      </c>
      <c r="Q84" s="425">
        <v>8.6149000000000004</v>
      </c>
      <c r="R84" s="425">
        <v>3.7006000000000001</v>
      </c>
      <c r="S84" s="425">
        <v>62.515714285714289</v>
      </c>
      <c r="T84" s="425">
        <v>35.738</v>
      </c>
      <c r="U84" s="425">
        <v>9.5503999999999998</v>
      </c>
      <c r="V84" s="425">
        <v>12.245714285714286</v>
      </c>
      <c r="W84" s="425">
        <v>1.9771428571428571</v>
      </c>
      <c r="X84" s="425">
        <v>38.677142857142861</v>
      </c>
      <c r="Y84" s="425">
        <v>6.3400000000000007</v>
      </c>
    </row>
    <row r="85" spans="15:25">
      <c r="P85" s="424">
        <v>30</v>
      </c>
      <c r="Q85" s="425">
        <v>8.1221428598571439</v>
      </c>
      <c r="R85" s="425">
        <v>4.9111429789999992</v>
      </c>
      <c r="S85" s="425">
        <v>57.148857115714286</v>
      </c>
      <c r="T85" s="425">
        <v>85.065429679999994</v>
      </c>
      <c r="U85" s="425">
        <v>15.534142631428571</v>
      </c>
      <c r="V85" s="425">
        <v>10.995952741142858</v>
      </c>
      <c r="W85" s="425">
        <v>2.2859999964285715</v>
      </c>
      <c r="X85" s="425">
        <v>56.166428702857139</v>
      </c>
      <c r="Y85" s="425">
        <v>9.4385714285714304</v>
      </c>
    </row>
    <row r="86" spans="15:25">
      <c r="P86" s="424">
        <v>31</v>
      </c>
      <c r="Q86" s="425">
        <v>7.5620000000000003</v>
      </c>
      <c r="R86" s="425">
        <v>3.28</v>
      </c>
      <c r="S86" s="425">
        <v>58.768000000000001</v>
      </c>
      <c r="T86" s="425">
        <v>40.375</v>
      </c>
      <c r="U86" s="425">
        <v>8.5579999999999998</v>
      </c>
      <c r="V86" s="425">
        <v>13.18</v>
      </c>
      <c r="W86" s="425">
        <v>2</v>
      </c>
      <c r="X86" s="425">
        <v>50.215000000000003</v>
      </c>
      <c r="Y86" s="425">
        <v>8.5770238095238049</v>
      </c>
    </row>
    <row r="87" spans="15:25">
      <c r="O87" s="423">
        <v>32</v>
      </c>
      <c r="P87" s="424">
        <v>32</v>
      </c>
      <c r="Q87" s="425">
        <v>8.4994284765714276</v>
      </c>
      <c r="R87" s="425">
        <v>4.8781427315714287</v>
      </c>
      <c r="S87" s="425">
        <v>54.703428540000004</v>
      </c>
      <c r="T87" s="425">
        <v>52.946428571428569</v>
      </c>
      <c r="U87" s="425">
        <v>10.739857128857144</v>
      </c>
      <c r="V87" s="425">
        <v>10.850328444285712</v>
      </c>
      <c r="W87" s="425">
        <v>2.0667142697142857</v>
      </c>
      <c r="X87" s="425">
        <v>50.460713522857141</v>
      </c>
      <c r="Y87" s="425">
        <v>9.7962856299999999</v>
      </c>
    </row>
    <row r="88" spans="15:25">
      <c r="P88" s="424">
        <v>33</v>
      </c>
      <c r="Q88" s="425">
        <v>7.8117142411428571</v>
      </c>
      <c r="R88" s="425">
        <v>4.5999999999999996</v>
      </c>
      <c r="S88" s="425">
        <v>59.066285269999995</v>
      </c>
      <c r="T88" s="425">
        <v>47.13</v>
      </c>
      <c r="U88" s="425">
        <v>9.23</v>
      </c>
      <c r="V88" s="425">
        <v>10.84</v>
      </c>
      <c r="W88" s="425">
        <v>2.0499999999999998</v>
      </c>
      <c r="X88" s="425">
        <v>44.64</v>
      </c>
      <c r="Y88" s="425">
        <v>8.7822855541428577</v>
      </c>
    </row>
    <row r="89" spans="15:25">
      <c r="P89" s="424">
        <v>34</v>
      </c>
      <c r="Q89" s="425">
        <v>6.44</v>
      </c>
      <c r="R89" s="425">
        <v>5.1568571165714285</v>
      </c>
      <c r="S89" s="425">
        <v>82.033571515714272</v>
      </c>
      <c r="T89" s="425">
        <v>63.892999920000001</v>
      </c>
      <c r="U89" s="425">
        <v>10.917285918714287</v>
      </c>
      <c r="V89" s="425">
        <v>10.534582955714285</v>
      </c>
      <c r="W89" s="425">
        <v>1.8788571358571429</v>
      </c>
      <c r="X89" s="425">
        <v>35.627857751428571</v>
      </c>
      <c r="Y89" s="425">
        <v>11.383714402571428</v>
      </c>
    </row>
    <row r="90" spans="15:25">
      <c r="P90" s="424">
        <v>35</v>
      </c>
      <c r="Q90" s="425">
        <v>7.5428571428571427</v>
      </c>
      <c r="R90" s="425">
        <v>2.15</v>
      </c>
      <c r="S90" s="425">
        <v>71.48</v>
      </c>
      <c r="T90" s="425">
        <v>45.64</v>
      </c>
      <c r="U90" s="425">
        <v>9.4700000000000006</v>
      </c>
      <c r="V90" s="425">
        <v>10.92</v>
      </c>
      <c r="W90" s="425">
        <v>1.88</v>
      </c>
      <c r="X90" s="425">
        <v>32.979999999999997</v>
      </c>
      <c r="Y90" s="425">
        <v>7.88</v>
      </c>
    </row>
    <row r="91" spans="15:25">
      <c r="O91" s="423">
        <v>36</v>
      </c>
      <c r="P91" s="424">
        <v>36</v>
      </c>
      <c r="Q91" s="425">
        <v>7.1671427998571433</v>
      </c>
      <c r="R91" s="425">
        <v>4.8342857142857136</v>
      </c>
      <c r="S91" s="425">
        <v>63.092857142857149</v>
      </c>
      <c r="T91" s="425">
        <v>34.571428571428569</v>
      </c>
      <c r="U91" s="425">
        <v>7.5942857142857134</v>
      </c>
      <c r="V91" s="425">
        <v>11.091428571428571</v>
      </c>
      <c r="W91" s="425">
        <v>1.8442857142857143</v>
      </c>
      <c r="X91" s="425">
        <v>31.20428571428571</v>
      </c>
      <c r="Y91" s="425">
        <v>8.0857142857142854</v>
      </c>
    </row>
    <row r="92" spans="15:25">
      <c r="P92" s="424">
        <v>37</v>
      </c>
      <c r="Q92" s="425">
        <v>7.1637143408571422</v>
      </c>
      <c r="R92" s="425">
        <v>3.1535714688571423</v>
      </c>
      <c r="S92" s="425">
        <v>61.141713821428574</v>
      </c>
      <c r="T92" s="425">
        <v>28.744000025714286</v>
      </c>
      <c r="U92" s="425">
        <v>6.5637142318571433</v>
      </c>
      <c r="V92" s="425">
        <v>10.825238499999999</v>
      </c>
      <c r="W92" s="425">
        <v>1.8114285809999999</v>
      </c>
      <c r="X92" s="425">
        <v>29.614285605714283</v>
      </c>
      <c r="Y92" s="425">
        <v>8.6452856064285708</v>
      </c>
    </row>
    <row r="93" spans="15:25">
      <c r="P93" s="424">
        <v>38</v>
      </c>
      <c r="Q93" s="425">
        <v>8.31</v>
      </c>
      <c r="R93" s="425">
        <v>3.3441428289999995</v>
      </c>
      <c r="S93" s="425">
        <v>49.664428712857145</v>
      </c>
      <c r="T93" s="425">
        <v>35.571571351428574</v>
      </c>
      <c r="U93" s="425">
        <v>7.2939999444285712</v>
      </c>
      <c r="V93" s="425">
        <v>11.159824370000001</v>
      </c>
      <c r="W93" s="425">
        <v>1.8427142925714282</v>
      </c>
      <c r="X93" s="425">
        <v>30.912857054285716</v>
      </c>
      <c r="Y93" s="425">
        <v>8.6452856064285708</v>
      </c>
    </row>
    <row r="94" spans="15:25">
      <c r="P94" s="424">
        <v>39</v>
      </c>
      <c r="Q94" s="425">
        <v>7.621428489714285</v>
      </c>
      <c r="R94" s="425">
        <v>4.6500000000000004</v>
      </c>
      <c r="S94" s="425">
        <v>42.24</v>
      </c>
      <c r="T94" s="425">
        <v>39.39</v>
      </c>
      <c r="U94" s="425">
        <v>7.68</v>
      </c>
      <c r="V94" s="425">
        <v>11.33</v>
      </c>
      <c r="W94" s="425">
        <v>1.64</v>
      </c>
      <c r="X94" s="425">
        <v>37.200000000000003</v>
      </c>
      <c r="Y94" s="425">
        <v>7.4194285528571422</v>
      </c>
    </row>
    <row r="95" spans="15:25">
      <c r="O95" s="423">
        <v>40</v>
      </c>
      <c r="P95" s="424">
        <v>40</v>
      </c>
      <c r="Q95" s="425">
        <v>7.621428489714285</v>
      </c>
      <c r="R95" s="425">
        <v>5.128571373571428</v>
      </c>
      <c r="S95" s="425">
        <v>38.906285422857138</v>
      </c>
      <c r="T95" s="425">
        <v>41.34000069857143</v>
      </c>
      <c r="U95" s="425">
        <v>9.112857137571428</v>
      </c>
      <c r="V95" s="425">
        <v>11.565001485714285</v>
      </c>
      <c r="W95" s="425">
        <v>1.8221428395714285</v>
      </c>
      <c r="X95" s="425">
        <v>42.197143011428572</v>
      </c>
      <c r="Y95" s="425">
        <v>9.6005713597142837</v>
      </c>
    </row>
    <row r="96" spans="15:25">
      <c r="P96" s="424">
        <v>41</v>
      </c>
      <c r="Q96" s="425">
        <v>7.2698572022574259</v>
      </c>
      <c r="R96" s="425">
        <v>4.8594285079410948</v>
      </c>
      <c r="S96" s="425">
        <v>42.923713956560341</v>
      </c>
      <c r="T96" s="425">
        <v>56.607142857142847</v>
      </c>
      <c r="U96" s="425">
        <v>11.170142854962995</v>
      </c>
      <c r="V96" s="425">
        <v>12.740178653172041</v>
      </c>
      <c r="W96" s="425">
        <v>1.7041428429739784</v>
      </c>
      <c r="X96" s="425">
        <v>49.475714547293492</v>
      </c>
      <c r="Y96" s="425">
        <v>10.943285942077617</v>
      </c>
    </row>
    <row r="97" spans="14:25">
      <c r="P97" s="424">
        <v>42</v>
      </c>
      <c r="Q97" s="425">
        <v>6.2732856614249064</v>
      </c>
      <c r="R97" s="425">
        <v>4.00314286776951</v>
      </c>
      <c r="S97" s="425">
        <v>73.976001194545148</v>
      </c>
      <c r="T97" s="425">
        <v>89.232285635811792</v>
      </c>
      <c r="U97" s="425">
        <v>19.282285690307582</v>
      </c>
      <c r="V97" s="425">
        <v>11.792381422860229</v>
      </c>
      <c r="W97" s="425">
        <v>1.5524285691124997</v>
      </c>
      <c r="X97" s="425">
        <v>72.350713457379968</v>
      </c>
      <c r="Y97" s="425">
        <v>17.972571236746628</v>
      </c>
    </row>
    <row r="98" spans="14:25">
      <c r="P98" s="424">
        <v>43</v>
      </c>
      <c r="Q98" s="425">
        <v>8.3208571161542526</v>
      </c>
      <c r="R98" s="425">
        <v>6.0481427737644662</v>
      </c>
      <c r="S98" s="425">
        <v>97.234427315848038</v>
      </c>
      <c r="T98" s="425">
        <v>125.70828465052978</v>
      </c>
      <c r="U98" s="425">
        <v>26.382142475673081</v>
      </c>
      <c r="V98" s="425">
        <v>12.0416071755545</v>
      </c>
      <c r="W98" s="425">
        <v>1.585428544453207</v>
      </c>
      <c r="X98" s="425">
        <v>82.484284537179079</v>
      </c>
      <c r="Y98" s="425">
        <v>19.552571432931028</v>
      </c>
    </row>
    <row r="99" spans="14:25">
      <c r="O99" s="423">
        <v>44</v>
      </c>
      <c r="P99" s="424">
        <v>44</v>
      </c>
      <c r="Q99" s="425">
        <v>9.2941429947142868</v>
      </c>
      <c r="R99" s="425">
        <v>7.6531428608571428</v>
      </c>
      <c r="S99" s="425">
        <v>120.62971387142855</v>
      </c>
      <c r="T99" s="425">
        <v>157.60714285714286</v>
      </c>
      <c r="U99" s="425">
        <v>33.364427840000005</v>
      </c>
      <c r="V99" s="425">
        <v>12.188929967142856</v>
      </c>
      <c r="W99" s="425">
        <v>1.6864285471428571</v>
      </c>
      <c r="X99" s="425">
        <v>110.40928649571428</v>
      </c>
      <c r="Y99" s="425">
        <v>33.081571032857141</v>
      </c>
    </row>
    <row r="100" spans="14:25">
      <c r="P100" s="424">
        <v>45</v>
      </c>
      <c r="Q100" s="425">
        <v>8.6642857274285721</v>
      </c>
      <c r="R100" s="425">
        <v>4.2061428341428568</v>
      </c>
      <c r="S100" s="425">
        <v>125.43157086857143</v>
      </c>
      <c r="T100" s="425">
        <v>105.63685608857143</v>
      </c>
      <c r="U100" s="425">
        <v>18.735571588571428</v>
      </c>
      <c r="V100" s="425">
        <v>13</v>
      </c>
      <c r="W100" s="425">
        <v>1.7397142818571427</v>
      </c>
      <c r="X100" s="425">
        <v>114.14357212285714</v>
      </c>
      <c r="Y100" s="425">
        <v>39.80185754</v>
      </c>
    </row>
    <row r="101" spans="14:25">
      <c r="P101" s="424">
        <v>46</v>
      </c>
      <c r="Q101" s="425">
        <v>8.5371428571428574</v>
      </c>
      <c r="R101" s="425">
        <v>5.9</v>
      </c>
      <c r="S101" s="425">
        <v>78.757142857142853</v>
      </c>
      <c r="T101" s="425">
        <v>79.304285714285712</v>
      </c>
      <c r="U101" s="425">
        <v>13.16</v>
      </c>
      <c r="V101" s="425">
        <v>13.001428571428571</v>
      </c>
      <c r="W101" s="425">
        <v>1.5</v>
      </c>
      <c r="X101" s="425">
        <v>93.457142857142841</v>
      </c>
      <c r="Y101" s="425">
        <v>37.212857142857146</v>
      </c>
    </row>
    <row r="102" spans="14:25">
      <c r="P102" s="424">
        <v>47</v>
      </c>
      <c r="Q102" s="425">
        <v>9.0094285692857135</v>
      </c>
      <c r="R102" s="425">
        <v>7.1015714912857133</v>
      </c>
      <c r="S102" s="425">
        <v>88.111712864285735</v>
      </c>
      <c r="T102" s="425">
        <v>74.684428622857141</v>
      </c>
      <c r="U102" s="425">
        <v>13.483142988571428</v>
      </c>
      <c r="V102" s="425">
        <v>12.142405645714286</v>
      </c>
      <c r="W102" s="425">
        <v>1.5</v>
      </c>
      <c r="X102" s="425">
        <v>104.10500007571429</v>
      </c>
      <c r="Y102" s="425">
        <v>35.055428368571434</v>
      </c>
    </row>
    <row r="103" spans="14:25">
      <c r="O103" s="423">
        <v>48</v>
      </c>
      <c r="P103" s="424">
        <v>48</v>
      </c>
      <c r="Q103" s="425">
        <v>8.5042856081428582</v>
      </c>
      <c r="R103" s="425">
        <v>4.3617142950000005</v>
      </c>
      <c r="S103" s="425">
        <v>80.151286534285717</v>
      </c>
      <c r="T103" s="425">
        <v>95.303570342857142</v>
      </c>
      <c r="U103" s="425">
        <v>12.543571337142859</v>
      </c>
      <c r="V103" s="425">
        <v>11.975262778571429</v>
      </c>
      <c r="W103" s="425">
        <v>1.5</v>
      </c>
      <c r="X103" s="425">
        <v>91.569999695714287</v>
      </c>
      <c r="Y103" s="425">
        <v>28.370000294285713</v>
      </c>
    </row>
    <row r="104" spans="14:25">
      <c r="P104" s="424">
        <v>49</v>
      </c>
      <c r="Q104" s="425">
        <v>8.27</v>
      </c>
      <c r="R104" s="425">
        <v>6.9099999999999993</v>
      </c>
      <c r="S104" s="425">
        <v>66.555714285714288</v>
      </c>
      <c r="T104" s="425">
        <v>54.31</v>
      </c>
      <c r="U104" s="425">
        <v>8.99</v>
      </c>
      <c r="V104" s="425">
        <v>12.26</v>
      </c>
      <c r="W104" s="425">
        <v>1.5</v>
      </c>
      <c r="X104" s="425">
        <v>62.974285714285706</v>
      </c>
      <c r="Y104" s="425">
        <v>22.919999999999998</v>
      </c>
    </row>
    <row r="105" spans="14:25">
      <c r="P105" s="424">
        <v>50</v>
      </c>
      <c r="Q105" s="425">
        <v>8.1765714374285707</v>
      </c>
      <c r="R105" s="425">
        <v>6.5639999597142857</v>
      </c>
      <c r="S105" s="425">
        <v>61.602715082857152</v>
      </c>
      <c r="T105" s="425">
        <v>52.47614288285714</v>
      </c>
      <c r="U105" s="425">
        <v>10.909571511285714</v>
      </c>
      <c r="V105" s="425">
        <v>13.001428604285715</v>
      </c>
      <c r="W105" s="425">
        <v>1.457142846857143</v>
      </c>
      <c r="X105" s="425">
        <v>52.244286674285718</v>
      </c>
      <c r="Y105" s="425">
        <v>17.695714271428571</v>
      </c>
    </row>
    <row r="106" spans="14:25">
      <c r="P106" s="424">
        <v>51</v>
      </c>
      <c r="Q106" s="425">
        <v>10.342857142857142</v>
      </c>
      <c r="R106" s="425">
        <v>7.3285714285714283</v>
      </c>
      <c r="S106" s="425">
        <v>53.9</v>
      </c>
      <c r="T106" s="425">
        <v>126.14285714285714</v>
      </c>
      <c r="U106" s="425">
        <v>16.8</v>
      </c>
      <c r="V106" s="425">
        <v>12.257142857142856</v>
      </c>
      <c r="W106" s="425">
        <v>1.3857142857142859</v>
      </c>
      <c r="X106" s="425">
        <v>86.528571428571439</v>
      </c>
      <c r="Y106" s="425">
        <v>33.51428571428572</v>
      </c>
    </row>
    <row r="107" spans="14:25">
      <c r="O107" s="423">
        <v>52</v>
      </c>
      <c r="P107" s="424">
        <v>52</v>
      </c>
      <c r="Q107" s="425">
        <v>10.661999840142856</v>
      </c>
      <c r="R107" s="425">
        <v>7.4820000789999996</v>
      </c>
      <c r="S107" s="425">
        <v>57.504999978571433</v>
      </c>
      <c r="T107" s="425">
        <v>100.38085719714286</v>
      </c>
      <c r="U107" s="425">
        <v>16.435142652857145</v>
      </c>
      <c r="V107" s="425">
        <v>12.222315514285714</v>
      </c>
      <c r="W107" s="425">
        <v>1.2999999520000001</v>
      </c>
      <c r="X107" s="425">
        <v>103.53357153142858</v>
      </c>
      <c r="Y107" s="425">
        <v>52.753143308571431</v>
      </c>
    </row>
    <row r="108" spans="14:25">
      <c r="N108" s="423">
        <v>2019</v>
      </c>
      <c r="O108" s="423">
        <v>1</v>
      </c>
      <c r="P108" s="424">
        <v>1</v>
      </c>
      <c r="Q108" s="425">
        <v>8.992857251428573</v>
      </c>
      <c r="R108" s="425">
        <v>4.4642857141428571</v>
      </c>
      <c r="S108" s="425">
        <v>57.514999934285704</v>
      </c>
      <c r="T108" s="425">
        <v>79.871427261428579</v>
      </c>
      <c r="U108" s="425">
        <v>13.115714484285716</v>
      </c>
      <c r="V108" s="425">
        <v>11.571904317142856</v>
      </c>
      <c r="W108" s="425">
        <v>1.2999999520000001</v>
      </c>
      <c r="X108" s="425">
        <v>121.75642612857142</v>
      </c>
      <c r="Y108" s="425">
        <v>64.398429325714275</v>
      </c>
    </row>
    <row r="109" spans="14:25">
      <c r="P109" s="424">
        <v>2</v>
      </c>
      <c r="Q109" s="425">
        <v>7.4904285157142843</v>
      </c>
      <c r="R109" s="425">
        <v>3.3685714177142856</v>
      </c>
      <c r="S109" s="425">
        <v>63.363856724285711</v>
      </c>
      <c r="T109" s="425">
        <v>84.184571402857145</v>
      </c>
      <c r="U109" s="425">
        <v>16.11014284285714</v>
      </c>
      <c r="V109" s="425">
        <v>11.570298602857141</v>
      </c>
      <c r="W109" s="425">
        <v>1.2999999520000001</v>
      </c>
      <c r="X109" s="425">
        <v>180.32999965714288</v>
      </c>
      <c r="Y109" s="425">
        <v>70.997858864285703</v>
      </c>
    </row>
    <row r="110" spans="14:25">
      <c r="P110" s="424">
        <v>3</v>
      </c>
      <c r="Q110" s="425">
        <v>14.36</v>
      </c>
      <c r="R110" s="425">
        <v>10.74</v>
      </c>
      <c r="S110" s="425">
        <v>80.75</v>
      </c>
      <c r="T110" s="425">
        <v>149.30000000000001</v>
      </c>
      <c r="U110" s="425">
        <v>29.23</v>
      </c>
      <c r="V110" s="425">
        <v>11.28</v>
      </c>
      <c r="W110" s="425">
        <v>1.33</v>
      </c>
      <c r="X110" s="425">
        <v>167.22</v>
      </c>
      <c r="Y110" s="425">
        <v>68.83</v>
      </c>
    </row>
    <row r="111" spans="14:25">
      <c r="O111" s="423">
        <v>4</v>
      </c>
      <c r="P111" s="424">
        <v>4</v>
      </c>
      <c r="Q111" s="425">
        <v>17.131428719999999</v>
      </c>
      <c r="R111" s="425">
        <v>11.155714580142858</v>
      </c>
      <c r="S111" s="425">
        <v>85.689570837142853</v>
      </c>
      <c r="T111" s="425">
        <v>168.80999974285714</v>
      </c>
      <c r="U111" s="425">
        <v>36.200000218571425</v>
      </c>
      <c r="V111" s="425">
        <v>11.843988554285716</v>
      </c>
      <c r="W111" s="425">
        <v>3.0287143159999999</v>
      </c>
      <c r="X111" s="425">
        <v>185.51500375714286</v>
      </c>
      <c r="Y111" s="425">
        <v>70.089428494285713</v>
      </c>
    </row>
    <row r="112" spans="14:25">
      <c r="P112" s="424">
        <v>5</v>
      </c>
      <c r="Q112" s="425">
        <v>30.592286245714288</v>
      </c>
      <c r="R112" s="425">
        <v>16.463000024285716</v>
      </c>
      <c r="S112" s="425">
        <v>416.48700821428571</v>
      </c>
      <c r="T112" s="425">
        <v>195.24999782857142</v>
      </c>
      <c r="U112" s="425">
        <v>36.703999928571427</v>
      </c>
      <c r="V112" s="425">
        <v>12.496724401428571</v>
      </c>
      <c r="W112" s="425">
        <v>6.6928571292857146</v>
      </c>
      <c r="X112" s="425">
        <v>199.03571430000002</v>
      </c>
      <c r="Y112" s="425">
        <v>74.655428748571438</v>
      </c>
    </row>
    <row r="113" spans="15:25">
      <c r="P113" s="424">
        <v>6</v>
      </c>
      <c r="Q113" s="425">
        <v>20.372857142857146</v>
      </c>
      <c r="R113" s="425">
        <v>17.05857142857143</v>
      </c>
      <c r="S113" s="425">
        <v>426.67142857142863</v>
      </c>
      <c r="T113" s="425">
        <v>265.28000000000003</v>
      </c>
      <c r="U113" s="425">
        <v>51.29</v>
      </c>
      <c r="V113" s="425">
        <v>12.744285714285715</v>
      </c>
      <c r="W113" s="425">
        <v>14.464285714285714</v>
      </c>
      <c r="X113" s="425">
        <v>338.89857142857142</v>
      </c>
      <c r="Y113" s="425">
        <v>117.82857142857142</v>
      </c>
    </row>
    <row r="114" spans="15:25">
      <c r="P114" s="424">
        <v>7</v>
      </c>
      <c r="Q114" s="425">
        <v>28.837571554285717</v>
      </c>
      <c r="R114" s="425">
        <v>18.065285818571429</v>
      </c>
      <c r="S114" s="425">
        <v>581.62514822857145</v>
      </c>
      <c r="T114" s="425">
        <v>230.7322888857143</v>
      </c>
      <c r="U114" s="425">
        <v>46.224000658571427</v>
      </c>
      <c r="V114" s="425">
        <v>23.841369902857146</v>
      </c>
      <c r="W114" s="425">
        <v>21.059571402857141</v>
      </c>
      <c r="X114" s="425">
        <v>288.0957205571429</v>
      </c>
      <c r="Y114" s="425">
        <v>118.07871352857144</v>
      </c>
    </row>
    <row r="115" spans="15:25">
      <c r="O115" s="423">
        <v>8</v>
      </c>
      <c r="P115" s="424">
        <v>8</v>
      </c>
      <c r="Q115" s="425">
        <v>20.077857700000003</v>
      </c>
      <c r="R115" s="425">
        <v>14.531571660571432</v>
      </c>
      <c r="S115" s="425">
        <v>439.74099729999995</v>
      </c>
      <c r="T115" s="425">
        <v>219.37485614285717</v>
      </c>
      <c r="U115" s="425">
        <v>42.94585745571429</v>
      </c>
      <c r="V115" s="425">
        <v>23.894881112857146</v>
      </c>
      <c r="W115" s="425">
        <v>6.8928571428571432</v>
      </c>
      <c r="X115" s="425">
        <v>411.75142995714288</v>
      </c>
      <c r="Y115" s="425">
        <v>98.32</v>
      </c>
    </row>
    <row r="116" spans="15:25">
      <c r="P116" s="424">
        <v>9</v>
      </c>
      <c r="Q116" s="425">
        <v>26.317999977142858</v>
      </c>
      <c r="R116" s="425">
        <v>19.520428521428574</v>
      </c>
      <c r="S116" s="425">
        <v>316.26999772857147</v>
      </c>
      <c r="T116" s="425">
        <v>191.17842539999998</v>
      </c>
      <c r="U116" s="425">
        <v>34.696428571428569</v>
      </c>
      <c r="V116" s="425">
        <v>22.406962801428573</v>
      </c>
      <c r="W116" s="425">
        <v>3.3807143142857146</v>
      </c>
      <c r="X116" s="425">
        <v>249.46285358571427</v>
      </c>
      <c r="Y116" s="425">
        <v>120.90099988571428</v>
      </c>
    </row>
    <row r="117" spans="15:25">
      <c r="P117" s="424">
        <v>10</v>
      </c>
      <c r="Q117" s="425">
        <v>27.959571565714288</v>
      </c>
      <c r="R117" s="425">
        <v>20.831714628571426</v>
      </c>
      <c r="S117" s="425">
        <v>326.63642664285715</v>
      </c>
      <c r="T117" s="425">
        <v>184.08928571428572</v>
      </c>
      <c r="U117" s="425">
        <v>38.680999754285715</v>
      </c>
      <c r="V117" s="425">
        <v>23.828572680000001</v>
      </c>
      <c r="W117" s="425">
        <v>2.3840000118571427</v>
      </c>
      <c r="X117" s="425">
        <v>225.10000174285716</v>
      </c>
      <c r="Y117" s="425">
        <v>78.177285328571429</v>
      </c>
    </row>
    <row r="118" spans="15:25">
      <c r="P118" s="424">
        <v>11</v>
      </c>
      <c r="Q118" s="425">
        <v>27.959571565714288</v>
      </c>
      <c r="R118" s="425">
        <v>22.247142927987216</v>
      </c>
      <c r="S118" s="425">
        <v>416.08099801199745</v>
      </c>
      <c r="T118" s="425">
        <v>226.88085501534573</v>
      </c>
      <c r="U118" s="425">
        <v>42.633285522460888</v>
      </c>
      <c r="V118" s="425">
        <v>23.809881482805473</v>
      </c>
      <c r="W118" s="425">
        <v>1.9291428668158341</v>
      </c>
      <c r="X118" s="425">
        <v>217.45642525809117</v>
      </c>
      <c r="Y118" s="425">
        <v>44.638999938964801</v>
      </c>
    </row>
    <row r="119" spans="15:25">
      <c r="O119" s="423">
        <v>12</v>
      </c>
      <c r="P119" s="424">
        <v>12</v>
      </c>
      <c r="Q119" s="425">
        <v>28.476714270455457</v>
      </c>
      <c r="R119" s="425">
        <v>21.707857131428572</v>
      </c>
      <c r="S119" s="425">
        <v>394.13957431428571</v>
      </c>
      <c r="T119" s="425">
        <v>203.44642857142858</v>
      </c>
      <c r="U119" s="425">
        <v>43.529285431428569</v>
      </c>
      <c r="V119" s="425">
        <v>19.572964258571432</v>
      </c>
      <c r="W119" s="425">
        <v>1.7968571012857144</v>
      </c>
      <c r="X119" s="425">
        <v>327.82142857142861</v>
      </c>
      <c r="Y119" s="425">
        <v>98.4</v>
      </c>
    </row>
    <row r="120" spans="15:25">
      <c r="P120" s="424">
        <v>13</v>
      </c>
      <c r="Q120" s="425">
        <v>24.844714028571435</v>
      </c>
      <c r="R120" s="425">
        <v>20.569142751428576</v>
      </c>
      <c r="S120" s="425">
        <v>522.42285592857138</v>
      </c>
      <c r="T120" s="425">
        <v>225.26185825714285</v>
      </c>
      <c r="U120" s="425">
        <v>57.974427901428569</v>
      </c>
      <c r="V120" s="425">
        <v>12.582738467142859</v>
      </c>
      <c r="W120" s="425">
        <v>1.6904285634285714</v>
      </c>
      <c r="X120" s="425">
        <v>339.04356602857143</v>
      </c>
      <c r="Y120" s="425">
        <v>92.103571201428579</v>
      </c>
    </row>
    <row r="121" spans="15:25">
      <c r="P121" s="424">
        <v>14</v>
      </c>
      <c r="Q121" s="425">
        <v>29.483285902857141</v>
      </c>
      <c r="R121" s="425">
        <v>18.767857142857142</v>
      </c>
      <c r="S121" s="425">
        <v>316.33943394285717</v>
      </c>
      <c r="T121" s="425">
        <v>152.47643277142856</v>
      </c>
      <c r="U121" s="425">
        <v>55.119428907142868</v>
      </c>
      <c r="V121" s="425">
        <v>21.303751674285714</v>
      </c>
      <c r="W121" s="425">
        <v>1.6808571647142858</v>
      </c>
      <c r="X121" s="425">
        <v>250.08571298571431</v>
      </c>
      <c r="Y121" s="425">
        <v>65.665856497142855</v>
      </c>
    </row>
    <row r="122" spans="15:25">
      <c r="P122" s="424">
        <v>15</v>
      </c>
      <c r="Q122" s="425">
        <v>20.040428705714284</v>
      </c>
      <c r="R122" s="425">
        <v>14.275999887714287</v>
      </c>
      <c r="S122" s="425">
        <v>168.45457024285716</v>
      </c>
      <c r="T122" s="425">
        <v>98.160714291428576</v>
      </c>
      <c r="U122" s="425">
        <v>27.713714872857139</v>
      </c>
      <c r="V122" s="425">
        <v>17.810774395714287</v>
      </c>
      <c r="W122" s="425">
        <v>1.7205714498571432</v>
      </c>
      <c r="X122" s="425">
        <v>148.48785617142858</v>
      </c>
      <c r="Y122" s="425">
        <v>49.633285522857136</v>
      </c>
    </row>
    <row r="123" spans="15:25">
      <c r="O123" s="423">
        <v>16</v>
      </c>
      <c r="P123" s="424">
        <v>16</v>
      </c>
      <c r="Q123" s="425">
        <v>16.072142737142858</v>
      </c>
      <c r="R123" s="425">
        <v>10.180143014285713</v>
      </c>
      <c r="S123" s="425">
        <v>131.80142647142856</v>
      </c>
      <c r="T123" s="425">
        <v>98.279714314285712</v>
      </c>
      <c r="U123" s="425">
        <v>22.869143077142859</v>
      </c>
      <c r="V123" s="425">
        <v>12.210951395714286</v>
      </c>
      <c r="W123" s="425">
        <v>1.789857131857143</v>
      </c>
      <c r="X123" s="425">
        <v>105.47928511571429</v>
      </c>
      <c r="Y123" s="425">
        <v>31.291000095714285</v>
      </c>
    </row>
    <row r="124" spans="15:25">
      <c r="P124" s="424">
        <v>17</v>
      </c>
      <c r="Q124" s="425">
        <v>15.383999960000001</v>
      </c>
      <c r="R124" s="425">
        <v>12.121571608857142</v>
      </c>
      <c r="S124" s="425">
        <v>143.84128789999997</v>
      </c>
      <c r="T124" s="425">
        <v>83.547571454285716</v>
      </c>
      <c r="U124" s="425">
        <v>20.273857388571425</v>
      </c>
      <c r="V124" s="425">
        <v>12.949641501428573</v>
      </c>
      <c r="W124" s="425">
        <v>1.6648571664285714</v>
      </c>
      <c r="X124" s="425">
        <v>103.81928579571429</v>
      </c>
      <c r="Y124" s="425">
        <v>25.921857015714284</v>
      </c>
    </row>
    <row r="125" spans="15:25">
      <c r="P125" s="424">
        <v>18</v>
      </c>
      <c r="Q125" s="425">
        <v>16.026142665714286</v>
      </c>
      <c r="R125" s="425">
        <v>11.996285711571428</v>
      </c>
      <c r="S125" s="425">
        <v>111.12314277285714</v>
      </c>
      <c r="T125" s="425">
        <v>74.392857142857139</v>
      </c>
      <c r="U125" s="425">
        <v>18.103142875714287</v>
      </c>
      <c r="V125" s="425">
        <v>11.493274145714285</v>
      </c>
      <c r="W125" s="425">
        <v>1.55</v>
      </c>
      <c r="X125" s="425">
        <v>91.532855442857141</v>
      </c>
      <c r="Y125" s="425">
        <v>22.190428595714284</v>
      </c>
    </row>
    <row r="126" spans="15:25">
      <c r="P126" s="424">
        <v>19</v>
      </c>
      <c r="Q126" s="425">
        <v>14.769714355714287</v>
      </c>
      <c r="R126" s="425">
        <v>10.123285769857144</v>
      </c>
      <c r="S126" s="425">
        <v>89.41828482428572</v>
      </c>
      <c r="T126" s="425">
        <v>60.613000051428571</v>
      </c>
      <c r="U126" s="425">
        <v>15.728999954285714</v>
      </c>
      <c r="V126" s="425">
        <v>10.883738517142858</v>
      </c>
      <c r="W126" s="425">
        <v>1.5914285865714286</v>
      </c>
      <c r="X126" s="425">
        <v>82.45500183</v>
      </c>
      <c r="Y126" s="425">
        <v>20.991285870000006</v>
      </c>
    </row>
    <row r="127" spans="15:25">
      <c r="P127" s="424">
        <v>20</v>
      </c>
      <c r="Q127" s="425">
        <v>13.81242861</v>
      </c>
      <c r="R127" s="425">
        <v>9.3731427190000005</v>
      </c>
      <c r="S127" s="425">
        <v>79.212427410000004</v>
      </c>
      <c r="T127" s="425">
        <v>72.321428569999995</v>
      </c>
      <c r="U127" s="425">
        <v>20.647571429999999</v>
      </c>
      <c r="V127" s="425">
        <v>11.153748650000001</v>
      </c>
      <c r="W127" s="425">
        <v>1.5371428389999999</v>
      </c>
      <c r="X127" s="425">
        <v>76.857142859999996</v>
      </c>
      <c r="Y127" s="425">
        <v>23.085714070000002</v>
      </c>
    </row>
    <row r="128" spans="15:25">
      <c r="P128" s="424">
        <v>21</v>
      </c>
      <c r="Q128" s="425">
        <v>12.849714414285714</v>
      </c>
      <c r="R128" s="425">
        <v>7.085428442285715</v>
      </c>
      <c r="S128" s="425">
        <v>62.717000688571432</v>
      </c>
      <c r="T128" s="425">
        <v>52.565571377142859</v>
      </c>
      <c r="U128" s="425">
        <v>14.46171447</v>
      </c>
      <c r="V128" s="425">
        <v>12</v>
      </c>
      <c r="W128" s="425">
        <v>1.5128571304285714</v>
      </c>
      <c r="X128" s="425">
        <v>58.057856968571436</v>
      </c>
      <c r="Y128" s="425">
        <v>17.858285902857144</v>
      </c>
    </row>
    <row r="129" spans="15:26">
      <c r="O129" s="423">
        <v>22</v>
      </c>
      <c r="P129" s="424">
        <v>22</v>
      </c>
      <c r="Q129" s="425">
        <v>12.105428559999998</v>
      </c>
      <c r="R129" s="425">
        <v>7.3308571058571435</v>
      </c>
      <c r="S129" s="425">
        <v>41.633143151428598</v>
      </c>
      <c r="T129" s="425">
        <v>49.261999948571429</v>
      </c>
      <c r="U129" s="425">
        <v>12.621714454285712</v>
      </c>
      <c r="V129" s="425">
        <v>10.442797251571431</v>
      </c>
      <c r="W129" s="425">
        <v>1.5</v>
      </c>
      <c r="X129" s="425">
        <v>51.520714895714285</v>
      </c>
      <c r="Y129" s="425">
        <v>15.324571202857143</v>
      </c>
    </row>
    <row r="130" spans="15:26">
      <c r="P130" s="424">
        <v>23</v>
      </c>
      <c r="Q130" s="425">
        <v>11.272714207142856</v>
      </c>
      <c r="R130" s="425">
        <v>7.7242857718571427</v>
      </c>
      <c r="S130" s="425">
        <v>41.633143151428598</v>
      </c>
      <c r="T130" s="425">
        <v>40.500142779999997</v>
      </c>
      <c r="U130" s="425">
        <v>10.571857179142857</v>
      </c>
      <c r="V130" s="425">
        <v>10.979225701428572</v>
      </c>
      <c r="W130" s="425">
        <v>1.5</v>
      </c>
      <c r="X130" s="425">
        <v>46.520714351428573</v>
      </c>
      <c r="Y130" s="425">
        <v>13.868142808571431</v>
      </c>
    </row>
    <row r="131" spans="15:26">
      <c r="P131" s="424">
        <v>24</v>
      </c>
      <c r="Q131" s="425">
        <v>10.867999894285715</v>
      </c>
      <c r="R131" s="425">
        <v>8.8337143495714301</v>
      </c>
      <c r="S131" s="425">
        <v>78.434000150000003</v>
      </c>
      <c r="T131" s="425">
        <v>35.785857065714289</v>
      </c>
      <c r="U131" s="425">
        <v>9.2180000031428584</v>
      </c>
      <c r="V131" s="425">
        <v>11.096784181428571</v>
      </c>
      <c r="W131" s="425">
        <v>1.5</v>
      </c>
      <c r="X131" s="425">
        <v>42.473571777142858</v>
      </c>
      <c r="Y131" s="425">
        <v>12.512571334285715</v>
      </c>
    </row>
    <row r="132" spans="15:26">
      <c r="P132" s="424">
        <v>25</v>
      </c>
      <c r="Q132" s="425">
        <v>10.167285918857143</v>
      </c>
      <c r="R132" s="425">
        <v>7.6592858184285708</v>
      </c>
      <c r="S132" s="425">
        <v>77.872000559999989</v>
      </c>
      <c r="T132" s="425">
        <v>33.357000077142857</v>
      </c>
      <c r="U132" s="425">
        <v>8.9321429390000002</v>
      </c>
      <c r="V132" s="425">
        <v>10.461965969999998</v>
      </c>
      <c r="W132" s="425">
        <v>1.5</v>
      </c>
      <c r="X132" s="425">
        <v>43.729285104285715</v>
      </c>
      <c r="Y132" s="425">
        <v>11.450428658571429</v>
      </c>
    </row>
    <row r="133" spans="15:26">
      <c r="O133" s="423">
        <v>26</v>
      </c>
      <c r="P133" s="424">
        <v>26</v>
      </c>
      <c r="Q133" s="425">
        <v>9.3535717554285718</v>
      </c>
      <c r="R133" s="425">
        <v>6.2751428064285708</v>
      </c>
      <c r="S133" s="425">
        <v>76.447856358571428</v>
      </c>
      <c r="T133" s="425">
        <v>29.154571531428569</v>
      </c>
      <c r="U133" s="425">
        <v>8.3007144928571428</v>
      </c>
      <c r="V133" s="425">
        <v>11.259941372857144</v>
      </c>
      <c r="W133" s="425">
        <v>1.5</v>
      </c>
      <c r="X133" s="425">
        <v>44.616428919999997</v>
      </c>
      <c r="Y133" s="425">
        <v>9.6660000944285702</v>
      </c>
    </row>
    <row r="134" spans="15:26">
      <c r="P134" s="424">
        <v>27</v>
      </c>
      <c r="Q134" s="425">
        <v>8.86</v>
      </c>
      <c r="R134" s="425">
        <v>7.15</v>
      </c>
      <c r="S134" s="425">
        <v>77.430000000000007</v>
      </c>
      <c r="T134" s="425">
        <v>30.35</v>
      </c>
      <c r="U134" s="425">
        <v>8.59</v>
      </c>
      <c r="V134" s="425">
        <v>10.758154460361988</v>
      </c>
      <c r="W134" s="425">
        <v>1.59</v>
      </c>
      <c r="X134" s="425">
        <v>43.84</v>
      </c>
      <c r="Y134" s="425">
        <v>8.27</v>
      </c>
    </row>
    <row r="135" spans="15:26">
      <c r="P135" s="424">
        <v>28</v>
      </c>
      <c r="Q135" s="425">
        <v>8.9135712215714289</v>
      </c>
      <c r="R135" s="425">
        <v>5.7058570728571425</v>
      </c>
      <c r="S135" s="425">
        <v>76.24514443428572</v>
      </c>
      <c r="T135" s="425">
        <v>27.702285765714286</v>
      </c>
      <c r="U135" s="425">
        <v>7.8261427880000003</v>
      </c>
      <c r="V135" s="425">
        <v>11.139168601428571</v>
      </c>
      <c r="W135" s="425">
        <v>1.6000000240000001</v>
      </c>
      <c r="X135" s="425">
        <v>39.995714458571435</v>
      </c>
      <c r="Y135" s="425">
        <v>7.4899999752857136</v>
      </c>
    </row>
    <row r="136" spans="15:26">
      <c r="P136" s="424">
        <v>29</v>
      </c>
      <c r="Q136" s="425">
        <v>9.1244284766060932</v>
      </c>
      <c r="R136" s="425">
        <v>6.4564285959516052</v>
      </c>
      <c r="S136" s="425">
        <v>66.31271307809007</v>
      </c>
      <c r="T136" s="425">
        <v>29.940428597586454</v>
      </c>
      <c r="U136" s="425">
        <v>7.6488569804600273</v>
      </c>
      <c r="V136" s="425">
        <v>10.810358456202879</v>
      </c>
      <c r="W136" s="425">
        <v>1.6000000238418504</v>
      </c>
      <c r="X136" s="425">
        <v>42.704285757882197</v>
      </c>
      <c r="Y136" s="425">
        <v>6.46428571428571</v>
      </c>
    </row>
    <row r="137" spans="15:26">
      <c r="O137" s="423">
        <v>30</v>
      </c>
      <c r="P137" s="424">
        <v>30</v>
      </c>
      <c r="Q137" s="425">
        <v>8.5528571428571407</v>
      </c>
      <c r="R137" s="425">
        <v>4.6828571428571433</v>
      </c>
      <c r="S137" s="425">
        <v>72.048571428571435</v>
      </c>
      <c r="T137" s="425">
        <v>36.729999999999997</v>
      </c>
      <c r="U137" s="425">
        <v>8.18</v>
      </c>
      <c r="V137" s="425">
        <v>12.61</v>
      </c>
      <c r="W137" s="425">
        <v>1.6285714285714283</v>
      </c>
      <c r="X137" s="425">
        <v>44.611428571428576</v>
      </c>
      <c r="Y137" s="425">
        <v>8.2285714285714295</v>
      </c>
    </row>
    <row r="138" spans="15:26">
      <c r="P138" s="424">
        <v>31</v>
      </c>
      <c r="Q138" s="425">
        <v>8.6655714172857152</v>
      </c>
      <c r="R138" s="425">
        <v>6.0697142064285714</v>
      </c>
      <c r="S138" s="425">
        <v>71.543143134285714</v>
      </c>
      <c r="T138" s="425">
        <v>31.720428468571431</v>
      </c>
      <c r="U138" s="425">
        <v>7.0618571554285712</v>
      </c>
      <c r="V138" s="425">
        <v>12.322975702857141</v>
      </c>
      <c r="W138" s="425">
        <v>1.7000000479999999</v>
      </c>
      <c r="X138" s="425">
        <v>43.444999694285706</v>
      </c>
      <c r="Y138" s="425">
        <v>6.7562857354285706</v>
      </c>
    </row>
    <row r="139" spans="15:26">
      <c r="P139" s="424">
        <v>32</v>
      </c>
      <c r="Q139" s="425">
        <v>8.8231430052857132</v>
      </c>
      <c r="R139" s="425">
        <v>7.5088570807142858</v>
      </c>
      <c r="S139" s="425">
        <v>73.754999434285722</v>
      </c>
      <c r="T139" s="425">
        <v>23.255857194285714</v>
      </c>
      <c r="U139" s="425">
        <v>6.2595714159999991</v>
      </c>
      <c r="V139" s="425">
        <v>12.551451548571427</v>
      </c>
      <c r="W139" s="425">
        <v>1.7214285988571427</v>
      </c>
      <c r="X139" s="425">
        <v>38.432857512857147</v>
      </c>
      <c r="Y139" s="425">
        <v>6.4201429230000002</v>
      </c>
    </row>
    <row r="140" spans="15:26">
      <c r="P140" s="424">
        <v>33</v>
      </c>
      <c r="Q140" s="425">
        <v>7.5077142715714285</v>
      </c>
      <c r="R140" s="425">
        <v>3.2121428764285715</v>
      </c>
      <c r="S140" s="425">
        <v>68.878572191428574</v>
      </c>
      <c r="T140" s="425">
        <v>21.297428674285715</v>
      </c>
      <c r="U140" s="425">
        <v>6.3691428730000004</v>
      </c>
      <c r="V140" s="425">
        <v>12.137084417142857</v>
      </c>
      <c r="W140" s="425">
        <v>1.7482857022857143</v>
      </c>
      <c r="X140" s="425">
        <v>36.690713608571421</v>
      </c>
      <c r="Y140" s="425">
        <v>4.7154285567142855</v>
      </c>
    </row>
    <row r="141" spans="15:26">
      <c r="P141" s="424">
        <v>34</v>
      </c>
      <c r="Q141" s="425">
        <v>7.6147142817142859</v>
      </c>
      <c r="R141" s="425">
        <v>3.3949999810000002</v>
      </c>
      <c r="S141" s="425">
        <v>65.663999831428569</v>
      </c>
      <c r="T141" s="425">
        <v>20.922428674285715</v>
      </c>
      <c r="U141" s="425">
        <v>6.115428584</v>
      </c>
      <c r="V141" s="425">
        <v>12.034524235714285</v>
      </c>
      <c r="W141" s="425">
        <v>1.7482857022857143</v>
      </c>
      <c r="X141" s="425">
        <v>34.872856138571429</v>
      </c>
      <c r="Y141" s="425">
        <v>5.7421428814285713</v>
      </c>
    </row>
    <row r="142" spans="15:26">
      <c r="P142" s="424">
        <v>35</v>
      </c>
      <c r="Q142" s="425">
        <v>8.7815715245714294</v>
      </c>
      <c r="R142" s="425">
        <v>7.1025714534285722</v>
      </c>
      <c r="S142" s="425">
        <v>65.224427905714279</v>
      </c>
      <c r="T142" s="425">
        <v>19.458285740000001</v>
      </c>
      <c r="U142" s="425">
        <v>6.3137143680000003</v>
      </c>
      <c r="V142" s="425">
        <v>12.041607177142856</v>
      </c>
      <c r="W142" s="425">
        <v>1.75</v>
      </c>
      <c r="X142" s="425">
        <v>34.16142872428572</v>
      </c>
      <c r="Y142" s="425">
        <v>6.5945714541428577</v>
      </c>
    </row>
    <row r="143" spans="15:26">
      <c r="O143" s="423">
        <v>36</v>
      </c>
      <c r="P143" s="424">
        <v>36</v>
      </c>
      <c r="Q143" s="425">
        <v>8.2851428302857144</v>
      </c>
      <c r="R143" s="425">
        <v>6.7619999824285708</v>
      </c>
      <c r="S143" s="425">
        <v>60.719142914285719</v>
      </c>
      <c r="T143" s="425">
        <v>25.369000025714286</v>
      </c>
      <c r="U143" s="425">
        <v>5.8737142427142857</v>
      </c>
      <c r="V143" s="425">
        <v>12.055594308571429</v>
      </c>
      <c r="W143" s="425">
        <v>1.6425714154285713</v>
      </c>
      <c r="X143" s="425">
        <v>35.968571799999999</v>
      </c>
      <c r="Y143" s="425">
        <v>4.9847143037142851</v>
      </c>
      <c r="Z143" s="452"/>
    </row>
    <row r="144" spans="15:26">
      <c r="P144" s="424">
        <v>37</v>
      </c>
      <c r="Q144" s="425">
        <v>7.6475714954285712</v>
      </c>
      <c r="R144" s="425">
        <v>6.5272856442857137</v>
      </c>
      <c r="S144" s="425">
        <v>62.679428645714289</v>
      </c>
      <c r="T144" s="425">
        <v>28.136857168571428</v>
      </c>
      <c r="U144" s="425">
        <v>6.1154285838571436</v>
      </c>
      <c r="V144" s="425">
        <v>12.130952835714286</v>
      </c>
      <c r="W144" s="425">
        <v>1.6457142658571429</v>
      </c>
      <c r="X144" s="425">
        <v>34.324999674285714</v>
      </c>
      <c r="Y144" s="425">
        <v>5.502714293285714</v>
      </c>
    </row>
    <row r="145" spans="15:25">
      <c r="P145" s="424">
        <v>38</v>
      </c>
      <c r="Q145" s="425">
        <v>7.6971428571428575</v>
      </c>
      <c r="R145" s="425">
        <v>5.444285714285714</v>
      </c>
      <c r="S145" s="425">
        <v>65.47</v>
      </c>
      <c r="T145" s="425">
        <v>29.351428571428567</v>
      </c>
      <c r="U145" s="425">
        <v>6.8328571428571419</v>
      </c>
      <c r="V145" s="425">
        <v>12.194285714285716</v>
      </c>
      <c r="W145" s="425">
        <v>1.6014285714285712</v>
      </c>
      <c r="X145" s="425">
        <v>33.131428571428572</v>
      </c>
      <c r="Y145" s="425">
        <v>6.8414285714285716</v>
      </c>
    </row>
    <row r="146" spans="15:25">
      <c r="P146" s="424">
        <v>39</v>
      </c>
      <c r="Q146" s="425">
        <v>7.6702859061104887</v>
      </c>
      <c r="R146" s="425">
        <v>5.896142857415323</v>
      </c>
      <c r="S146" s="425">
        <v>72.930715288434641</v>
      </c>
      <c r="T146" s="425">
        <v>26.470285688127774</v>
      </c>
      <c r="U146" s="425">
        <v>9.2337144442966927</v>
      </c>
      <c r="V146" s="425">
        <v>12.167024339948341</v>
      </c>
      <c r="W146" s="425">
        <v>1.4285714115415273</v>
      </c>
      <c r="X146" s="425">
        <v>32.532142911638481</v>
      </c>
      <c r="Y146" s="425">
        <v>5.5879999569484111</v>
      </c>
    </row>
    <row r="147" spans="15:25">
      <c r="O147" s="423">
        <v>40</v>
      </c>
      <c r="P147" s="424">
        <v>40</v>
      </c>
      <c r="Q147" s="425">
        <v>6.5494285314285721</v>
      </c>
      <c r="R147" s="425">
        <v>3.8238571030000004</v>
      </c>
      <c r="S147" s="425">
        <v>70.661287578571418</v>
      </c>
      <c r="T147" s="425">
        <v>28.190571377142856</v>
      </c>
      <c r="U147" s="425">
        <v>9.6928569934285722</v>
      </c>
      <c r="V147" s="425">
        <v>12.594642775714282</v>
      </c>
      <c r="W147" s="425">
        <v>1.3999999759999999</v>
      </c>
      <c r="X147" s="425">
        <v>36.384999957142853</v>
      </c>
      <c r="Y147" s="425">
        <v>8.0550000327142861</v>
      </c>
    </row>
    <row r="148" spans="15:25">
      <c r="P148" s="424">
        <v>41</v>
      </c>
      <c r="Q148" s="425">
        <v>8.096428529999999</v>
      </c>
      <c r="R148" s="425">
        <v>4.0404286040000006</v>
      </c>
      <c r="S148" s="425">
        <v>65.047571455714291</v>
      </c>
      <c r="T148" s="425">
        <v>47.010571615714284</v>
      </c>
      <c r="U148" s="425">
        <v>10.709857054714286</v>
      </c>
      <c r="V148" s="425">
        <v>13.274107117142858</v>
      </c>
      <c r="W148" s="425">
        <v>1.3785714251428571</v>
      </c>
      <c r="X148" s="425">
        <v>40.987143380000006</v>
      </c>
      <c r="Y148" s="425">
        <v>6.9969999451428562</v>
      </c>
    </row>
    <row r="149" spans="15:25">
      <c r="P149" s="424">
        <v>42</v>
      </c>
      <c r="Q149" s="425">
        <v>7.4685714285714289</v>
      </c>
      <c r="R149" s="425">
        <v>4.8257142857142856</v>
      </c>
      <c r="S149" s="425">
        <v>67.597142857142856</v>
      </c>
      <c r="T149" s="425">
        <v>47.291428571428575</v>
      </c>
      <c r="U149" s="425">
        <v>8.5642857142857132</v>
      </c>
      <c r="V149" s="425">
        <v>13.001428571428571</v>
      </c>
      <c r="W149" s="425">
        <v>1.3499999999999999</v>
      </c>
      <c r="X149" s="425">
        <v>37.554285714285712</v>
      </c>
      <c r="Y149" s="425">
        <v>6.2985714285714289</v>
      </c>
    </row>
    <row r="150" spans="15:25">
      <c r="P150" s="424">
        <v>43</v>
      </c>
      <c r="Q150" s="425">
        <v>8.9041427881428579</v>
      </c>
      <c r="R150" s="425">
        <v>7.354714223857143</v>
      </c>
      <c r="S150" s="425">
        <v>80.445570807142857</v>
      </c>
      <c r="T150" s="425">
        <v>71.934570317142857</v>
      </c>
      <c r="U150" s="425">
        <v>12.279142925142859</v>
      </c>
      <c r="V150" s="425">
        <v>13.139822822857143</v>
      </c>
      <c r="W150" s="425">
        <v>1.2642857177142857</v>
      </c>
      <c r="X150" s="425">
        <v>52.87071446142857</v>
      </c>
      <c r="Y150" s="425">
        <v>11.989999907285712</v>
      </c>
    </row>
    <row r="151" spans="15:25">
      <c r="O151" s="423">
        <v>44</v>
      </c>
      <c r="P151" s="424">
        <v>44</v>
      </c>
      <c r="Q151" s="425">
        <v>7.8245713370000001</v>
      </c>
      <c r="R151" s="425">
        <v>6.0929999348571409</v>
      </c>
      <c r="S151" s="425">
        <v>68.079284669999993</v>
      </c>
      <c r="T151" s="425">
        <v>33.011999948571429</v>
      </c>
      <c r="U151" s="425">
        <v>8.685571329857142</v>
      </c>
      <c r="V151" s="425">
        <v>13.275356975714287</v>
      </c>
      <c r="W151" s="425">
        <v>1.1857142621428574</v>
      </c>
      <c r="X151" s="425">
        <v>36.208572388571426</v>
      </c>
      <c r="Y151" s="425">
        <v>7.9394285338571438</v>
      </c>
    </row>
    <row r="152" spans="15:25">
      <c r="P152" s="424">
        <v>45</v>
      </c>
      <c r="Q152" s="425">
        <v>9.4607142031428566</v>
      </c>
      <c r="R152" s="425">
        <v>6.8107141777142859</v>
      </c>
      <c r="S152" s="425">
        <v>71.555715832857132</v>
      </c>
      <c r="T152" s="425">
        <v>77.119000028571435</v>
      </c>
      <c r="U152" s="425">
        <v>11.169571467285715</v>
      </c>
      <c r="V152" s="425">
        <v>14</v>
      </c>
      <c r="W152" s="425">
        <v>1.1200000049999999</v>
      </c>
      <c r="X152" s="425">
        <v>61.867856707142856</v>
      </c>
      <c r="Y152" s="425">
        <v>10.621285710571428</v>
      </c>
    </row>
    <row r="153" spans="15:25">
      <c r="P153" s="424">
        <v>46</v>
      </c>
      <c r="Q153" s="425">
        <v>9.3077141910000005</v>
      </c>
      <c r="R153" s="425">
        <v>7.0327142307142854</v>
      </c>
      <c r="S153" s="425">
        <v>91.077428547142858</v>
      </c>
      <c r="T153" s="425">
        <v>102.37485722571429</v>
      </c>
      <c r="U153" s="425">
        <v>13.601000102857142</v>
      </c>
      <c r="V153" s="425">
        <v>14.050535747142858</v>
      </c>
      <c r="W153" s="425">
        <v>1.1085714441428569</v>
      </c>
      <c r="X153" s="425">
        <v>108.26642826857143</v>
      </c>
      <c r="Y153" s="425">
        <v>19.484428541428574</v>
      </c>
    </row>
    <row r="154" spans="15:25">
      <c r="P154" s="424">
        <v>47</v>
      </c>
      <c r="Q154" s="425">
        <v>9.4625713492857138</v>
      </c>
      <c r="R154" s="425">
        <v>5.5844285494285719</v>
      </c>
      <c r="S154" s="425">
        <v>81.972856794285704</v>
      </c>
      <c r="T154" s="425">
        <v>82.511857174285723</v>
      </c>
      <c r="U154" s="425">
        <v>10.628571509714286</v>
      </c>
      <c r="V154" s="425">
        <v>13.985775811428573</v>
      </c>
      <c r="W154" s="425">
        <v>1.1000000240000001</v>
      </c>
      <c r="X154" s="425">
        <v>123.16000039999999</v>
      </c>
      <c r="Y154" s="425">
        <v>19.475428171428575</v>
      </c>
    </row>
    <row r="155" spans="15:25">
      <c r="O155" s="423">
        <v>48</v>
      </c>
      <c r="P155" s="424">
        <v>48</v>
      </c>
      <c r="Q155" s="425">
        <v>10.788142817999999</v>
      </c>
      <c r="R155" s="425">
        <v>7.5644286014285722</v>
      </c>
      <c r="S155" s="425">
        <v>84.626999989999987</v>
      </c>
      <c r="T155" s="425">
        <v>67.75</v>
      </c>
      <c r="U155" s="425">
        <v>8.4404285975714277</v>
      </c>
      <c r="V155" s="425">
        <v>13.781128474285714</v>
      </c>
      <c r="W155" s="425">
        <v>1.1000000240000001</v>
      </c>
      <c r="X155" s="425">
        <v>94.382143292857137</v>
      </c>
      <c r="Y155" s="425">
        <v>16.918428555714282</v>
      </c>
    </row>
    <row r="156" spans="15:25">
      <c r="P156" s="424">
        <v>49</v>
      </c>
      <c r="Q156" s="425">
        <v>12.195857184142856</v>
      </c>
      <c r="R156" s="425">
        <v>8.7971429828571424</v>
      </c>
      <c r="S156" s="425">
        <v>127.52371543</v>
      </c>
      <c r="T156" s="425">
        <v>92.821572431428564</v>
      </c>
      <c r="U156" s="425">
        <v>12.563142707428572</v>
      </c>
      <c r="V156" s="425">
        <v>13.148691448571428</v>
      </c>
      <c r="W156" s="425">
        <v>1.1000000000000001</v>
      </c>
      <c r="X156" s="425">
        <v>134.38285718142859</v>
      </c>
      <c r="Y156" s="425">
        <v>23.580285755714289</v>
      </c>
    </row>
    <row r="157" spans="15:25">
      <c r="P157" s="424">
        <v>50</v>
      </c>
      <c r="Q157" s="425">
        <v>12.195857184142856</v>
      </c>
      <c r="R157" s="425">
        <v>8.7971429828571424</v>
      </c>
      <c r="S157" s="425">
        <v>183.5428575857143</v>
      </c>
      <c r="T157" s="425">
        <v>117.73200008285714</v>
      </c>
      <c r="U157" s="425">
        <v>21.506999832857144</v>
      </c>
      <c r="V157" s="425">
        <v>12.61392865857143</v>
      </c>
      <c r="W157" s="425">
        <v>1.1014285939999999</v>
      </c>
      <c r="X157" s="425">
        <v>210.99928282857144</v>
      </c>
      <c r="Y157" s="425">
        <v>41.892142702857143</v>
      </c>
    </row>
    <row r="158" spans="15:25">
      <c r="P158" s="424">
        <v>51</v>
      </c>
      <c r="Q158" s="425">
        <v>18.622142792857144</v>
      </c>
      <c r="R158" s="425">
        <v>18.057571141428571</v>
      </c>
      <c r="S158" s="425">
        <v>292.95071844285718</v>
      </c>
      <c r="T158" s="425">
        <v>180.44057028571427</v>
      </c>
      <c r="U158" s="425">
        <v>47.032857078571432</v>
      </c>
      <c r="V158" s="425">
        <v>12.600475584285714</v>
      </c>
      <c r="W158" s="425">
        <v>1.1000000240000001</v>
      </c>
      <c r="X158" s="425">
        <v>166.85428727142857</v>
      </c>
      <c r="Y158" s="425">
        <v>39.827428544285716</v>
      </c>
    </row>
    <row r="159" spans="15:25">
      <c r="P159" s="424">
        <v>52</v>
      </c>
      <c r="Q159" s="425">
        <v>29.98</v>
      </c>
      <c r="R159" s="425">
        <v>19.592142921428572</v>
      </c>
      <c r="S159" s="425">
        <v>381.11599999999993</v>
      </c>
      <c r="T159" s="425">
        <v>222.82728794285717</v>
      </c>
      <c r="U159" s="425">
        <v>45.963714052857135</v>
      </c>
      <c r="V159" s="425">
        <v>12.617798667142859</v>
      </c>
      <c r="W159" s="425">
        <v>1.4000000274285713</v>
      </c>
      <c r="X159" s="425">
        <v>293.28928701428578</v>
      </c>
      <c r="Y159" s="425">
        <v>62.57285690285714</v>
      </c>
    </row>
    <row r="160" spans="15:25">
      <c r="O160" s="423">
        <v>53</v>
      </c>
      <c r="P160" s="424">
        <v>53</v>
      </c>
      <c r="Q160" s="425">
        <v>16.182714325714286</v>
      </c>
      <c r="R160" s="425">
        <v>8.7855713015714283</v>
      </c>
      <c r="S160" s="425">
        <v>271.83385794285715</v>
      </c>
      <c r="T160" s="425">
        <v>172.15485925714285</v>
      </c>
      <c r="U160" s="425">
        <v>29.933428355714284</v>
      </c>
      <c r="V160" s="425">
        <v>12.85226127</v>
      </c>
      <c r="W160" s="425">
        <v>1.4571428811428571</v>
      </c>
      <c r="X160" s="425">
        <v>278.16286141428571</v>
      </c>
      <c r="Y160" s="425">
        <v>97.806430279999987</v>
      </c>
    </row>
    <row r="161" spans="13:32">
      <c r="N161" s="423">
        <v>2020</v>
      </c>
      <c r="P161" s="424">
        <v>1</v>
      </c>
      <c r="Q161" s="425">
        <v>12.763571330479184</v>
      </c>
      <c r="R161" s="425">
        <v>7.4842857292720009</v>
      </c>
      <c r="S161" s="425">
        <v>176.20814078194715</v>
      </c>
      <c r="T161" s="425">
        <v>130.2321406773155</v>
      </c>
      <c r="U161" s="425">
        <v>24.27742849077493</v>
      </c>
      <c r="V161" s="425">
        <v>14.514315741402715</v>
      </c>
      <c r="W161" s="425">
        <v>2.278571367263786</v>
      </c>
      <c r="X161" s="425">
        <v>468.15499877929659</v>
      </c>
      <c r="Y161" s="425">
        <v>152.80385916573601</v>
      </c>
    </row>
    <row r="162" spans="13:32">
      <c r="P162" s="424">
        <v>2</v>
      </c>
      <c r="Q162" s="425">
        <v>13.386285781428571</v>
      </c>
      <c r="R162" s="425">
        <v>6.9174285272857139</v>
      </c>
      <c r="S162" s="425">
        <v>159.75199889999999</v>
      </c>
      <c r="T162" s="425">
        <v>106.97614288285715</v>
      </c>
      <c r="U162" s="425">
        <v>30.680286678571431</v>
      </c>
      <c r="V162" s="425">
        <v>13.21958133142857</v>
      </c>
      <c r="W162" s="425">
        <v>1.8857142757142857</v>
      </c>
      <c r="X162" s="425">
        <v>213.59428187142859</v>
      </c>
      <c r="Y162" s="425">
        <v>97.949856347142855</v>
      </c>
    </row>
    <row r="163" spans="13:32">
      <c r="P163" s="424">
        <v>3</v>
      </c>
      <c r="Q163" s="425">
        <v>15.196428435714285</v>
      </c>
      <c r="R163" s="425">
        <v>11.330428599714283</v>
      </c>
      <c r="S163" s="425">
        <v>243.87700107142857</v>
      </c>
      <c r="T163" s="425">
        <v>137.04186028571428</v>
      </c>
      <c r="U163" s="425">
        <v>40.240000044285715</v>
      </c>
      <c r="V163" s="425">
        <v>16.855534282857143</v>
      </c>
      <c r="W163" s="425">
        <v>6.3075712748571418</v>
      </c>
      <c r="X163" s="425">
        <v>247.26214164285713</v>
      </c>
      <c r="Y163" s="425">
        <v>78.131857190000005</v>
      </c>
    </row>
    <row r="164" spans="13:32">
      <c r="O164" s="423">
        <v>4</v>
      </c>
      <c r="P164" s="424">
        <v>4</v>
      </c>
      <c r="Q164" s="425">
        <v>16.57199968714286</v>
      </c>
      <c r="R164" s="425">
        <v>12.821999958571428</v>
      </c>
      <c r="S164" s="425">
        <v>236.61043005714285</v>
      </c>
      <c r="T164" s="425">
        <v>121.29742760000001</v>
      </c>
      <c r="U164" s="425">
        <v>26.470714297142855</v>
      </c>
      <c r="V164" s="425">
        <v>22.011848449999999</v>
      </c>
      <c r="W164" s="425">
        <v>4.3669999327142861</v>
      </c>
      <c r="X164" s="425">
        <v>212.78856985714287</v>
      </c>
      <c r="Y164" s="425">
        <v>52.875</v>
      </c>
    </row>
    <row r="165" spans="13:32">
      <c r="P165" s="424">
        <v>5</v>
      </c>
      <c r="Q165" s="425">
        <v>25.675428661428576</v>
      </c>
      <c r="R165" s="425">
        <v>18.254856927142857</v>
      </c>
      <c r="S165" s="425">
        <v>392.82542635714287</v>
      </c>
      <c r="T165" s="425">
        <v>216.11300005714287</v>
      </c>
      <c r="U165" s="425">
        <v>48.707714625714289</v>
      </c>
      <c r="V165" s="425">
        <v>14.496191432857142</v>
      </c>
      <c r="W165" s="425">
        <v>2.6891428574285712</v>
      </c>
      <c r="X165" s="425">
        <v>410.15428595714286</v>
      </c>
      <c r="Y165" s="425">
        <v>99.128998899999985</v>
      </c>
    </row>
    <row r="166" spans="13:32">
      <c r="P166" s="424">
        <v>6</v>
      </c>
      <c r="Q166" s="425">
        <v>22.638571330479174</v>
      </c>
      <c r="R166" s="425">
        <v>17.332571574619813</v>
      </c>
      <c r="S166" s="425">
        <v>448.59157017299066</v>
      </c>
      <c r="T166" s="425">
        <v>221.35714285714261</v>
      </c>
      <c r="U166" s="425">
        <v>51.925000326974022</v>
      </c>
      <c r="V166" s="425">
        <v>17.659045491899729</v>
      </c>
      <c r="W166" s="425">
        <v>9.7964284079415354</v>
      </c>
      <c r="X166" s="425">
        <v>622.45499965122758</v>
      </c>
      <c r="Y166" s="425">
        <v>151.47385733468144</v>
      </c>
    </row>
    <row r="167" spans="13:32">
      <c r="P167" s="424">
        <v>7</v>
      </c>
      <c r="Q167" s="425">
        <v>24.818285805714286</v>
      </c>
      <c r="R167" s="425">
        <v>19.436000279999998</v>
      </c>
      <c r="S167" s="425">
        <v>374.25799560000002</v>
      </c>
      <c r="T167" s="425">
        <v>142.54771639999998</v>
      </c>
      <c r="U167" s="425">
        <v>37.997142247142854</v>
      </c>
      <c r="V167" s="425">
        <v>23.642735891428568</v>
      </c>
      <c r="W167" s="425">
        <v>10.810714449000001</v>
      </c>
      <c r="X167" s="425">
        <v>434.32357352857144</v>
      </c>
      <c r="Y167" s="425">
        <v>148.12728554285715</v>
      </c>
    </row>
    <row r="168" spans="13:32">
      <c r="O168" s="423">
        <v>8</v>
      </c>
      <c r="P168" s="424">
        <v>8</v>
      </c>
      <c r="Q168" s="425">
        <v>16.877285957336387</v>
      </c>
      <c r="R168" s="425">
        <v>13.084142684936484</v>
      </c>
      <c r="S168" s="425">
        <v>289.19357081821948</v>
      </c>
      <c r="T168" s="425">
        <v>162.01200212751087</v>
      </c>
      <c r="U168" s="425">
        <v>30.780285699026873</v>
      </c>
      <c r="V168" s="425">
        <v>23.681545802525072</v>
      </c>
      <c r="W168" s="425">
        <v>21.290571621486073</v>
      </c>
      <c r="X168" s="425">
        <v>403.40571376255542</v>
      </c>
      <c r="Y168" s="425">
        <v>143.28899928501644</v>
      </c>
    </row>
    <row r="169" spans="13:32">
      <c r="P169" s="424">
        <v>9</v>
      </c>
      <c r="Q169" s="425">
        <v>20.463000162857146</v>
      </c>
      <c r="R169" s="425">
        <v>16.131428717142857</v>
      </c>
      <c r="S169" s="425">
        <v>302.38613892857137</v>
      </c>
      <c r="T169" s="425">
        <v>174.72028894285717</v>
      </c>
      <c r="U169" s="425">
        <v>36.13400023285714</v>
      </c>
      <c r="V169" s="425">
        <v>23.625475747142854</v>
      </c>
      <c r="W169" s="425">
        <v>11.064000130142858</v>
      </c>
      <c r="X169" s="425">
        <v>388.35356794285718</v>
      </c>
      <c r="Y169" s="425">
        <v>84.357999531428575</v>
      </c>
    </row>
    <row r="170" spans="13:32">
      <c r="P170" s="424">
        <v>10</v>
      </c>
      <c r="Q170" s="425">
        <v>20.001714159999999</v>
      </c>
      <c r="R170" s="425">
        <v>16.133428572857145</v>
      </c>
      <c r="S170" s="425">
        <v>219.49971445714283</v>
      </c>
      <c r="T170" s="425">
        <v>118.91071428571429</v>
      </c>
      <c r="U170" s="425">
        <v>22.61842863857143</v>
      </c>
      <c r="V170" s="425">
        <v>23.72583552857143</v>
      </c>
      <c r="W170" s="425">
        <v>5.0324285712857142</v>
      </c>
      <c r="X170" s="425">
        <v>317.96785625714284</v>
      </c>
      <c r="Y170" s="425">
        <v>76.472572329999977</v>
      </c>
    </row>
    <row r="171" spans="13:32" s="730" customFormat="1">
      <c r="M171" s="423"/>
      <c r="N171" s="423"/>
      <c r="O171" s="423"/>
      <c r="P171" s="424">
        <v>11</v>
      </c>
      <c r="Q171" s="425">
        <v>20.464285714285715</v>
      </c>
      <c r="R171" s="425">
        <v>16.275285719999999</v>
      </c>
      <c r="S171" s="425">
        <v>210.39014761428572</v>
      </c>
      <c r="T171" s="425">
        <v>145.36899785714286</v>
      </c>
      <c r="U171" s="425">
        <v>39.343428748571434</v>
      </c>
      <c r="V171" s="425">
        <v>23.714347295714287</v>
      </c>
      <c r="W171" s="425">
        <v>12.165999821428571</v>
      </c>
      <c r="X171" s="425">
        <v>377.62500435714281</v>
      </c>
      <c r="Y171" s="425">
        <v>110.78628649857141</v>
      </c>
      <c r="Z171" s="413"/>
      <c r="AA171" s="298"/>
      <c r="AB171" s="298"/>
      <c r="AC171" s="298"/>
      <c r="AD171" s="298"/>
      <c r="AE171" s="286"/>
      <c r="AF171" s="286"/>
    </row>
    <row r="172" spans="13:32" s="730" customFormat="1">
      <c r="M172" s="423"/>
      <c r="N172" s="423"/>
      <c r="O172" s="423">
        <v>12</v>
      </c>
      <c r="P172" s="424">
        <v>12</v>
      </c>
      <c r="Q172" s="425">
        <v>23.032714026314846</v>
      </c>
      <c r="R172" s="425">
        <v>20.180714198521169</v>
      </c>
      <c r="S172" s="425">
        <v>335.19785417829189</v>
      </c>
      <c r="T172" s="425">
        <v>171.26185716901472</v>
      </c>
      <c r="U172" s="425">
        <v>46.286999838692772</v>
      </c>
      <c r="V172" s="425">
        <v>23.623331614903002</v>
      </c>
      <c r="W172" s="425">
        <v>11.119714055742502</v>
      </c>
      <c r="X172" s="425">
        <v>380.85929216657314</v>
      </c>
      <c r="Y172" s="425">
        <v>113.32999965122723</v>
      </c>
      <c r="Z172" s="413"/>
      <c r="AA172" s="298"/>
      <c r="AB172" s="298"/>
      <c r="AC172" s="298"/>
      <c r="AD172" s="298"/>
      <c r="AE172" s="286"/>
      <c r="AF172" s="286"/>
    </row>
    <row r="173" spans="13:32" s="730" customFormat="1">
      <c r="M173" s="423"/>
      <c r="N173" s="423"/>
      <c r="O173" s="423"/>
      <c r="P173" s="424">
        <v>13</v>
      </c>
      <c r="Q173" s="425">
        <v>27.558857236589642</v>
      </c>
      <c r="R173" s="425">
        <v>21.319143022809669</v>
      </c>
      <c r="S173" s="425">
        <v>569.31741768973188</v>
      </c>
      <c r="T173" s="425">
        <v>241.59529113769531</v>
      </c>
      <c r="U173" s="425">
        <v>63.414285387311629</v>
      </c>
      <c r="V173" s="425">
        <v>22.128154209681874</v>
      </c>
      <c r="W173" s="425">
        <v>6.0048571995326432</v>
      </c>
      <c r="X173" s="425">
        <v>332.15285818917374</v>
      </c>
      <c r="Y173" s="425">
        <v>97.158571515764294</v>
      </c>
      <c r="Z173" s="413"/>
      <c r="AA173" s="298"/>
      <c r="AB173" s="298"/>
      <c r="AC173" s="298"/>
      <c r="AD173" s="298"/>
      <c r="AE173" s="286"/>
      <c r="AF173" s="286"/>
    </row>
    <row r="174" spans="13:32" s="730" customFormat="1">
      <c r="M174" s="423"/>
      <c r="N174" s="423"/>
      <c r="O174" s="423"/>
      <c r="P174" s="424">
        <v>14</v>
      </c>
      <c r="Q174" s="425">
        <v>18.795857294285714</v>
      </c>
      <c r="R174" s="425">
        <v>18.168000220000003</v>
      </c>
      <c r="S174" s="425">
        <v>298.48543221428571</v>
      </c>
      <c r="T174" s="425">
        <v>156.28586031428571</v>
      </c>
      <c r="U174" s="425">
        <v>40.567142485714285</v>
      </c>
      <c r="V174" s="425">
        <v>21.36</v>
      </c>
      <c r="W174" s="425">
        <v>4.6619999238571435</v>
      </c>
      <c r="X174" s="425">
        <v>272.16142927142863</v>
      </c>
      <c r="Y174" s="425">
        <v>87.023999895714283</v>
      </c>
      <c r="Z174" s="413"/>
      <c r="AA174" s="298"/>
      <c r="AB174" s="298"/>
      <c r="AC174" s="298"/>
      <c r="AD174" s="298"/>
      <c r="AE174" s="286"/>
      <c r="AF174" s="286"/>
    </row>
    <row r="175" spans="13:32">
      <c r="P175" s="424">
        <v>15</v>
      </c>
      <c r="Q175" s="846">
        <v>16.380999974285714</v>
      </c>
      <c r="R175" s="846">
        <v>14.786285537142858</v>
      </c>
      <c r="S175" s="846">
        <v>196.30642698571427</v>
      </c>
      <c r="T175" s="846">
        <v>126.20242854857143</v>
      </c>
      <c r="U175" s="846">
        <v>27.609000341428576</v>
      </c>
      <c r="V175" s="846">
        <v>23.601429802857144</v>
      </c>
      <c r="W175" s="846">
        <v>2.5870000464285714</v>
      </c>
      <c r="X175" s="846">
        <v>174.17928642857143</v>
      </c>
      <c r="Y175" s="846">
        <v>56.692000798571428</v>
      </c>
    </row>
    <row r="176" spans="13:32">
      <c r="O176" s="423">
        <v>16</v>
      </c>
      <c r="P176" s="424">
        <v>16</v>
      </c>
      <c r="Q176" s="425">
        <v>15.142857142857142</v>
      </c>
      <c r="R176" s="425">
        <v>11.113285608857142</v>
      </c>
      <c r="S176" s="425">
        <v>144.25785718571427</v>
      </c>
      <c r="T176" s="425">
        <v>112.32742854857143</v>
      </c>
      <c r="U176" s="425">
        <v>23.319143022857144</v>
      </c>
      <c r="V176" s="425">
        <v>16.145714351428573</v>
      </c>
      <c r="W176" s="425">
        <v>1.9568571534285717</v>
      </c>
      <c r="X176" s="425">
        <v>124.01500048571428</v>
      </c>
      <c r="Y176" s="425">
        <v>41.578285762857142</v>
      </c>
    </row>
    <row r="177" spans="13:32" s="730" customFormat="1">
      <c r="M177" s="423"/>
      <c r="N177" s="423"/>
      <c r="O177" s="423"/>
      <c r="P177" s="424">
        <v>17</v>
      </c>
      <c r="Q177" s="425">
        <v>14.535142626081141</v>
      </c>
      <c r="R177" s="425">
        <v>7.95871441704886</v>
      </c>
      <c r="S177" s="425">
        <v>118.61742946079741</v>
      </c>
      <c r="T177" s="425">
        <v>86.636999947684131</v>
      </c>
      <c r="U177" s="425">
        <v>19.662570953369116</v>
      </c>
      <c r="V177" s="425">
        <v>14.007261548723459</v>
      </c>
      <c r="W177" s="425">
        <v>2.0897142546517471</v>
      </c>
      <c r="X177" s="425">
        <v>109.72071402413471</v>
      </c>
      <c r="Y177" s="425">
        <v>32.277857099260544</v>
      </c>
      <c r="Z177" s="413"/>
      <c r="AA177" s="298"/>
      <c r="AB177" s="298"/>
      <c r="AC177" s="298"/>
      <c r="AD177" s="298"/>
      <c r="AE177" s="286"/>
      <c r="AF177" s="286"/>
    </row>
    <row r="178" spans="13:32" s="730" customFormat="1">
      <c r="M178" s="423"/>
      <c r="N178" s="423"/>
      <c r="O178" s="423"/>
      <c r="P178" s="424">
        <v>18</v>
      </c>
      <c r="Q178" s="425">
        <v>15.919285638571427</v>
      </c>
      <c r="R178" s="425">
        <v>12.133857388142859</v>
      </c>
      <c r="S178" s="425">
        <v>119.46943012857146</v>
      </c>
      <c r="T178" s="425">
        <v>95.79771531714286</v>
      </c>
      <c r="U178" s="425">
        <v>21.329571314285715</v>
      </c>
      <c r="V178" s="425">
        <v>12.484048571428572</v>
      </c>
      <c r="W178" s="425">
        <v>2.074857081857143</v>
      </c>
      <c r="X178" s="425">
        <v>121.69785745714287</v>
      </c>
      <c r="Y178" s="425">
        <v>27.218570980000003</v>
      </c>
      <c r="Z178" s="413"/>
      <c r="AA178" s="298"/>
      <c r="AB178" s="298"/>
      <c r="AC178" s="298"/>
      <c r="AD178" s="298"/>
      <c r="AE178" s="286"/>
      <c r="AF178" s="286"/>
    </row>
    <row r="179" spans="13:32" s="730" customFormat="1">
      <c r="M179" s="423"/>
      <c r="N179" s="423"/>
      <c r="O179" s="423"/>
      <c r="P179" s="424">
        <v>19</v>
      </c>
      <c r="Q179" s="425">
        <v>16.148714472857144</v>
      </c>
      <c r="R179" s="425">
        <v>14.776714189999998</v>
      </c>
      <c r="S179" s="425">
        <v>179.62085941428572</v>
      </c>
      <c r="T179" s="425">
        <v>63.654857091428575</v>
      </c>
      <c r="U179" s="425">
        <v>18.961428234285709</v>
      </c>
      <c r="V179" s="425">
        <v>11.436902861999998</v>
      </c>
      <c r="W179" s="425">
        <v>1.6491428614285712</v>
      </c>
      <c r="X179" s="425">
        <v>98.23285565285714</v>
      </c>
      <c r="Y179" s="425">
        <v>23.996714454285712</v>
      </c>
      <c r="Z179" s="413"/>
      <c r="AA179" s="298"/>
      <c r="AB179" s="298"/>
      <c r="AC179" s="298"/>
      <c r="AD179" s="298"/>
      <c r="AE179" s="286"/>
      <c r="AF179" s="286"/>
    </row>
    <row r="180" spans="13:32" s="730" customFormat="1">
      <c r="M180" s="423"/>
      <c r="N180" s="423"/>
      <c r="O180" s="423">
        <v>20</v>
      </c>
      <c r="P180" s="424">
        <v>20</v>
      </c>
      <c r="Q180" s="425">
        <v>13.91285719</v>
      </c>
      <c r="R180" s="425">
        <v>10.484285559</v>
      </c>
      <c r="S180" s="425">
        <v>132.41042655714287</v>
      </c>
      <c r="T180" s="425">
        <v>63.017857142857146</v>
      </c>
      <c r="U180" s="425">
        <v>17.724285941428572</v>
      </c>
      <c r="V180" s="425">
        <v>12.01881</v>
      </c>
      <c r="W180" s="425">
        <v>1.6491428614285712</v>
      </c>
      <c r="X180" s="425">
        <v>74.486427307142861</v>
      </c>
      <c r="Y180" s="425">
        <v>27.218570980000003</v>
      </c>
      <c r="Z180" s="413"/>
      <c r="AA180" s="298"/>
      <c r="AB180" s="298"/>
      <c r="AC180" s="298"/>
      <c r="AD180" s="298"/>
      <c r="AE180" s="286"/>
      <c r="AF180" s="286"/>
    </row>
    <row r="181" spans="13:32" s="730" customFormat="1">
      <c r="M181" s="423"/>
      <c r="N181" s="423"/>
      <c r="O181" s="423"/>
      <c r="P181" s="424">
        <v>21</v>
      </c>
      <c r="Q181" s="425">
        <v>12.832571710859</v>
      </c>
      <c r="R181" s="425">
        <v>8.7072857448032899</v>
      </c>
      <c r="S181" s="425">
        <v>118.96285901750787</v>
      </c>
      <c r="T181" s="425">
        <v>55.553428649902308</v>
      </c>
      <c r="U181" s="425">
        <v>14.547714369637587</v>
      </c>
      <c r="V181" s="425">
        <v>11.963334356035457</v>
      </c>
      <c r="W181" s="425">
        <v>1.6175714560917398</v>
      </c>
      <c r="X181" s="425">
        <v>66.354285648890865</v>
      </c>
      <c r="Y181" s="425">
        <v>17.639571326119512</v>
      </c>
      <c r="Z181" s="413"/>
      <c r="AA181" s="298"/>
      <c r="AB181" s="298"/>
      <c r="AC181" s="298"/>
      <c r="AD181" s="298"/>
      <c r="AE181" s="286"/>
      <c r="AF181" s="286"/>
    </row>
    <row r="182" spans="13:32" s="730" customFormat="1">
      <c r="M182" s="423"/>
      <c r="N182" s="423"/>
      <c r="O182" s="423"/>
      <c r="P182" s="424">
        <v>22</v>
      </c>
      <c r="Q182" s="425">
        <v>11.589857237142857</v>
      </c>
      <c r="R182" s="425">
        <v>7.6087141037142851</v>
      </c>
      <c r="S182" s="425">
        <v>92.527713229999989</v>
      </c>
      <c r="T182" s="425">
        <v>48.85114288285714</v>
      </c>
      <c r="U182" s="425">
        <v>12.851142882857143</v>
      </c>
      <c r="V182" s="425">
        <v>11.972144264285713</v>
      </c>
      <c r="W182" s="425">
        <v>1.7258571555714286</v>
      </c>
      <c r="X182" s="425">
        <v>60.742857795714293</v>
      </c>
      <c r="Y182" s="425">
        <v>13.389714241428573</v>
      </c>
      <c r="Z182" s="413"/>
      <c r="AA182" s="298"/>
      <c r="AB182" s="298"/>
      <c r="AC182" s="298"/>
      <c r="AD182" s="298"/>
      <c r="AE182" s="286"/>
      <c r="AF182" s="286"/>
    </row>
    <row r="183" spans="13:32" s="730" customFormat="1">
      <c r="M183" s="423"/>
      <c r="N183" s="423"/>
      <c r="O183" s="423"/>
      <c r="P183" s="424">
        <v>23</v>
      </c>
      <c r="Q183" s="425">
        <v>10.866000038571428</v>
      </c>
      <c r="R183" s="425">
        <v>6.6898570742857144</v>
      </c>
      <c r="S183" s="425">
        <v>86.262142725714284</v>
      </c>
      <c r="T183" s="425">
        <v>49.02971431142857</v>
      </c>
      <c r="U183" s="425">
        <v>13.300571305714286</v>
      </c>
      <c r="V183" s="425">
        <v>12.060297148571431</v>
      </c>
      <c r="W183" s="425">
        <v>2.2755714314285713</v>
      </c>
      <c r="X183" s="425">
        <v>60.932143074285719</v>
      </c>
      <c r="Y183" s="425">
        <v>13.06000001</v>
      </c>
      <c r="Z183" s="413"/>
      <c r="AA183" s="298"/>
      <c r="AB183" s="298"/>
      <c r="AC183" s="298"/>
      <c r="AD183" s="298"/>
      <c r="AE183" s="286"/>
      <c r="AF183" s="286"/>
    </row>
    <row r="184" spans="13:32" s="730" customFormat="1">
      <c r="M184" s="423"/>
      <c r="N184" s="423"/>
      <c r="O184" s="423">
        <v>24</v>
      </c>
      <c r="P184" s="424">
        <v>24</v>
      </c>
      <c r="Q184" s="425">
        <v>10.893428530011814</v>
      </c>
      <c r="R184" s="425">
        <v>6.3937142235892095</v>
      </c>
      <c r="S184" s="425">
        <v>80.154999869210343</v>
      </c>
      <c r="T184" s="425">
        <v>39.363000052315797</v>
      </c>
      <c r="U184" s="425">
        <v>11.205857140677287</v>
      </c>
      <c r="V184" s="425">
        <v>12.025059972490542</v>
      </c>
      <c r="W184" s="425">
        <v>2.2755714314324473</v>
      </c>
      <c r="X184" s="425">
        <v>56.771429334367994</v>
      </c>
      <c r="Y184" s="425">
        <v>10.094714164733857</v>
      </c>
      <c r="Z184" s="413"/>
      <c r="AA184" s="298"/>
      <c r="AB184" s="298"/>
      <c r="AC184" s="298"/>
      <c r="AD184" s="298"/>
      <c r="AE184" s="286"/>
      <c r="AF184" s="286"/>
    </row>
    <row r="185" spans="13:32" s="730" customFormat="1">
      <c r="M185" s="423"/>
      <c r="N185" s="423"/>
      <c r="O185" s="423"/>
      <c r="P185" s="424">
        <v>25</v>
      </c>
      <c r="Q185" s="425">
        <v>9.7685713087142858</v>
      </c>
      <c r="R185" s="425">
        <v>5.4858571460000007</v>
      </c>
      <c r="S185" s="425">
        <v>71.438000270000003</v>
      </c>
      <c r="T185" s="425">
        <v>31.88514287142857</v>
      </c>
      <c r="U185" s="425">
        <v>9.1724285395714276</v>
      </c>
      <c r="V185" s="425">
        <v>11.867550168571428</v>
      </c>
      <c r="W185" s="425">
        <v>1.7577142885714285</v>
      </c>
      <c r="X185" s="425">
        <v>51.780714305714291</v>
      </c>
      <c r="Y185" s="425">
        <v>9.1595716474285691</v>
      </c>
      <c r="Z185" s="413"/>
      <c r="AA185" s="298"/>
      <c r="AB185" s="298"/>
      <c r="AC185" s="298"/>
      <c r="AD185" s="298"/>
      <c r="AE185" s="286"/>
      <c r="AF185" s="286"/>
    </row>
    <row r="186" spans="13:32" s="730" customFormat="1">
      <c r="M186" s="423"/>
      <c r="N186" s="423"/>
      <c r="O186" s="423"/>
      <c r="P186" s="424">
        <v>26</v>
      </c>
      <c r="Q186" s="425">
        <v>9.3011428291428579</v>
      </c>
      <c r="R186" s="425">
        <v>5.6422856875714285</v>
      </c>
      <c r="S186" s="425">
        <v>70.798141479999998</v>
      </c>
      <c r="T186" s="425">
        <v>29.80342864857143</v>
      </c>
      <c r="U186" s="425">
        <v>8.6642858641428564</v>
      </c>
      <c r="V186" s="425">
        <v>11.961507115714285</v>
      </c>
      <c r="W186" s="425">
        <v>1.7387143204285713</v>
      </c>
      <c r="X186" s="425">
        <v>47.265713828571435</v>
      </c>
      <c r="Y186" s="425">
        <v>8.8348572594285706</v>
      </c>
      <c r="Z186" s="413"/>
      <c r="AA186" s="298"/>
      <c r="AB186" s="298"/>
      <c r="AC186" s="298"/>
      <c r="AD186" s="298"/>
      <c r="AE186" s="286"/>
      <c r="AF186" s="286"/>
    </row>
    <row r="187" spans="13:32" s="730" customFormat="1">
      <c r="M187" s="423"/>
      <c r="N187" s="423"/>
      <c r="O187" s="423"/>
      <c r="P187" s="424">
        <v>27</v>
      </c>
      <c r="Q187" s="425">
        <v>9.0898572376796078</v>
      </c>
      <c r="R187" s="425">
        <v>4.8411428587777223</v>
      </c>
      <c r="S187" s="425">
        <v>72.323284694126613</v>
      </c>
      <c r="T187" s="425">
        <v>28.875142778669062</v>
      </c>
      <c r="U187" s="425">
        <v>8.3150001253400507</v>
      </c>
      <c r="V187" s="425">
        <v>12.125935554504371</v>
      </c>
      <c r="W187" s="425">
        <v>2.0545714242117699</v>
      </c>
      <c r="X187" s="425">
        <v>44.601428440638877</v>
      </c>
      <c r="Y187" s="425">
        <v>8.4665715353829452</v>
      </c>
      <c r="Z187" s="413"/>
      <c r="AA187" s="298"/>
      <c r="AB187" s="298"/>
      <c r="AC187" s="298"/>
      <c r="AD187" s="298"/>
      <c r="AE187" s="286"/>
      <c r="AF187" s="286"/>
    </row>
    <row r="188" spans="13:32" s="730" customFormat="1">
      <c r="M188" s="423"/>
      <c r="N188" s="423"/>
      <c r="O188" s="423"/>
      <c r="P188" s="424">
        <v>28</v>
      </c>
      <c r="Q188" s="425">
        <v>8.3315715788571421</v>
      </c>
      <c r="R188" s="425">
        <v>4.0902857780000001</v>
      </c>
      <c r="S188" s="425">
        <v>70.352427891428562</v>
      </c>
      <c r="T188" s="425">
        <v>27.071428571428573</v>
      </c>
      <c r="U188" s="425">
        <v>7.9792855807142846</v>
      </c>
      <c r="V188" s="425">
        <v>12.036131450000001</v>
      </c>
      <c r="W188" s="425">
        <v>1.862857103571429</v>
      </c>
      <c r="X188" s="425">
        <v>42.742857252857149</v>
      </c>
      <c r="Y188" s="425">
        <v>7.6952857290000001</v>
      </c>
      <c r="Z188" s="413"/>
      <c r="AA188" s="298"/>
      <c r="AB188" s="298"/>
      <c r="AC188" s="298"/>
      <c r="AD188" s="298"/>
      <c r="AE188" s="286"/>
      <c r="AF188" s="286"/>
    </row>
    <row r="189" spans="13:32" s="730" customFormat="1">
      <c r="M189" s="423"/>
      <c r="N189" s="423"/>
      <c r="O189" s="423"/>
      <c r="P189" s="424">
        <v>29</v>
      </c>
      <c r="Q189" s="425">
        <v>8.7399999755714273</v>
      </c>
      <c r="R189" s="425">
        <v>3.3690000857142857</v>
      </c>
      <c r="S189" s="425">
        <v>69.363000051428585</v>
      </c>
      <c r="T189" s="425">
        <v>26.369142805714286</v>
      </c>
      <c r="U189" s="425">
        <v>7.2952857698571441</v>
      </c>
      <c r="V189" s="425">
        <v>12.01250158142857</v>
      </c>
      <c r="W189" s="425">
        <v>2.1428571427142855</v>
      </c>
      <c r="X189" s="425">
        <v>40.262857164285712</v>
      </c>
      <c r="Y189" s="425">
        <v>7.1297142847142867</v>
      </c>
      <c r="Z189" s="413"/>
      <c r="AA189" s="298"/>
      <c r="AB189" s="298"/>
      <c r="AC189" s="298"/>
      <c r="AD189" s="298"/>
      <c r="AE189" s="286"/>
      <c r="AF189" s="286"/>
    </row>
    <row r="190" spans="13:32" s="730" customFormat="1">
      <c r="M190" s="423"/>
      <c r="N190" s="423"/>
      <c r="O190" s="423">
        <v>30</v>
      </c>
      <c r="P190" s="424">
        <v>30</v>
      </c>
      <c r="Q190" s="425">
        <v>8.2612857819999999</v>
      </c>
      <c r="R190" s="425">
        <v>3.9334286622857135</v>
      </c>
      <c r="S190" s="425">
        <v>68.101856775714282</v>
      </c>
      <c r="T190" s="425">
        <v>26.369142805714286</v>
      </c>
      <c r="U190" s="425">
        <v>7.5452858379999999</v>
      </c>
      <c r="V190" s="425">
        <v>12.065415654285715</v>
      </c>
      <c r="W190" s="425">
        <v>2.0148571899999999</v>
      </c>
      <c r="X190" s="425">
        <v>39.827141895714291</v>
      </c>
      <c r="Y190" s="425">
        <v>8.1214285577142853</v>
      </c>
      <c r="Z190" s="413"/>
      <c r="AA190" s="298"/>
      <c r="AB190" s="298"/>
      <c r="AC190" s="298"/>
      <c r="AD190" s="298"/>
      <c r="AE190" s="286"/>
      <c r="AF190" s="286"/>
    </row>
    <row r="191" spans="13:32">
      <c r="P191" s="424"/>
      <c r="Q191" s="425"/>
      <c r="R191" s="425"/>
      <c r="S191" s="425"/>
      <c r="T191" s="425"/>
      <c r="U191" s="425"/>
      <c r="V191" s="425"/>
      <c r="W191" s="425"/>
      <c r="X191" s="425"/>
      <c r="Y191" s="425"/>
    </row>
    <row r="192" spans="13:32">
      <c r="P192" s="424"/>
      <c r="Q192" s="425"/>
      <c r="R192" s="425"/>
      <c r="S192" s="425"/>
      <c r="T192" s="425"/>
      <c r="U192" s="425"/>
      <c r="V192" s="425"/>
      <c r="W192" s="425"/>
      <c r="X192" s="425"/>
      <c r="Y192" s="425"/>
    </row>
    <row r="193" spans="16:25">
      <c r="P193" s="424"/>
      <c r="Q193" s="425"/>
      <c r="R193" s="425"/>
      <c r="S193" s="425"/>
      <c r="T193" s="425"/>
      <c r="U193" s="425"/>
      <c r="V193" s="425"/>
      <c r="W193" s="425"/>
      <c r="X193" s="425"/>
      <c r="Y193" s="425"/>
    </row>
    <row r="194" spans="16:25">
      <c r="P194" s="424"/>
      <c r="Q194" s="425"/>
      <c r="R194" s="425"/>
      <c r="S194" s="425"/>
      <c r="T194" s="425"/>
      <c r="U194" s="425"/>
      <c r="V194" s="425"/>
      <c r="W194" s="425"/>
      <c r="X194" s="425"/>
      <c r="Y194" s="425"/>
    </row>
    <row r="195" spans="16:25">
      <c r="P195" s="424"/>
      <c r="Q195" s="425"/>
      <c r="R195" s="425"/>
      <c r="S195" s="425"/>
      <c r="T195" s="425"/>
      <c r="U195" s="425"/>
      <c r="V195" s="425"/>
      <c r="W195" s="425"/>
      <c r="X195" s="425"/>
      <c r="Y195" s="425"/>
    </row>
    <row r="196" spans="16:25">
      <c r="Q196" s="767" t="s">
        <v>266</v>
      </c>
      <c r="R196" s="767" t="s">
        <v>267</v>
      </c>
      <c r="S196" s="767" t="s">
        <v>268</v>
      </c>
      <c r="T196" s="767" t="s">
        <v>269</v>
      </c>
      <c r="U196" s="767" t="s">
        <v>270</v>
      </c>
      <c r="V196" s="767" t="s">
        <v>271</v>
      </c>
      <c r="W196" s="767" t="s">
        <v>272</v>
      </c>
      <c r="X196" s="767" t="s">
        <v>273</v>
      </c>
      <c r="Y196" s="767" t="s">
        <v>274</v>
      </c>
    </row>
    <row r="199" spans="16:25">
      <c r="P199" s="424"/>
      <c r="Q199" s="425"/>
      <c r="R199" s="425"/>
      <c r="S199" s="425"/>
      <c r="T199" s="425"/>
      <c r="U199" s="425"/>
      <c r="V199" s="425"/>
      <c r="W199" s="425"/>
      <c r="X199" s="425"/>
      <c r="Y199" s="425"/>
    </row>
    <row r="200" spans="16:25">
      <c r="P200" s="424"/>
      <c r="Q200" s="425"/>
      <c r="R200" s="425"/>
      <c r="S200" s="425"/>
      <c r="T200" s="425"/>
      <c r="U200" s="425"/>
      <c r="V200" s="425"/>
      <c r="W200" s="425"/>
      <c r="X200" s="425"/>
      <c r="Y200" s="425"/>
    </row>
    <row r="201" spans="16:25">
      <c r="P201" s="424"/>
      <c r="Q201" s="425"/>
      <c r="R201" s="425"/>
      <c r="S201" s="425"/>
      <c r="T201" s="425"/>
      <c r="U201" s="425"/>
      <c r="V201" s="425"/>
      <c r="W201" s="425"/>
      <c r="X201" s="425"/>
      <c r="Y201" s="425"/>
    </row>
    <row r="202" spans="16:25">
      <c r="P202" s="424"/>
      <c r="Q202" s="425"/>
      <c r="R202" s="425"/>
      <c r="S202" s="425"/>
      <c r="T202" s="425"/>
      <c r="U202" s="425"/>
      <c r="V202" s="425"/>
      <c r="W202" s="425"/>
      <c r="X202" s="425"/>
      <c r="Y202" s="425"/>
    </row>
    <row r="203" spans="16:25">
      <c r="P203" s="424"/>
      <c r="Q203" s="425"/>
      <c r="R203" s="425"/>
      <c r="S203" s="732"/>
      <c r="T203" s="425"/>
      <c r="U203" s="425"/>
      <c r="V203" s="425"/>
      <c r="W203" s="425"/>
      <c r="X203" s="425"/>
      <c r="Y203" s="425"/>
    </row>
    <row r="204" spans="16:25">
      <c r="P204" s="424"/>
      <c r="Q204" s="425"/>
      <c r="R204" s="425"/>
      <c r="S204" s="732"/>
      <c r="T204" s="425"/>
      <c r="U204" s="425"/>
      <c r="V204" s="425"/>
      <c r="W204" s="425"/>
      <c r="X204" s="425"/>
      <c r="Y204" s="425"/>
    </row>
    <row r="205" spans="16:25">
      <c r="P205" s="424"/>
      <c r="Q205" s="425"/>
      <c r="R205" s="425"/>
      <c r="S205" s="732"/>
      <c r="T205" s="425"/>
      <c r="U205" s="425"/>
      <c r="V205" s="425"/>
      <c r="W205" s="425"/>
      <c r="X205" s="425"/>
      <c r="Y205" s="425"/>
    </row>
    <row r="206" spans="16:25">
      <c r="P206" s="424"/>
      <c r="Q206" s="425"/>
      <c r="R206" s="425"/>
      <c r="S206" s="732"/>
      <c r="T206" s="425"/>
      <c r="U206" s="425"/>
      <c r="V206" s="425"/>
      <c r="W206" s="425"/>
      <c r="X206" s="425"/>
      <c r="Y206" s="425"/>
    </row>
    <row r="207" spans="16:25">
      <c r="P207" s="424"/>
      <c r="Q207" s="425"/>
      <c r="R207" s="425"/>
      <c r="S207" s="732"/>
      <c r="T207" s="425"/>
      <c r="U207" s="425"/>
      <c r="V207" s="425"/>
      <c r="W207" s="425"/>
      <c r="X207" s="425"/>
      <c r="Y207" s="425"/>
    </row>
    <row r="208" spans="16:25">
      <c r="P208" s="424"/>
      <c r="Q208" s="425"/>
      <c r="R208" s="425"/>
      <c r="S208" s="425"/>
      <c r="T208" s="425"/>
      <c r="U208" s="425"/>
      <c r="V208" s="425"/>
      <c r="W208" s="425"/>
      <c r="X208" s="425"/>
      <c r="Y208" s="425"/>
    </row>
    <row r="209" spans="16:25">
      <c r="P209" s="424"/>
      <c r="Q209" s="425"/>
      <c r="R209" s="425"/>
      <c r="S209" s="425"/>
      <c r="T209" s="425"/>
      <c r="U209" s="425"/>
      <c r="V209" s="425"/>
      <c r="W209" s="425"/>
      <c r="X209" s="425"/>
      <c r="Y209" s="425"/>
    </row>
    <row r="210" spans="16:25">
      <c r="P210" s="424"/>
      <c r="Q210" s="425"/>
      <c r="R210" s="425"/>
      <c r="S210" s="425"/>
      <c r="T210" s="425"/>
      <c r="U210" s="425"/>
      <c r="V210" s="425"/>
      <c r="W210" s="425"/>
      <c r="X210" s="425"/>
      <c r="Y210" s="425"/>
    </row>
    <row r="211" spans="16:25">
      <c r="P211" s="424"/>
      <c r="Q211" s="425"/>
      <c r="R211" s="425"/>
      <c r="S211" s="425"/>
      <c r="T211" s="425"/>
      <c r="U211" s="425"/>
      <c r="V211" s="425"/>
      <c r="W211" s="425"/>
      <c r="X211" s="425"/>
      <c r="Y211" s="425"/>
    </row>
    <row r="212" spans="16:25">
      <c r="P212" s="424"/>
      <c r="Q212" s="425"/>
      <c r="R212" s="425"/>
      <c r="S212" s="425"/>
      <c r="T212" s="425"/>
      <c r="U212" s="425"/>
      <c r="V212" s="425"/>
      <c r="W212" s="425"/>
      <c r="X212" s="425"/>
      <c r="Y212" s="425"/>
    </row>
    <row r="213" spans="16:25">
      <c r="P213" s="424"/>
      <c r="Q213" s="425"/>
      <c r="R213" s="425"/>
      <c r="S213" s="425"/>
      <c r="T213" s="425"/>
      <c r="U213" s="425"/>
      <c r="V213" s="425"/>
      <c r="W213" s="425"/>
      <c r="X213" s="425"/>
      <c r="Y213" s="425"/>
    </row>
    <row r="214" spans="16:25">
      <c r="P214" s="424"/>
      <c r="Q214" s="425"/>
      <c r="R214" s="425"/>
      <c r="S214" s="425"/>
      <c r="T214" s="425"/>
      <c r="U214" s="425"/>
      <c r="V214" s="425"/>
      <c r="W214" s="425"/>
      <c r="X214" s="425"/>
      <c r="Y214" s="425"/>
    </row>
    <row r="215" spans="16:25">
      <c r="P215" s="424"/>
      <c r="Q215" s="425"/>
      <c r="R215" s="425"/>
      <c r="S215" s="425"/>
      <c r="T215" s="425"/>
      <c r="U215" s="425"/>
      <c r="V215" s="425"/>
      <c r="W215" s="425"/>
      <c r="X215" s="425"/>
      <c r="Y215" s="425"/>
    </row>
    <row r="216" spans="16:25">
      <c r="P216" s="424"/>
      <c r="Q216" s="425"/>
      <c r="R216" s="425"/>
      <c r="S216" s="425"/>
      <c r="T216" s="425"/>
      <c r="U216" s="425"/>
      <c r="V216" s="425"/>
      <c r="W216" s="425"/>
      <c r="X216" s="425"/>
      <c r="Y216" s="425"/>
    </row>
    <row r="217" spans="16:25">
      <c r="P217" s="424"/>
      <c r="Q217" s="425"/>
      <c r="R217" s="425"/>
      <c r="S217" s="425"/>
      <c r="T217" s="425"/>
      <c r="U217" s="425"/>
      <c r="V217" s="425"/>
      <c r="W217" s="425"/>
      <c r="X217" s="425"/>
      <c r="Y217" s="425"/>
    </row>
    <row r="218" spans="16:25">
      <c r="P218" s="424"/>
      <c r="Q218" s="425"/>
      <c r="R218" s="425"/>
      <c r="S218" s="425"/>
      <c r="T218" s="425"/>
      <c r="U218" s="425"/>
      <c r="V218" s="425"/>
      <c r="W218" s="425"/>
      <c r="X218" s="425"/>
      <c r="Y218" s="425"/>
    </row>
    <row r="219" spans="16:25">
      <c r="P219" s="424"/>
      <c r="Q219" s="425"/>
      <c r="R219" s="425"/>
      <c r="S219" s="425"/>
      <c r="T219" s="425"/>
      <c r="U219" s="425"/>
      <c r="V219" s="425"/>
      <c r="W219" s="425"/>
      <c r="X219" s="425"/>
      <c r="Y219" s="425"/>
    </row>
    <row r="220" spans="16:25">
      <c r="P220" s="424"/>
      <c r="Q220" s="425"/>
      <c r="R220" s="425"/>
      <c r="S220" s="425"/>
      <c r="T220" s="425"/>
      <c r="U220" s="425"/>
      <c r="V220" s="425"/>
      <c r="W220" s="425"/>
      <c r="X220" s="425"/>
      <c r="Y220" s="425"/>
    </row>
    <row r="221" spans="16:25">
      <c r="P221" s="424"/>
      <c r="Q221" s="425"/>
      <c r="R221" s="425"/>
      <c r="S221" s="425"/>
      <c r="T221" s="425"/>
      <c r="U221" s="425"/>
      <c r="V221" s="425"/>
      <c r="W221" s="425"/>
      <c r="X221" s="425"/>
      <c r="Y221" s="425"/>
    </row>
    <row r="222" spans="16:25">
      <c r="P222" s="424"/>
      <c r="Q222" s="425"/>
      <c r="R222" s="425"/>
      <c r="S222" s="425"/>
      <c r="T222" s="425"/>
      <c r="U222" s="425"/>
      <c r="V222" s="425"/>
      <c r="W222" s="425"/>
      <c r="X222" s="425"/>
      <c r="Y222" s="425"/>
    </row>
    <row r="223" spans="16:25">
      <c r="P223" s="424"/>
      <c r="Q223" s="425"/>
      <c r="R223" s="425"/>
      <c r="S223" s="425"/>
      <c r="T223" s="425"/>
      <c r="U223" s="425"/>
      <c r="V223" s="425"/>
      <c r="W223" s="425"/>
      <c r="X223" s="425"/>
      <c r="Y223" s="425"/>
    </row>
    <row r="224" spans="16:25">
      <c r="P224" s="424"/>
      <c r="Q224" s="425"/>
      <c r="R224" s="425"/>
      <c r="S224" s="425"/>
      <c r="T224" s="425"/>
      <c r="U224" s="425"/>
      <c r="V224" s="425"/>
      <c r="W224" s="425"/>
      <c r="X224" s="425"/>
      <c r="Y224" s="425"/>
    </row>
    <row r="225" spans="16:25">
      <c r="P225" s="424"/>
      <c r="Q225" s="425"/>
      <c r="R225" s="425"/>
      <c r="S225" s="425"/>
      <c r="T225" s="425"/>
      <c r="U225" s="425"/>
      <c r="V225" s="425"/>
      <c r="W225" s="425"/>
      <c r="X225" s="425"/>
      <c r="Y225" s="425"/>
    </row>
    <row r="226" spans="16:25">
      <c r="P226" s="424"/>
      <c r="Q226" s="425"/>
      <c r="R226" s="425"/>
      <c r="S226" s="425"/>
      <c r="T226" s="425"/>
      <c r="U226" s="425"/>
      <c r="V226" s="425"/>
      <c r="W226" s="425"/>
      <c r="X226" s="425"/>
      <c r="Y226" s="425"/>
    </row>
    <row r="227" spans="16:25">
      <c r="P227" s="424"/>
      <c r="Q227" s="425"/>
      <c r="R227" s="425"/>
      <c r="S227" s="425"/>
      <c r="T227" s="425"/>
      <c r="U227" s="425"/>
      <c r="V227" s="425"/>
      <c r="W227" s="425"/>
      <c r="X227" s="425"/>
      <c r="Y227" s="425"/>
    </row>
    <row r="228" spans="16:25">
      <c r="P228" s="424"/>
      <c r="Q228" s="425"/>
      <c r="R228" s="425"/>
      <c r="S228" s="425"/>
      <c r="T228" s="425"/>
      <c r="U228" s="425"/>
      <c r="V228" s="425"/>
      <c r="W228" s="425"/>
      <c r="X228" s="425"/>
      <c r="Y228" s="425"/>
    </row>
    <row r="229" spans="16:25">
      <c r="P229" s="424"/>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60" workbookViewId="0">
      <selection activeCell="N53" sqref="N53"/>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630" customWidth="1"/>
    <col min="12" max="12" width="9.28515625" style="630"/>
    <col min="13" max="13" width="20.42578125" style="672" customWidth="1"/>
    <col min="14" max="21" width="9.28515625" style="768"/>
  </cols>
  <sheetData>
    <row r="1" spans="1:17" ht="11.25" customHeight="1"/>
    <row r="2" spans="1:17" ht="11.25" customHeight="1">
      <c r="A2" s="946" t="s">
        <v>456</v>
      </c>
      <c r="B2" s="946"/>
      <c r="C2" s="946"/>
      <c r="D2" s="946"/>
      <c r="E2" s="946"/>
      <c r="F2" s="946"/>
      <c r="G2" s="946"/>
      <c r="H2" s="946"/>
      <c r="I2" s="946"/>
      <c r="J2" s="946"/>
      <c r="K2" s="946"/>
    </row>
    <row r="3" spans="1:17" ht="11.25" customHeight="1">
      <c r="A3" s="18"/>
      <c r="B3" s="18"/>
      <c r="C3" s="18"/>
      <c r="D3" s="18"/>
      <c r="E3" s="18"/>
      <c r="F3" s="18"/>
      <c r="G3" s="18"/>
      <c r="H3" s="18"/>
      <c r="I3" s="18"/>
      <c r="J3" s="655"/>
      <c r="K3" s="655"/>
      <c r="L3" s="329"/>
    </row>
    <row r="4" spans="1:17" ht="11.25" customHeight="1">
      <c r="A4" s="930" t="s">
        <v>387</v>
      </c>
      <c r="B4" s="930"/>
      <c r="C4" s="930"/>
      <c r="D4" s="930"/>
      <c r="E4" s="930"/>
      <c r="F4" s="930"/>
      <c r="G4" s="930"/>
      <c r="H4" s="930"/>
      <c r="I4" s="183"/>
      <c r="J4" s="656"/>
      <c r="L4" s="329"/>
    </row>
    <row r="5" spans="1:17" ht="7.5" customHeight="1">
      <c r="A5" s="184"/>
      <c r="B5" s="184"/>
      <c r="C5" s="184"/>
      <c r="D5" s="184"/>
      <c r="E5" s="184"/>
      <c r="F5" s="184"/>
      <c r="G5" s="184"/>
      <c r="H5" s="184"/>
      <c r="I5" s="184"/>
      <c r="J5" s="657"/>
      <c r="L5" s="658"/>
    </row>
    <row r="6" spans="1:17" ht="11.25" customHeight="1">
      <c r="A6" s="184"/>
      <c r="B6" s="188" t="s">
        <v>388</v>
      </c>
      <c r="C6" s="184"/>
      <c r="D6" s="184"/>
      <c r="E6" s="184"/>
      <c r="F6" s="184"/>
      <c r="G6" s="184"/>
      <c r="H6" s="184"/>
      <c r="I6" s="184"/>
      <c r="J6" s="657"/>
      <c r="L6" s="659"/>
    </row>
    <row r="7" spans="1:17" ht="7.5" customHeight="1">
      <c r="A7" s="184"/>
      <c r="B7" s="185"/>
      <c r="C7" s="184"/>
      <c r="D7" s="184"/>
      <c r="E7" s="184"/>
      <c r="F7" s="184"/>
      <c r="G7" s="184"/>
      <c r="H7" s="184"/>
      <c r="I7" s="184"/>
      <c r="J7" s="657"/>
      <c r="L7" s="660"/>
    </row>
    <row r="8" spans="1:17" ht="21" customHeight="1">
      <c r="A8" s="184"/>
      <c r="B8" s="490" t="s">
        <v>166</v>
      </c>
      <c r="C8" s="491" t="s">
        <v>167</v>
      </c>
      <c r="D8" s="491" t="s">
        <v>168</v>
      </c>
      <c r="E8" s="491" t="s">
        <v>170</v>
      </c>
      <c r="F8" s="491" t="s">
        <v>169</v>
      </c>
      <c r="G8" s="492" t="s">
        <v>171</v>
      </c>
      <c r="H8" s="180"/>
      <c r="I8" s="180"/>
      <c r="J8" s="661"/>
      <c r="L8" s="662"/>
      <c r="M8" s="673" t="s">
        <v>167</v>
      </c>
      <c r="N8" s="769" t="str">
        <f>M8&amp;"
 ("&amp;ROUND(HLOOKUP(M8,$C$8:$G$9,2,0),2)&amp;" USD/MWh)"</f>
        <v>PIURA OESTE 220
 (9,84 USD/MWh)</v>
      </c>
      <c r="O8" s="286"/>
      <c r="P8" s="286"/>
      <c r="Q8" s="286"/>
    </row>
    <row r="9" spans="1:17" ht="18" customHeight="1">
      <c r="A9" s="184"/>
      <c r="B9" s="493" t="s">
        <v>172</v>
      </c>
      <c r="C9" s="270">
        <v>9.8358921657571745</v>
      </c>
      <c r="D9" s="270">
        <v>9.8083182682581</v>
      </c>
      <c r="E9" s="270">
        <v>9.6537095549700513</v>
      </c>
      <c r="F9" s="270">
        <v>9.5913849806671188</v>
      </c>
      <c r="G9" s="270">
        <v>9.740226160088282</v>
      </c>
      <c r="H9" s="180"/>
      <c r="I9" s="180"/>
      <c r="J9" s="661"/>
      <c r="K9" s="661"/>
      <c r="L9" s="662"/>
      <c r="M9" s="673" t="s">
        <v>168</v>
      </c>
      <c r="N9" s="769" t="str">
        <f>M9&amp;"
("&amp;ROUND(HLOOKUP(M9,$C$8:$G$9,2,0),2)&amp;" USD/MWh)"</f>
        <v>CHICLAYO 220
(9,81 USD/MWh)</v>
      </c>
      <c r="O9" s="286"/>
      <c r="P9" s="286"/>
      <c r="Q9" s="286"/>
    </row>
    <row r="10" spans="1:17" ht="14.25" customHeight="1">
      <c r="A10" s="184"/>
      <c r="B10" s="970" t="str">
        <f>"Cuadro N°11: Valor de los costos marginales medios registrados en las principales barras del área norte durante el mes de "&amp;'1. Resumen'!Q4</f>
        <v>Cuadro N°11: Valor de los costos marginales medios registrados en las principales barras del área norte durante el mes de julio</v>
      </c>
      <c r="C10" s="970"/>
      <c r="D10" s="970"/>
      <c r="E10" s="970"/>
      <c r="F10" s="970"/>
      <c r="G10" s="970"/>
      <c r="H10" s="970"/>
      <c r="I10" s="970"/>
      <c r="J10" s="661"/>
      <c r="K10" s="661"/>
      <c r="L10" s="662"/>
      <c r="M10" s="673" t="s">
        <v>170</v>
      </c>
      <c r="N10" s="769" t="str">
        <f>M10&amp;"
("&amp;ROUND(HLOOKUP(M10,$C$8:$G$9,2,0),2)&amp;" USD/MWh)"</f>
        <v>TRUJILLO 220
(9,65 USD/MWh)</v>
      </c>
      <c r="O10" s="286"/>
      <c r="P10" s="286"/>
      <c r="Q10" s="286"/>
    </row>
    <row r="11" spans="1:17" ht="11.25" customHeight="1">
      <c r="A11" s="184"/>
      <c r="B11" s="191"/>
      <c r="C11" s="180"/>
      <c r="D11" s="180"/>
      <c r="E11" s="180"/>
      <c r="F11" s="180"/>
      <c r="G11" s="180"/>
      <c r="H11" s="180"/>
      <c r="I11" s="180"/>
      <c r="J11" s="661"/>
      <c r="K11" s="661"/>
      <c r="L11" s="662"/>
      <c r="M11" s="673" t="s">
        <v>169</v>
      </c>
      <c r="N11" s="769" t="str">
        <f>M11&amp;"
("&amp;ROUND(HLOOKUP(M11,$C$8:$G$9,2,0),2)&amp;" USD/MWh)"</f>
        <v>CHIMBOTE1 138
(9,59 USD/MWh)</v>
      </c>
      <c r="O11" s="286"/>
      <c r="P11" s="286"/>
      <c r="Q11" s="286"/>
    </row>
    <row r="12" spans="1:17" ht="11.25" customHeight="1">
      <c r="A12" s="184"/>
      <c r="B12" s="180"/>
      <c r="C12" s="180"/>
      <c r="D12" s="180"/>
      <c r="E12" s="180"/>
      <c r="F12" s="180"/>
      <c r="G12" s="180"/>
      <c r="H12" s="180"/>
      <c r="I12" s="180"/>
      <c r="J12" s="661"/>
      <c r="K12" s="661"/>
      <c r="L12" s="663"/>
      <c r="M12" s="673" t="s">
        <v>171</v>
      </c>
      <c r="N12" s="769" t="str">
        <f>M12&amp;"
("&amp;ROUND(HLOOKUP(M12,$C$8:$G$9,2,0),2)&amp;" USD/MWh)"</f>
        <v>CAJAMARCA 220
(9,74 USD/MWh)</v>
      </c>
      <c r="O12" s="286"/>
      <c r="P12" s="286"/>
      <c r="Q12" s="286"/>
    </row>
    <row r="13" spans="1:17" ht="11.25" customHeight="1">
      <c r="A13" s="184"/>
      <c r="B13" s="180"/>
      <c r="C13" s="180"/>
      <c r="D13" s="180"/>
      <c r="E13" s="180"/>
      <c r="F13" s="180"/>
      <c r="G13" s="180"/>
      <c r="H13" s="180"/>
      <c r="I13" s="180"/>
      <c r="J13" s="661"/>
      <c r="K13" s="661"/>
      <c r="L13" s="662"/>
      <c r="M13" s="673"/>
      <c r="N13" s="769"/>
      <c r="O13" s="673"/>
      <c r="P13" s="286"/>
      <c r="Q13" s="286"/>
    </row>
    <row r="14" spans="1:17" ht="11.25" customHeight="1">
      <c r="A14" s="184"/>
      <c r="B14" s="180"/>
      <c r="C14" s="180"/>
      <c r="D14" s="180"/>
      <c r="E14" s="180"/>
      <c r="F14" s="180"/>
      <c r="G14" s="180"/>
      <c r="H14" s="180"/>
      <c r="I14" s="180"/>
      <c r="J14" s="661"/>
      <c r="K14" s="661"/>
      <c r="L14" s="662"/>
      <c r="M14" s="673" t="s">
        <v>447</v>
      </c>
      <c r="N14" s="769" t="str">
        <f>M14&amp;"
("&amp;ROUND(HLOOKUP(M14,$C$26:$I$27,2,0),2)&amp;" USD/MWh)"</f>
        <v>CHAVARRIA 220
(9,25 USD/MWh)</v>
      </c>
      <c r="O14" s="286"/>
      <c r="P14" s="286"/>
      <c r="Q14" s="286"/>
    </row>
    <row r="15" spans="1:17" ht="11.25" customHeight="1">
      <c r="A15" s="184"/>
      <c r="B15" s="180"/>
      <c r="C15" s="180"/>
      <c r="D15" s="180"/>
      <c r="E15" s="180"/>
      <c r="F15" s="180"/>
      <c r="G15" s="180"/>
      <c r="H15" s="180"/>
      <c r="I15" s="180"/>
      <c r="J15" s="661"/>
      <c r="K15" s="661"/>
      <c r="L15" s="662"/>
      <c r="M15" s="673" t="s">
        <v>175</v>
      </c>
      <c r="N15" s="769" t="str">
        <f t="shared" ref="N15:N20" si="0">M15&amp;"
("&amp;ROUND(HLOOKUP(M15,$C$26:$I$27,2,0),2)&amp;" USD/MWh)"</f>
        <v>INDEPENDENCIA 220
(9,3 USD/MWh)</v>
      </c>
      <c r="O15" s="286"/>
      <c r="P15" s="286"/>
      <c r="Q15" s="286"/>
    </row>
    <row r="16" spans="1:17" ht="11.25" customHeight="1">
      <c r="A16" s="184"/>
      <c r="B16" s="180"/>
      <c r="C16" s="180"/>
      <c r="D16" s="180"/>
      <c r="E16" s="180"/>
      <c r="F16" s="180"/>
      <c r="G16" s="180"/>
      <c r="H16" s="180"/>
      <c r="I16" s="180"/>
      <c r="J16" s="661"/>
      <c r="K16" s="661"/>
      <c r="L16" s="662"/>
      <c r="M16" s="673" t="s">
        <v>176</v>
      </c>
      <c r="N16" s="769" t="str">
        <f t="shared" si="0"/>
        <v>CARABAYLLO 220
(9,25 USD/MWh)</v>
      </c>
      <c r="O16" s="286"/>
      <c r="P16" s="286"/>
      <c r="Q16" s="286"/>
    </row>
    <row r="17" spans="1:17" ht="11.25" customHeight="1">
      <c r="A17" s="184"/>
      <c r="B17" s="180"/>
      <c r="C17" s="180"/>
      <c r="D17" s="180"/>
      <c r="E17" s="180"/>
      <c r="F17" s="180"/>
      <c r="G17" s="180"/>
      <c r="H17" s="180"/>
      <c r="I17" s="180"/>
      <c r="J17" s="661"/>
      <c r="K17" s="661"/>
      <c r="L17" s="662"/>
      <c r="M17" s="673" t="s">
        <v>173</v>
      </c>
      <c r="N17" s="769" t="str">
        <f t="shared" si="0"/>
        <v>SANTA ROSA 220
(9,24 USD/MWh)</v>
      </c>
      <c r="O17" s="286"/>
      <c r="P17" s="286"/>
      <c r="Q17" s="286"/>
    </row>
    <row r="18" spans="1:17" ht="11.25" customHeight="1">
      <c r="A18" s="184"/>
      <c r="B18" s="180"/>
      <c r="C18" s="180"/>
      <c r="D18" s="180"/>
      <c r="E18" s="180"/>
      <c r="F18" s="180"/>
      <c r="G18" s="180"/>
      <c r="H18" s="180"/>
      <c r="I18" s="180"/>
      <c r="J18" s="661"/>
      <c r="K18" s="661"/>
      <c r="L18" s="662"/>
      <c r="M18" s="673" t="s">
        <v>174</v>
      </c>
      <c r="N18" s="769" t="str">
        <f t="shared" si="0"/>
        <v>SAN JUAN 220
(9,17 USD/MWh)</v>
      </c>
      <c r="O18" s="286"/>
      <c r="P18" s="286"/>
      <c r="Q18" s="286"/>
    </row>
    <row r="19" spans="1:17" ht="11.25" customHeight="1">
      <c r="A19" s="184"/>
      <c r="B19" s="180"/>
      <c r="C19" s="180"/>
      <c r="D19" s="180"/>
      <c r="E19" s="180"/>
      <c r="F19" s="180"/>
      <c r="G19" s="180"/>
      <c r="H19" s="180"/>
      <c r="I19" s="180"/>
      <c r="J19" s="661"/>
      <c r="K19" s="661"/>
      <c r="L19" s="664"/>
      <c r="M19" s="673" t="s">
        <v>177</v>
      </c>
      <c r="N19" s="769" t="str">
        <f t="shared" si="0"/>
        <v>POMACOCHA 220
(9,11 USD/MWh)</v>
      </c>
      <c r="O19" s="286"/>
      <c r="P19" s="286"/>
      <c r="Q19" s="286"/>
    </row>
    <row r="20" spans="1:17" ht="11.25" customHeight="1">
      <c r="A20" s="184"/>
      <c r="B20" s="190"/>
      <c r="C20" s="190"/>
      <c r="D20" s="190"/>
      <c r="E20" s="190"/>
      <c r="F20" s="190"/>
      <c r="G20" s="180"/>
      <c r="H20" s="180"/>
      <c r="I20" s="180"/>
      <c r="J20" s="661"/>
      <c r="K20" s="661"/>
      <c r="L20" s="662"/>
      <c r="M20" s="673" t="s">
        <v>178</v>
      </c>
      <c r="N20" s="769" t="str">
        <f t="shared" si="0"/>
        <v>OROYA NUEVA 50
(9,08 USD/MWh)</v>
      </c>
      <c r="O20" s="286"/>
      <c r="P20" s="286"/>
      <c r="Q20" s="286"/>
    </row>
    <row r="21" spans="1:17" ht="11.25" customHeight="1">
      <c r="A21" s="184"/>
      <c r="B21" s="971" t="str">
        <f>"Gráfico N°20: Costos marginales medios registrados en las principales barras del área norte durante el mes de "&amp;'1. Resumen'!Q4</f>
        <v>Gráfico N°20: Costos marginales medios registrados en las principales barras del área norte durante el mes de julio</v>
      </c>
      <c r="C21" s="971"/>
      <c r="D21" s="971"/>
      <c r="E21" s="971"/>
      <c r="F21" s="971"/>
      <c r="G21" s="971"/>
      <c r="H21" s="971"/>
      <c r="I21" s="971"/>
      <c r="J21" s="661"/>
      <c r="K21" s="661"/>
      <c r="L21" s="662"/>
      <c r="M21" s="673"/>
      <c r="N21" s="769"/>
      <c r="O21" s="286"/>
      <c r="P21" s="286"/>
      <c r="Q21" s="286"/>
    </row>
    <row r="22" spans="1:17" ht="7.5" customHeight="1">
      <c r="A22" s="184"/>
      <c r="B22" s="186"/>
      <c r="C22" s="186"/>
      <c r="D22" s="186"/>
      <c r="E22" s="186"/>
      <c r="F22" s="186"/>
      <c r="G22" s="184"/>
      <c r="H22" s="184"/>
      <c r="I22" s="184"/>
      <c r="J22" s="657"/>
      <c r="K22" s="657"/>
      <c r="L22" s="659"/>
      <c r="M22" s="673"/>
      <c r="N22" s="769"/>
      <c r="O22" s="286"/>
      <c r="P22" s="286"/>
      <c r="Q22" s="286"/>
    </row>
    <row r="23" spans="1:17" ht="11.25" customHeight="1">
      <c r="A23" s="184"/>
      <c r="B23" s="186"/>
      <c r="C23" s="186"/>
      <c r="D23" s="186"/>
      <c r="E23" s="186"/>
      <c r="F23" s="186"/>
      <c r="G23" s="184"/>
      <c r="H23" s="184"/>
      <c r="I23" s="184"/>
      <c r="J23" s="657"/>
      <c r="K23" s="657"/>
      <c r="L23" s="665"/>
      <c r="M23" s="673" t="s">
        <v>179</v>
      </c>
      <c r="N23" s="769" t="str">
        <f t="shared" ref="N23:N29" si="1">M23&amp;"
("&amp;ROUND(HLOOKUP(M23,$C$45:$I$46,2,0),2)&amp;" USD/MWh)"</f>
        <v>TINTAYA NUEVA 220
(10,15 USD/MWh)</v>
      </c>
      <c r="O23" s="286"/>
      <c r="P23" s="286"/>
      <c r="Q23" s="286"/>
    </row>
    <row r="24" spans="1:17" ht="11.25" customHeight="1">
      <c r="A24" s="184"/>
      <c r="B24" s="189" t="s">
        <v>389</v>
      </c>
      <c r="C24" s="186"/>
      <c r="D24" s="186"/>
      <c r="E24" s="186"/>
      <c r="F24" s="186"/>
      <c r="G24" s="184"/>
      <c r="H24" s="184"/>
      <c r="I24" s="184"/>
      <c r="J24" s="657"/>
      <c r="K24" s="657"/>
      <c r="L24" s="659"/>
      <c r="M24" s="673" t="s">
        <v>180</v>
      </c>
      <c r="N24" s="769" t="str">
        <f t="shared" si="1"/>
        <v>PUNO 138
(9,95 USD/MWh)</v>
      </c>
      <c r="O24" s="286"/>
      <c r="P24" s="286"/>
      <c r="Q24" s="286"/>
    </row>
    <row r="25" spans="1:17" ht="6.75" customHeight="1">
      <c r="A25" s="184"/>
      <c r="B25" s="186"/>
      <c r="C25" s="186"/>
      <c r="D25" s="186"/>
      <c r="E25" s="186"/>
      <c r="F25" s="186"/>
      <c r="G25" s="184"/>
      <c r="H25" s="184"/>
      <c r="I25" s="184"/>
      <c r="J25" s="657"/>
      <c r="K25" s="657"/>
      <c r="L25" s="659"/>
      <c r="M25" s="673" t="s">
        <v>181</v>
      </c>
      <c r="N25" s="769" t="str">
        <f t="shared" si="1"/>
        <v>SOCABAYA 220
(9,78 USD/MWh)</v>
      </c>
      <c r="O25" s="286"/>
      <c r="P25" s="286"/>
      <c r="Q25" s="286"/>
    </row>
    <row r="26" spans="1:17" ht="25.5" customHeight="1">
      <c r="A26" s="184"/>
      <c r="B26" s="494" t="s">
        <v>166</v>
      </c>
      <c r="C26" s="491" t="s">
        <v>447</v>
      </c>
      <c r="D26" s="491" t="s">
        <v>173</v>
      </c>
      <c r="E26" s="491" t="s">
        <v>176</v>
      </c>
      <c r="F26" s="491" t="s">
        <v>174</v>
      </c>
      <c r="G26" s="491" t="s">
        <v>175</v>
      </c>
      <c r="H26" s="491" t="s">
        <v>177</v>
      </c>
      <c r="I26" s="492" t="s">
        <v>178</v>
      </c>
      <c r="J26" s="666"/>
      <c r="K26" s="661"/>
      <c r="L26" s="662"/>
      <c r="M26" s="673" t="s">
        <v>182</v>
      </c>
      <c r="N26" s="769" t="str">
        <f t="shared" si="1"/>
        <v>MOQUEGUA 138
(9,77 USD/MWh)</v>
      </c>
      <c r="O26" s="286"/>
      <c r="P26" s="286"/>
      <c r="Q26" s="286"/>
    </row>
    <row r="27" spans="1:17" ht="18" customHeight="1">
      <c r="A27" s="184"/>
      <c r="B27" s="495" t="s">
        <v>172</v>
      </c>
      <c r="C27" s="270">
        <v>9.251370191150432</v>
      </c>
      <c r="D27" s="270">
        <v>9.235581430703192</v>
      </c>
      <c r="E27" s="270">
        <v>9.2509171880761158</v>
      </c>
      <c r="F27" s="270">
        <v>9.1657451102158092</v>
      </c>
      <c r="G27" s="270">
        <v>9.3006456651797524</v>
      </c>
      <c r="H27" s="270">
        <v>9.1108387955633479</v>
      </c>
      <c r="I27" s="270">
        <v>9.0760426854906981</v>
      </c>
      <c r="J27" s="667"/>
      <c r="K27" s="661"/>
      <c r="L27" s="662"/>
      <c r="M27" s="673" t="s">
        <v>183</v>
      </c>
      <c r="N27" s="769" t="str">
        <f t="shared" si="1"/>
        <v>DOLORESPATA 138
(9,53 USD/MWh)</v>
      </c>
      <c r="O27" s="286"/>
      <c r="P27" s="286"/>
      <c r="Q27" s="286"/>
    </row>
    <row r="28" spans="1:17" ht="19.5" customHeight="1">
      <c r="A28" s="184"/>
      <c r="B28" s="972" t="str">
        <f>"Cuadro N°12: Valor de los costos marginales medios registrados en las principales barras del área centro durante el mes de "&amp;'1. Resumen'!Q4</f>
        <v>Cuadro N°12: Valor de los costos marginales medios registrados en las principales barras del área centro durante el mes de julio</v>
      </c>
      <c r="C28" s="972"/>
      <c r="D28" s="972"/>
      <c r="E28" s="972"/>
      <c r="F28" s="972"/>
      <c r="G28" s="972"/>
      <c r="H28" s="972"/>
      <c r="I28" s="972"/>
      <c r="J28" s="661"/>
      <c r="K28" s="661"/>
      <c r="L28" s="662"/>
      <c r="M28" s="673" t="s">
        <v>184</v>
      </c>
      <c r="N28" s="769" t="str">
        <f t="shared" si="1"/>
        <v>COTARUSE 220
(9,44 USD/MWh)</v>
      </c>
      <c r="O28" s="286"/>
      <c r="P28" s="286"/>
      <c r="Q28" s="286"/>
    </row>
    <row r="29" spans="1:17" ht="11.25" customHeight="1">
      <c r="A29" s="184"/>
      <c r="B29" s="190"/>
      <c r="C29" s="190"/>
      <c r="D29" s="190"/>
      <c r="E29" s="190"/>
      <c r="F29" s="190"/>
      <c r="G29" s="190"/>
      <c r="H29" s="190"/>
      <c r="I29" s="190"/>
      <c r="J29" s="668"/>
      <c r="K29" s="668"/>
      <c r="L29" s="662"/>
      <c r="M29" s="673" t="s">
        <v>185</v>
      </c>
      <c r="N29" s="769" t="str">
        <f t="shared" si="1"/>
        <v>SAN GABAN 138
(9,6 USD/MWh)</v>
      </c>
      <c r="O29" s="286"/>
      <c r="P29" s="286"/>
      <c r="Q29" s="286"/>
    </row>
    <row r="30" spans="1:17" ht="11.25" customHeight="1">
      <c r="A30" s="184"/>
      <c r="B30" s="190"/>
      <c r="C30" s="190"/>
      <c r="D30" s="190"/>
      <c r="E30" s="190"/>
      <c r="F30" s="190"/>
      <c r="G30" s="190"/>
      <c r="H30" s="190"/>
      <c r="I30" s="190"/>
      <c r="J30" s="668"/>
      <c r="K30" s="668"/>
      <c r="L30" s="662"/>
      <c r="M30" s="673"/>
      <c r="N30" s="770"/>
      <c r="O30" s="286"/>
      <c r="P30" s="286"/>
      <c r="Q30" s="286"/>
    </row>
    <row r="31" spans="1:17" ht="11.25" customHeight="1">
      <c r="A31" s="184"/>
      <c r="B31" s="190"/>
      <c r="C31" s="190"/>
      <c r="D31" s="190"/>
      <c r="E31" s="190"/>
      <c r="F31" s="190"/>
      <c r="G31" s="190"/>
      <c r="H31" s="190"/>
      <c r="I31" s="190"/>
      <c r="J31" s="668"/>
      <c r="K31" s="668"/>
      <c r="L31" s="662"/>
      <c r="M31" s="673"/>
      <c r="N31" s="770"/>
      <c r="O31" s="286"/>
      <c r="P31" s="286"/>
      <c r="Q31" s="286"/>
    </row>
    <row r="32" spans="1:17" ht="11.25" customHeight="1">
      <c r="A32" s="184"/>
      <c r="B32" s="190"/>
      <c r="C32" s="190"/>
      <c r="D32" s="190"/>
      <c r="E32" s="190"/>
      <c r="F32" s="190"/>
      <c r="G32" s="190"/>
      <c r="H32" s="190"/>
      <c r="I32" s="190"/>
      <c r="J32" s="668"/>
      <c r="K32" s="668"/>
      <c r="L32" s="662"/>
      <c r="M32" s="673"/>
      <c r="N32" s="286"/>
      <c r="O32" s="286"/>
      <c r="P32" s="286"/>
      <c r="Q32" s="286"/>
    </row>
    <row r="33" spans="1:17" ht="11.25" customHeight="1">
      <c r="A33" s="184"/>
      <c r="B33" s="190"/>
      <c r="C33" s="190"/>
      <c r="D33" s="190"/>
      <c r="E33" s="190"/>
      <c r="F33" s="190"/>
      <c r="G33" s="190"/>
      <c r="H33" s="190"/>
      <c r="I33" s="190"/>
      <c r="J33" s="668"/>
      <c r="K33" s="668"/>
      <c r="L33" s="662"/>
      <c r="N33" s="286"/>
      <c r="O33" s="286"/>
      <c r="P33" s="286"/>
      <c r="Q33" s="286"/>
    </row>
    <row r="34" spans="1:17" ht="11.25" customHeight="1">
      <c r="A34" s="184"/>
      <c r="B34" s="190"/>
      <c r="C34" s="190"/>
      <c r="D34" s="190"/>
      <c r="E34" s="190"/>
      <c r="F34" s="190"/>
      <c r="G34" s="190"/>
      <c r="H34" s="190"/>
      <c r="I34" s="190"/>
      <c r="J34" s="668"/>
      <c r="K34" s="668"/>
      <c r="L34" s="662"/>
      <c r="N34" s="286"/>
      <c r="O34" s="286"/>
      <c r="P34" s="286"/>
      <c r="Q34" s="286"/>
    </row>
    <row r="35" spans="1:17" ht="11.25" customHeight="1">
      <c r="A35" s="184"/>
      <c r="B35" s="190"/>
      <c r="C35" s="190"/>
      <c r="D35" s="190"/>
      <c r="E35" s="190"/>
      <c r="F35" s="190"/>
      <c r="G35" s="190"/>
      <c r="H35" s="190"/>
      <c r="I35" s="190"/>
      <c r="J35" s="668"/>
      <c r="K35" s="668"/>
      <c r="L35" s="669"/>
      <c r="N35" s="286"/>
      <c r="O35" s="286"/>
      <c r="P35" s="286"/>
      <c r="Q35" s="286"/>
    </row>
    <row r="36" spans="1:17" ht="11.25" customHeight="1">
      <c r="A36" s="184"/>
      <c r="B36" s="190"/>
      <c r="C36" s="190"/>
      <c r="D36" s="190"/>
      <c r="E36" s="190"/>
      <c r="F36" s="190"/>
      <c r="G36" s="190"/>
      <c r="H36" s="190"/>
      <c r="I36" s="190"/>
      <c r="J36" s="668"/>
      <c r="K36" s="668"/>
      <c r="L36" s="662"/>
      <c r="N36" s="286"/>
      <c r="O36" s="286"/>
      <c r="P36" s="286"/>
      <c r="Q36" s="286"/>
    </row>
    <row r="37" spans="1:17" ht="11.25" customHeight="1">
      <c r="A37" s="184"/>
      <c r="B37" s="190"/>
      <c r="C37" s="190"/>
      <c r="D37" s="190"/>
      <c r="E37" s="190"/>
      <c r="F37" s="190"/>
      <c r="G37" s="190"/>
      <c r="H37" s="190"/>
      <c r="I37" s="190"/>
      <c r="J37" s="668"/>
      <c r="K37" s="668"/>
      <c r="L37" s="662"/>
      <c r="N37" s="286"/>
      <c r="O37" s="286"/>
      <c r="P37" s="286"/>
      <c r="Q37" s="286"/>
    </row>
    <row r="38" spans="1:17" ht="11.25" customHeight="1">
      <c r="A38" s="184"/>
      <c r="B38" s="190"/>
      <c r="C38" s="190"/>
      <c r="D38" s="190"/>
      <c r="E38" s="190"/>
      <c r="F38" s="190"/>
      <c r="G38" s="190"/>
      <c r="H38" s="190"/>
      <c r="I38" s="190"/>
      <c r="J38" s="668"/>
      <c r="K38" s="668"/>
      <c r="L38" s="662"/>
      <c r="N38" s="286"/>
      <c r="O38" s="286"/>
      <c r="P38" s="286"/>
      <c r="Q38" s="286"/>
    </row>
    <row r="39" spans="1:17" ht="11.25" customHeight="1">
      <c r="A39" s="184"/>
      <c r="B39" s="190"/>
      <c r="C39" s="190"/>
      <c r="D39" s="190"/>
      <c r="E39" s="190"/>
      <c r="F39" s="190"/>
      <c r="G39" s="190"/>
      <c r="H39" s="190"/>
      <c r="I39" s="190"/>
      <c r="J39" s="668"/>
      <c r="K39" s="668"/>
      <c r="L39" s="662"/>
      <c r="N39" s="286"/>
      <c r="O39" s="286"/>
      <c r="P39" s="286"/>
      <c r="Q39" s="286"/>
    </row>
    <row r="40" spans="1:17" ht="13.5" customHeight="1">
      <c r="A40" s="184"/>
      <c r="B40" s="970" t="str">
        <f>"Gráfico N°21: Costos marginales medios registrados en las principales barras del área centro durante el mes de "&amp;'1. Resumen'!Q4</f>
        <v>Gráfico N°21: Costos marginales medios registrados en las principales barras del área centro durante el mes de julio</v>
      </c>
      <c r="C40" s="970"/>
      <c r="D40" s="970"/>
      <c r="E40" s="970"/>
      <c r="F40" s="970"/>
      <c r="G40" s="970"/>
      <c r="H40" s="970"/>
      <c r="I40" s="970"/>
      <c r="J40" s="668"/>
      <c r="K40" s="668"/>
      <c r="L40" s="662"/>
      <c r="N40" s="286"/>
      <c r="O40" s="286"/>
      <c r="P40" s="286"/>
      <c r="Q40" s="286"/>
    </row>
    <row r="41" spans="1:17" ht="6.75" customHeight="1">
      <c r="A41" s="184"/>
      <c r="B41" s="190"/>
      <c r="C41" s="190"/>
      <c r="D41" s="190"/>
      <c r="E41" s="190"/>
      <c r="F41" s="190"/>
      <c r="G41" s="190"/>
      <c r="H41" s="190"/>
      <c r="I41" s="190"/>
      <c r="J41" s="668"/>
      <c r="K41" s="668"/>
      <c r="L41" s="662"/>
      <c r="N41" s="286"/>
      <c r="O41" s="286"/>
      <c r="P41" s="286"/>
      <c r="Q41" s="286"/>
    </row>
    <row r="42" spans="1:17" ht="8.25" customHeight="1">
      <c r="A42" s="184"/>
      <c r="B42" s="186"/>
      <c r="C42" s="186"/>
      <c r="D42" s="186"/>
      <c r="E42" s="186"/>
      <c r="F42" s="186"/>
      <c r="G42" s="186"/>
      <c r="H42" s="186"/>
      <c r="I42" s="186"/>
      <c r="J42" s="670"/>
      <c r="K42" s="670"/>
      <c r="L42" s="11"/>
      <c r="N42" s="286"/>
      <c r="O42" s="286"/>
      <c r="P42" s="286"/>
      <c r="Q42" s="286"/>
    </row>
    <row r="43" spans="1:17" ht="11.25" customHeight="1">
      <c r="A43" s="184"/>
      <c r="B43" s="189" t="s">
        <v>390</v>
      </c>
      <c r="C43" s="186"/>
      <c r="D43" s="186"/>
      <c r="E43" s="186"/>
      <c r="F43" s="186"/>
      <c r="G43" s="186"/>
      <c r="H43" s="186"/>
      <c r="I43" s="186"/>
      <c r="J43" s="670"/>
      <c r="K43" s="670"/>
      <c r="L43" s="11"/>
      <c r="N43" s="286"/>
      <c r="O43" s="286"/>
      <c r="P43" s="286"/>
      <c r="Q43" s="286"/>
    </row>
    <row r="44" spans="1:17" ht="6.75" customHeight="1">
      <c r="A44" s="184"/>
      <c r="B44" s="186"/>
      <c r="C44" s="186"/>
      <c r="D44" s="186"/>
      <c r="E44" s="186"/>
      <c r="F44" s="186"/>
      <c r="G44" s="186"/>
      <c r="H44" s="186"/>
      <c r="I44" s="186"/>
      <c r="J44" s="670"/>
      <c r="K44" s="670"/>
      <c r="L44" s="11"/>
      <c r="N44" s="286"/>
      <c r="O44" s="286"/>
      <c r="P44" s="286"/>
      <c r="Q44" s="286"/>
    </row>
    <row r="45" spans="1:17" ht="27" customHeight="1">
      <c r="A45" s="184"/>
      <c r="B45" s="494" t="s">
        <v>166</v>
      </c>
      <c r="C45" s="491" t="s">
        <v>179</v>
      </c>
      <c r="D45" s="491" t="s">
        <v>181</v>
      </c>
      <c r="E45" s="491" t="s">
        <v>182</v>
      </c>
      <c r="F45" s="491" t="s">
        <v>180</v>
      </c>
      <c r="G45" s="491" t="s">
        <v>183</v>
      </c>
      <c r="H45" s="491" t="s">
        <v>184</v>
      </c>
      <c r="I45" s="492" t="s">
        <v>185</v>
      </c>
      <c r="J45" s="666"/>
      <c r="K45" s="668"/>
      <c r="N45" s="286"/>
      <c r="O45" s="286"/>
      <c r="P45" s="286"/>
      <c r="Q45" s="286"/>
    </row>
    <row r="46" spans="1:17" ht="18.75" customHeight="1">
      <c r="A46" s="184"/>
      <c r="B46" s="495" t="s">
        <v>172</v>
      </c>
      <c r="C46" s="270">
        <v>10.147878130170271</v>
      </c>
      <c r="D46" s="270">
        <v>9.7799285303491423</v>
      </c>
      <c r="E46" s="270">
        <v>9.7704929463097194</v>
      </c>
      <c r="F46" s="270">
        <v>9.9535346447789355</v>
      </c>
      <c r="G46" s="270">
        <v>9.5260912715914614</v>
      </c>
      <c r="H46" s="270">
        <v>9.4385826780485456</v>
      </c>
      <c r="I46" s="270">
        <v>9.604025027651069</v>
      </c>
      <c r="J46" s="667"/>
      <c r="K46" s="668"/>
      <c r="N46" s="286"/>
      <c r="O46" s="286"/>
      <c r="P46" s="286"/>
      <c r="Q46" s="286"/>
    </row>
    <row r="47" spans="1:17" ht="18" customHeight="1">
      <c r="A47" s="184"/>
      <c r="B47" s="972" t="str">
        <f>"Cuadro N°13: Valor de los costos marginales medios registrados en las principales barras del área sur durante el mes de "&amp;'1. Resumen'!Q4</f>
        <v>Cuadro N°13: Valor de los costos marginales medios registrados en las principales barras del área sur durante el mes de julio</v>
      </c>
      <c r="C47" s="972"/>
      <c r="D47" s="972"/>
      <c r="E47" s="972"/>
      <c r="F47" s="972"/>
      <c r="G47" s="972"/>
      <c r="H47" s="972"/>
      <c r="I47" s="972"/>
      <c r="J47" s="667"/>
      <c r="K47" s="668"/>
    </row>
    <row r="48" spans="1:17" ht="13.2">
      <c r="A48" s="184"/>
      <c r="B48" s="190"/>
      <c r="C48" s="190"/>
      <c r="D48" s="190"/>
      <c r="E48" s="190"/>
      <c r="F48" s="190"/>
      <c r="G48" s="180"/>
      <c r="H48" s="180"/>
      <c r="I48" s="180"/>
      <c r="J48" s="661"/>
      <c r="K48" s="668"/>
    </row>
    <row r="49" spans="1:11" ht="13.2">
      <c r="A49" s="184"/>
      <c r="B49" s="180"/>
      <c r="C49" s="180"/>
      <c r="D49" s="180"/>
      <c r="E49" s="180"/>
      <c r="F49" s="180"/>
      <c r="G49" s="180"/>
      <c r="H49" s="180"/>
      <c r="I49" s="180"/>
      <c r="J49" s="661"/>
      <c r="K49" s="668"/>
    </row>
    <row r="50" spans="1:11" ht="13.2">
      <c r="A50" s="184"/>
      <c r="B50" s="111"/>
      <c r="C50" s="111"/>
      <c r="D50" s="111"/>
      <c r="E50" s="111"/>
      <c r="F50" s="111"/>
      <c r="G50" s="111"/>
      <c r="H50" s="111"/>
      <c r="I50" s="111"/>
      <c r="J50" s="671"/>
      <c r="K50" s="668"/>
    </row>
    <row r="51" spans="1:11" ht="13.2">
      <c r="A51" s="184"/>
      <c r="B51" s="111"/>
      <c r="C51" s="111"/>
      <c r="D51" s="111"/>
      <c r="E51" s="111"/>
      <c r="F51" s="111"/>
      <c r="G51" s="111"/>
      <c r="H51" s="111"/>
      <c r="I51" s="111"/>
      <c r="J51" s="671"/>
      <c r="K51" s="668"/>
    </row>
    <row r="52" spans="1:11" ht="13.2">
      <c r="A52" s="184"/>
      <c r="B52" s="111"/>
      <c r="C52" s="111"/>
      <c r="D52" s="111"/>
      <c r="E52" s="111"/>
      <c r="F52" s="111"/>
      <c r="G52" s="111"/>
      <c r="H52" s="111"/>
      <c r="I52" s="111"/>
      <c r="J52" s="671"/>
      <c r="K52" s="668"/>
    </row>
    <row r="53" spans="1:11" ht="13.2">
      <c r="A53" s="184"/>
      <c r="B53" s="111"/>
      <c r="C53" s="111"/>
      <c r="D53" s="111"/>
      <c r="E53" s="111"/>
      <c r="F53" s="111"/>
      <c r="G53" s="111"/>
      <c r="H53" s="111"/>
      <c r="I53" s="111"/>
      <c r="J53" s="671"/>
      <c r="K53" s="668"/>
    </row>
    <row r="54" spans="1:11" ht="13.2">
      <c r="A54" s="184"/>
      <c r="B54" s="111"/>
      <c r="C54" s="111"/>
      <c r="D54" s="111"/>
      <c r="E54" s="111"/>
      <c r="F54" s="111"/>
      <c r="G54" s="111"/>
      <c r="H54" s="111"/>
      <c r="I54" s="111"/>
      <c r="J54" s="671"/>
      <c r="K54" s="668"/>
    </row>
    <row r="55" spans="1:11" ht="13.2">
      <c r="A55" s="184"/>
      <c r="B55" s="111"/>
      <c r="C55" s="111"/>
      <c r="D55" s="111"/>
      <c r="E55" s="111"/>
      <c r="F55" s="111"/>
      <c r="G55" s="111"/>
      <c r="H55" s="111"/>
      <c r="I55" s="111"/>
      <c r="J55" s="671"/>
      <c r="K55" s="668"/>
    </row>
    <row r="56" spans="1:11" ht="13.2">
      <c r="A56" s="184"/>
      <c r="B56" s="180"/>
      <c r="C56" s="180"/>
      <c r="D56" s="180"/>
      <c r="E56" s="180"/>
      <c r="F56" s="180"/>
      <c r="G56" s="180"/>
      <c r="H56" s="180"/>
      <c r="I56" s="180"/>
      <c r="J56" s="661"/>
      <c r="K56" s="668"/>
    </row>
    <row r="57" spans="1:11" ht="13.2">
      <c r="A57" s="184"/>
      <c r="B57" s="180"/>
      <c r="C57" s="180"/>
      <c r="D57" s="180"/>
      <c r="E57" s="180"/>
      <c r="F57" s="180"/>
      <c r="G57" s="180"/>
      <c r="H57" s="180"/>
      <c r="I57" s="180"/>
      <c r="J57" s="661"/>
      <c r="K57" s="668"/>
    </row>
    <row r="58" spans="1:11" ht="13.2">
      <c r="A58" s="184"/>
      <c r="B58" s="970" t="str">
        <f>"Gráfico N°22: Costos marginales medios registrados en las principales barras del área sur durante el mes de "&amp;'1. Resumen'!Q4</f>
        <v>Gráfico N°22: Costos marginales medios registrados en las principales barras del área sur durante el mes de julio</v>
      </c>
      <c r="C58" s="970"/>
      <c r="D58" s="970"/>
      <c r="E58" s="970"/>
      <c r="F58" s="970"/>
      <c r="G58" s="970"/>
      <c r="H58" s="970"/>
      <c r="I58" s="970"/>
      <c r="J58" s="661"/>
      <c r="K58" s="668"/>
    </row>
    <row r="59" spans="1:11" ht="13.2">
      <c r="A59" s="74"/>
      <c r="B59" s="136"/>
      <c r="C59" s="136"/>
      <c r="D59" s="136"/>
      <c r="E59" s="136"/>
      <c r="F59" s="136"/>
      <c r="G59" s="136"/>
      <c r="H59" s="180"/>
      <c r="I59" s="180"/>
      <c r="J59" s="661"/>
      <c r="K59" s="668"/>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45" workbookViewId="0">
      <selection activeCell="N53" sqref="N53"/>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930" t="s">
        <v>392</v>
      </c>
      <c r="B2" s="930"/>
      <c r="C2" s="930"/>
      <c r="D2" s="930"/>
      <c r="E2" s="930"/>
      <c r="F2" s="930"/>
      <c r="G2" s="930"/>
      <c r="H2" s="930"/>
      <c r="I2" s="930"/>
      <c r="J2" s="930"/>
      <c r="K2" s="930"/>
      <c r="L2" s="930"/>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9"/>
  <sheetViews>
    <sheetView showGridLines="0" view="pageBreakPreview" zoomScaleNormal="100" zoomScaleSheetLayoutView="100" zoomScalePageLayoutView="115" workbookViewId="0">
      <selection activeCell="N53" sqref="N53"/>
    </sheetView>
  </sheetViews>
  <sheetFormatPr baseColWidth="10" defaultColWidth="9.28515625" defaultRowHeight="10.199999999999999"/>
  <cols>
    <col min="1" max="1" width="12.85546875" style="46" customWidth="1"/>
    <col min="2" max="2" width="19.28515625" style="46" customWidth="1"/>
    <col min="3" max="3" width="25.7109375" style="46" customWidth="1"/>
    <col min="4" max="4" width="10.140625" style="46" customWidth="1"/>
    <col min="5" max="5" width="11" style="46" customWidth="1"/>
    <col min="6" max="6" width="10.42578125" style="46" customWidth="1"/>
    <col min="7" max="7" width="12.140625" style="46" customWidth="1"/>
    <col min="8" max="8" width="12.28515625" style="46" customWidth="1"/>
    <col min="9" max="9" width="9.28515625" style="46"/>
    <col min="10" max="11" width="9.28515625" style="46" customWidth="1"/>
    <col min="12" max="16384" width="9.28515625" style="46"/>
  </cols>
  <sheetData>
    <row r="1" spans="1:12" ht="4.5" customHeight="1"/>
    <row r="2" spans="1:12" ht="14.25" customHeight="1">
      <c r="A2" s="973" t="s">
        <v>391</v>
      </c>
      <c r="B2" s="973"/>
      <c r="C2" s="973"/>
      <c r="D2" s="973"/>
      <c r="E2" s="973"/>
      <c r="F2" s="973"/>
      <c r="G2" s="973"/>
      <c r="H2" s="973"/>
      <c r="I2" s="203"/>
      <c r="J2" s="203"/>
      <c r="K2" s="203"/>
    </row>
    <row r="3" spans="1:12" ht="3" customHeight="1">
      <c r="A3" s="77"/>
      <c r="B3" s="77"/>
      <c r="C3" s="77"/>
      <c r="D3" s="77"/>
      <c r="E3" s="77"/>
      <c r="F3" s="77"/>
      <c r="G3" s="77"/>
      <c r="H3" s="77"/>
      <c r="I3" s="204"/>
      <c r="J3" s="204"/>
      <c r="K3" s="204"/>
      <c r="L3" s="36"/>
    </row>
    <row r="4" spans="1:12" ht="15" customHeight="1">
      <c r="A4" s="964" t="s">
        <v>444</v>
      </c>
      <c r="B4" s="964"/>
      <c r="C4" s="964"/>
      <c r="D4" s="964"/>
      <c r="E4" s="964"/>
      <c r="F4" s="964"/>
      <c r="G4" s="964"/>
      <c r="H4" s="964"/>
      <c r="I4" s="195"/>
      <c r="J4" s="195"/>
      <c r="K4" s="195"/>
      <c r="L4" s="36"/>
    </row>
    <row r="5" spans="1:12" ht="11.25" customHeight="1">
      <c r="A5" s="77"/>
      <c r="B5" s="164"/>
      <c r="C5" s="78"/>
      <c r="D5" s="79"/>
      <c r="E5" s="79"/>
      <c r="F5" s="80"/>
      <c r="G5" s="76"/>
      <c r="H5" s="76"/>
      <c r="I5" s="196"/>
      <c r="J5" s="196"/>
      <c r="K5" s="196"/>
      <c r="L5" s="205"/>
    </row>
    <row r="6" spans="1:12" ht="30.75" customHeight="1">
      <c r="A6" s="518" t="s">
        <v>186</v>
      </c>
      <c r="B6" s="516" t="s">
        <v>187</v>
      </c>
      <c r="C6" s="516" t="s">
        <v>188</v>
      </c>
      <c r="D6" s="515" t="str">
        <f>UPPER('1. Resumen'!Q4)&amp;"
 "&amp;'1. Resumen'!Q5</f>
        <v>JULIO
 2020</v>
      </c>
      <c r="E6" s="515" t="str">
        <f>UPPER('1. Resumen'!Q4)&amp;"
 "&amp;'1. Resumen'!Q5-1</f>
        <v>JULIO
 2019</v>
      </c>
      <c r="F6" s="515" t="str">
        <f>UPPER('1. Resumen'!Q4)&amp;"
 "&amp;'1. Resumen'!Q5-2</f>
        <v>JULIO
 2018</v>
      </c>
      <c r="G6" s="516" t="s">
        <v>481</v>
      </c>
      <c r="H6" s="517" t="s">
        <v>435</v>
      </c>
      <c r="I6" s="196"/>
      <c r="J6" s="196"/>
      <c r="K6" s="196"/>
      <c r="L6" s="166"/>
    </row>
    <row r="7" spans="1:12" ht="19.5" customHeight="1">
      <c r="A7" s="974" t="s">
        <v>189</v>
      </c>
      <c r="B7" s="829" t="s">
        <v>677</v>
      </c>
      <c r="C7" s="830" t="s">
        <v>678</v>
      </c>
      <c r="D7" s="831"/>
      <c r="E7" s="831"/>
      <c r="F7" s="831">
        <v>14.133333333333336</v>
      </c>
      <c r="G7" s="832"/>
      <c r="H7" s="832">
        <f>+E7/F7-1</f>
        <v>-1</v>
      </c>
      <c r="I7" s="196"/>
      <c r="J7" s="196"/>
      <c r="K7" s="196"/>
      <c r="L7" s="58"/>
    </row>
    <row r="8" spans="1:12" ht="14.25" customHeight="1">
      <c r="A8" s="974"/>
      <c r="B8" s="829" t="s">
        <v>679</v>
      </c>
      <c r="C8" s="830" t="s">
        <v>680</v>
      </c>
      <c r="D8" s="831"/>
      <c r="E8" s="831"/>
      <c r="F8" s="831">
        <v>7.0500000000000025</v>
      </c>
      <c r="G8" s="832"/>
      <c r="H8" s="832">
        <f>+E8/F8-1</f>
        <v>-1</v>
      </c>
      <c r="I8" s="196"/>
      <c r="J8" s="196"/>
      <c r="K8" s="196"/>
      <c r="L8" s="58"/>
    </row>
    <row r="9" spans="1:12" ht="14.25" customHeight="1">
      <c r="A9" s="974"/>
      <c r="B9" s="829" t="s">
        <v>681</v>
      </c>
      <c r="C9" s="830" t="s">
        <v>482</v>
      </c>
      <c r="D9" s="831"/>
      <c r="E9" s="831"/>
      <c r="F9" s="831">
        <v>24.283333333333331</v>
      </c>
      <c r="G9" s="832"/>
      <c r="H9" s="832">
        <f t="shared" ref="H9" si="0">+E9/F9-1</f>
        <v>-1</v>
      </c>
      <c r="I9" s="196"/>
      <c r="J9" s="196"/>
      <c r="K9" s="196"/>
      <c r="L9" s="58"/>
    </row>
    <row r="10" spans="1:12" ht="14.25" customHeight="1">
      <c r="A10" s="883" t="s">
        <v>684</v>
      </c>
      <c r="B10" s="829" t="s">
        <v>682</v>
      </c>
      <c r="C10" s="830" t="s">
        <v>683</v>
      </c>
      <c r="D10" s="831"/>
      <c r="E10" s="831"/>
      <c r="F10" s="831">
        <v>5.0166666666666675</v>
      </c>
      <c r="G10" s="832"/>
      <c r="H10" s="832"/>
      <c r="I10" s="196"/>
      <c r="J10" s="196"/>
      <c r="K10" s="196"/>
      <c r="L10" s="58"/>
    </row>
    <row r="11" spans="1:12" ht="18.75" customHeight="1">
      <c r="A11" s="508" t="s">
        <v>190</v>
      </c>
      <c r="B11" s="509"/>
      <c r="C11" s="510"/>
      <c r="D11" s="511">
        <f>SUM(D7:D10)</f>
        <v>0</v>
      </c>
      <c r="E11" s="511">
        <f>SUM(E7:E10)</f>
        <v>0</v>
      </c>
      <c r="F11" s="511">
        <f>SUM(F7:F10)</f>
        <v>50.483333333333334</v>
      </c>
      <c r="G11" s="511">
        <f>SUM(G7:G10)</f>
        <v>0</v>
      </c>
      <c r="H11" s="762">
        <f t="shared" ref="H11" si="1">+E11/F11-1</f>
        <v>-1</v>
      </c>
      <c r="I11" s="196"/>
      <c r="J11" s="196"/>
      <c r="K11" s="197"/>
      <c r="L11" s="206"/>
    </row>
    <row r="12" spans="1:12" ht="11.25" customHeight="1">
      <c r="A12" s="268" t="str">
        <f>"Cuadro N° 14: Horas de operación de los principales equipos de congestión en "&amp;'1. Resumen'!Q4</f>
        <v>Cuadro N° 14: Horas de operación de los principales equipos de congestión en julio</v>
      </c>
      <c r="B12" s="209"/>
      <c r="C12" s="210"/>
      <c r="D12" s="211"/>
      <c r="E12" s="211"/>
      <c r="F12" s="212"/>
      <c r="G12" s="76"/>
      <c r="H12" s="82"/>
      <c r="I12" s="196"/>
      <c r="J12" s="196"/>
      <c r="K12" s="197"/>
      <c r="L12" s="206"/>
    </row>
    <row r="13" spans="1:12" ht="11.25" customHeight="1">
      <c r="A13" s="137"/>
      <c r="B13" s="209"/>
      <c r="C13" s="210"/>
      <c r="D13" s="211"/>
      <c r="E13" s="211"/>
      <c r="F13" s="212"/>
      <c r="G13" s="76"/>
      <c r="H13" s="76"/>
      <c r="I13" s="196"/>
      <c r="J13" s="196"/>
      <c r="K13" s="197"/>
      <c r="L13" s="206"/>
    </row>
    <row r="14" spans="1:12" ht="11.25" customHeight="1">
      <c r="A14" s="137"/>
      <c r="B14" s="209"/>
      <c r="C14" s="210"/>
      <c r="D14" s="211"/>
      <c r="E14" s="211"/>
      <c r="F14" s="212"/>
      <c r="G14" s="76"/>
      <c r="H14" s="76"/>
      <c r="I14" s="196"/>
      <c r="J14" s="196"/>
      <c r="K14" s="197"/>
      <c r="L14" s="206"/>
    </row>
    <row r="15" spans="1:12" ht="11.25" customHeight="1">
      <c r="A15" s="77"/>
      <c r="B15" s="164"/>
      <c r="C15" s="78"/>
      <c r="D15" s="79"/>
      <c r="E15" s="79"/>
      <c r="F15" s="80"/>
      <c r="G15" s="76"/>
      <c r="H15" s="76"/>
      <c r="I15" s="196"/>
      <c r="J15" s="196"/>
      <c r="K15" s="197"/>
      <c r="L15" s="206"/>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7"/>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6"/>
      <c r="L20" s="58"/>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8"/>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77"/>
      <c r="C28" s="77"/>
      <c r="D28" s="77"/>
      <c r="E28" s="77"/>
      <c r="F28" s="77"/>
      <c r="G28" s="77"/>
      <c r="H28" s="77"/>
      <c r="I28" s="196"/>
      <c r="J28" s="196"/>
      <c r="K28" s="198"/>
      <c r="L28" s="206"/>
    </row>
    <row r="29" spans="1:12" ht="11.25" customHeight="1">
      <c r="A29" s="77"/>
      <c r="B29" s="77"/>
      <c r="C29" s="77"/>
      <c r="D29" s="77"/>
      <c r="E29" s="77"/>
      <c r="F29" s="77"/>
      <c r="G29" s="77"/>
      <c r="H29" s="77"/>
      <c r="I29" s="196"/>
      <c r="J29" s="196"/>
      <c r="K29" s="199"/>
      <c r="L29" s="59"/>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8.25" customHeight="1">
      <c r="A37" s="77"/>
      <c r="B37" s="77"/>
      <c r="C37" s="77"/>
      <c r="D37" s="77"/>
      <c r="E37" s="77"/>
      <c r="F37" s="77"/>
      <c r="G37" s="77"/>
      <c r="H37" s="77"/>
      <c r="I37" s="196"/>
      <c r="J37" s="196"/>
      <c r="K37" s="199"/>
      <c r="L37" s="59"/>
    </row>
    <row r="38" spans="1:12" ht="24.7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8"/>
    </row>
    <row r="43" spans="1:12" ht="11.25" customHeight="1">
      <c r="A43" s="77"/>
      <c r="B43" s="77"/>
      <c r="C43" s="77"/>
      <c r="D43" s="77"/>
      <c r="E43" s="77"/>
      <c r="F43" s="77"/>
      <c r="G43" s="77"/>
      <c r="H43" s="77"/>
      <c r="I43" s="196"/>
      <c r="J43" s="196"/>
      <c r="K43" s="198"/>
    </row>
    <row r="44" spans="1:12" ht="13.2">
      <c r="A44" s="54"/>
      <c r="B44" s="77"/>
      <c r="C44" s="77"/>
      <c r="D44" s="77"/>
      <c r="E44" s="77"/>
      <c r="F44" s="77"/>
      <c r="G44" s="77"/>
      <c r="H44" s="77"/>
      <c r="I44" s="196"/>
      <c r="J44" s="196"/>
      <c r="K44" s="198"/>
    </row>
    <row r="45" spans="1:12" ht="13.2">
      <c r="A45" s="77"/>
      <c r="B45" s="77"/>
      <c r="C45" s="77"/>
      <c r="D45" s="77"/>
      <c r="E45" s="77"/>
      <c r="F45" s="77"/>
      <c r="G45" s="77"/>
      <c r="H45" s="77"/>
      <c r="I45" s="196"/>
      <c r="J45" s="196"/>
      <c r="K45" s="198"/>
    </row>
    <row r="46" spans="1:12" ht="13.2">
      <c r="A46" s="77"/>
      <c r="B46" s="77"/>
      <c r="C46" s="77"/>
      <c r="D46" s="77"/>
      <c r="E46" s="77"/>
      <c r="F46" s="77"/>
      <c r="G46" s="77"/>
      <c r="H46" s="77"/>
      <c r="I46" s="196"/>
      <c r="J46" s="196"/>
      <c r="K46" s="198"/>
    </row>
    <row r="47" spans="1:12" ht="13.2">
      <c r="A47" s="77"/>
      <c r="B47" s="77"/>
      <c r="C47" s="77"/>
      <c r="D47" s="77"/>
      <c r="E47" s="77"/>
      <c r="F47" s="77"/>
      <c r="G47" s="77"/>
      <c r="H47" s="77"/>
      <c r="I47" s="196"/>
      <c r="J47" s="196"/>
      <c r="K47" s="198"/>
    </row>
    <row r="48" spans="1:12" ht="13.2">
      <c r="A48" s="77"/>
      <c r="B48" s="77"/>
      <c r="C48" s="77"/>
      <c r="D48" s="77"/>
      <c r="E48" s="77"/>
      <c r="F48" s="77"/>
      <c r="G48" s="77"/>
      <c r="H48" s="77"/>
      <c r="I48" s="196"/>
      <c r="J48" s="196"/>
      <c r="K48" s="198"/>
    </row>
    <row r="49" spans="1:11" ht="13.2">
      <c r="A49" s="77"/>
      <c r="B49" s="77"/>
      <c r="C49" s="77"/>
      <c r="D49" s="77"/>
      <c r="E49" s="77"/>
      <c r="F49" s="77"/>
      <c r="G49" s="77"/>
      <c r="H49" s="77"/>
      <c r="I49" s="111"/>
      <c r="J49" s="111"/>
      <c r="K49" s="198"/>
    </row>
    <row r="50" spans="1:11" ht="13.2">
      <c r="A50" s="77"/>
      <c r="B50" s="77"/>
      <c r="C50" s="77"/>
      <c r="D50" s="77"/>
      <c r="E50" s="77"/>
      <c r="F50" s="77"/>
      <c r="G50" s="77"/>
      <c r="H50" s="77"/>
      <c r="I50" s="111"/>
      <c r="J50" s="111"/>
      <c r="K50" s="198"/>
    </row>
    <row r="51" spans="1:11" ht="13.2">
      <c r="A51" s="77"/>
      <c r="B51" s="77"/>
      <c r="C51" s="77"/>
      <c r="D51" s="77"/>
      <c r="E51" s="77"/>
      <c r="F51" s="77"/>
      <c r="G51" s="77"/>
      <c r="H51" s="77"/>
      <c r="I51" s="111"/>
      <c r="J51" s="111"/>
      <c r="K51" s="198"/>
    </row>
    <row r="52" spans="1:11" ht="13.2">
      <c r="B52" s="77"/>
      <c r="C52" s="77"/>
      <c r="D52" s="77"/>
      <c r="E52" s="77"/>
      <c r="F52" s="77"/>
      <c r="G52" s="77"/>
      <c r="H52" s="77"/>
      <c r="I52" s="111"/>
      <c r="J52" s="111"/>
      <c r="K52" s="198"/>
    </row>
    <row r="53" spans="1:11" ht="13.2">
      <c r="A53" s="268" t="str">
        <f>"Gráfico N° 23: Comparación de las horas de operación de los principales equipos de congestión en "&amp;'1. Resumen'!Q4&amp;"."</f>
        <v>Gráfico N° 23: Comparación de las horas de operación de los principales equipos de congestión en julio.</v>
      </c>
      <c r="B53" s="77"/>
      <c r="C53" s="77"/>
      <c r="D53" s="77"/>
      <c r="E53" s="77"/>
      <c r="F53" s="77"/>
      <c r="G53" s="77"/>
      <c r="H53" s="77"/>
      <c r="I53" s="111"/>
      <c r="J53" s="111"/>
      <c r="K53" s="198"/>
    </row>
    <row r="54" spans="1:11" ht="13.2">
      <c r="A54" s="77"/>
      <c r="B54" s="77"/>
      <c r="C54" s="77"/>
      <c r="D54" s="77"/>
      <c r="E54" s="77"/>
      <c r="F54" s="77"/>
      <c r="G54" s="77"/>
      <c r="H54" s="77"/>
      <c r="I54" s="197"/>
      <c r="J54" s="197"/>
      <c r="K54" s="198"/>
    </row>
    <row r="55" spans="1:11" ht="13.2">
      <c r="A55" s="196"/>
      <c r="B55" s="197"/>
      <c r="C55" s="197"/>
      <c r="D55" s="197"/>
      <c r="E55" s="197"/>
      <c r="F55" s="197"/>
      <c r="G55" s="197"/>
      <c r="H55" s="197"/>
      <c r="I55" s="197"/>
      <c r="J55" s="197"/>
      <c r="K55" s="198"/>
    </row>
    <row r="56" spans="1:11" ht="13.2">
      <c r="A56" s="196"/>
      <c r="B56" s="208"/>
      <c r="C56" s="198"/>
      <c r="D56" s="198"/>
      <c r="E56" s="198"/>
      <c r="F56" s="198"/>
      <c r="G56" s="197"/>
      <c r="H56" s="197"/>
      <c r="I56" s="197"/>
      <c r="J56" s="197"/>
      <c r="K56" s="198"/>
    </row>
    <row r="57" spans="1:11" ht="13.2">
      <c r="A57" s="1"/>
      <c r="B57" s="31"/>
      <c r="C57" s="31"/>
      <c r="D57" s="31"/>
      <c r="E57" s="31"/>
      <c r="F57" s="31"/>
      <c r="G57" s="31"/>
      <c r="H57" s="197"/>
      <c r="I57" s="197"/>
      <c r="J57" s="197"/>
      <c r="K57" s="198"/>
    </row>
    <row r="58" spans="1:11" ht="13.2">
      <c r="A58" s="1"/>
      <c r="B58" s="31"/>
      <c r="C58" s="31"/>
      <c r="D58" s="31"/>
      <c r="E58" s="31"/>
      <c r="F58" s="31"/>
      <c r="G58" s="31"/>
      <c r="H58" s="197"/>
      <c r="I58" s="197"/>
      <c r="J58" s="197"/>
      <c r="K58" s="197"/>
    </row>
    <row r="59" spans="1:11" ht="13.2">
      <c r="A59" s="1"/>
      <c r="B59" s="31"/>
      <c r="C59" s="31"/>
      <c r="D59" s="31"/>
      <c r="E59" s="31"/>
      <c r="F59" s="31"/>
      <c r="G59" s="31"/>
      <c r="H59" s="197"/>
      <c r="I59" s="197"/>
      <c r="J59" s="197"/>
      <c r="K59" s="197"/>
    </row>
  </sheetData>
  <mergeCells count="3">
    <mergeCell ref="A4:H4"/>
    <mergeCell ref="A2:H2"/>
    <mergeCell ref="A7:A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Normal="160" zoomScaleSheetLayoutView="100" zoomScalePageLayoutView="130" workbookViewId="0">
      <selection activeCell="N53" sqref="N53"/>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77" t="s">
        <v>419</v>
      </c>
      <c r="B2" s="977"/>
      <c r="C2" s="977"/>
      <c r="D2" s="977"/>
      <c r="E2" s="977"/>
      <c r="F2" s="977"/>
      <c r="G2" s="977"/>
      <c r="H2" s="977"/>
      <c r="I2" s="977"/>
      <c r="J2" s="977"/>
      <c r="K2" s="163"/>
    </row>
    <row r="3" spans="1:12" ht="6.75" customHeight="1">
      <c r="A3" s="17"/>
      <c r="B3" s="159"/>
      <c r="C3" s="213"/>
      <c r="D3" s="18"/>
      <c r="E3" s="18"/>
      <c r="F3" s="192"/>
      <c r="G3" s="66"/>
      <c r="H3" s="66"/>
      <c r="I3" s="71"/>
      <c r="J3" s="163"/>
      <c r="K3" s="163"/>
      <c r="L3" s="36"/>
    </row>
    <row r="4" spans="1:12" ht="15" customHeight="1">
      <c r="A4" s="978" t="s">
        <v>443</v>
      </c>
      <c r="B4" s="978"/>
      <c r="C4" s="978"/>
      <c r="D4" s="978"/>
      <c r="E4" s="978"/>
      <c r="F4" s="978"/>
      <c r="G4" s="978"/>
      <c r="H4" s="978"/>
      <c r="I4" s="978"/>
      <c r="J4" s="978"/>
      <c r="K4" s="163"/>
      <c r="L4" s="36"/>
    </row>
    <row r="5" spans="1:12" ht="38.25" customHeight="1">
      <c r="A5" s="975" t="s">
        <v>191</v>
      </c>
      <c r="B5" s="519" t="s">
        <v>192</v>
      </c>
      <c r="C5" s="520" t="s">
        <v>193</v>
      </c>
      <c r="D5" s="520" t="s">
        <v>194</v>
      </c>
      <c r="E5" s="520" t="s">
        <v>195</v>
      </c>
      <c r="F5" s="520" t="s">
        <v>196</v>
      </c>
      <c r="G5" s="520" t="s">
        <v>197</v>
      </c>
      <c r="H5" s="520" t="s">
        <v>198</v>
      </c>
      <c r="I5" s="521" t="s">
        <v>199</v>
      </c>
      <c r="J5" s="522" t="s">
        <v>200</v>
      </c>
      <c r="K5" s="131"/>
    </row>
    <row r="6" spans="1:12" ht="11.25" customHeight="1">
      <c r="A6" s="976"/>
      <c r="B6" s="701" t="s">
        <v>201</v>
      </c>
      <c r="C6" s="521" t="s">
        <v>202</v>
      </c>
      <c r="D6" s="521" t="s">
        <v>203</v>
      </c>
      <c r="E6" s="521" t="s">
        <v>204</v>
      </c>
      <c r="F6" s="521" t="s">
        <v>205</v>
      </c>
      <c r="G6" s="521" t="s">
        <v>206</v>
      </c>
      <c r="H6" s="521" t="s">
        <v>207</v>
      </c>
      <c r="I6" s="702"/>
      <c r="J6" s="703" t="s">
        <v>208</v>
      </c>
      <c r="K6" s="19"/>
    </row>
    <row r="7" spans="1:12" s="730" customFormat="1" ht="1.5" customHeight="1">
      <c r="A7" s="853"/>
      <c r="B7" s="854"/>
      <c r="C7" s="855"/>
      <c r="D7" s="855"/>
      <c r="E7" s="855"/>
      <c r="F7" s="855"/>
      <c r="G7" s="855"/>
      <c r="H7" s="855"/>
      <c r="I7" s="855"/>
      <c r="J7" s="855"/>
      <c r="K7" s="19"/>
    </row>
    <row r="8" spans="1:12" ht="20.25" customHeight="1">
      <c r="A8" s="711" t="s">
        <v>685</v>
      </c>
      <c r="B8" s="712">
        <v>5</v>
      </c>
      <c r="C8" s="712">
        <v>7</v>
      </c>
      <c r="D8" s="712">
        <v>3</v>
      </c>
      <c r="E8" s="712">
        <v>1</v>
      </c>
      <c r="F8" s="712">
        <v>4</v>
      </c>
      <c r="G8" s="712">
        <v>1</v>
      </c>
      <c r="H8" s="712"/>
      <c r="I8" s="713">
        <f>+SUM(B8:H8)</f>
        <v>21</v>
      </c>
      <c r="J8" s="714">
        <v>268.40000000000003</v>
      </c>
      <c r="K8" s="22"/>
    </row>
    <row r="9" spans="1:12" s="730" customFormat="1" ht="20.25" customHeight="1">
      <c r="A9" s="856" t="s">
        <v>686</v>
      </c>
      <c r="B9" s="857"/>
      <c r="C9" s="857"/>
      <c r="D9" s="857">
        <v>1</v>
      </c>
      <c r="E9" s="857"/>
      <c r="F9" s="857"/>
      <c r="G9" s="857">
        <v>2</v>
      </c>
      <c r="H9" s="857"/>
      <c r="I9" s="713">
        <f t="shared" ref="I9:I10" si="0">+SUM(B9:H9)</f>
        <v>3</v>
      </c>
      <c r="J9" s="858">
        <v>195.76000000000002</v>
      </c>
      <c r="K9" s="22"/>
    </row>
    <row r="10" spans="1:12" s="730" customFormat="1" ht="18.75" customHeight="1">
      <c r="A10" s="856" t="s">
        <v>687</v>
      </c>
      <c r="B10" s="857"/>
      <c r="C10" s="857"/>
      <c r="D10" s="857"/>
      <c r="E10" s="857">
        <v>1</v>
      </c>
      <c r="F10" s="857"/>
      <c r="G10" s="857"/>
      <c r="H10" s="857"/>
      <c r="I10" s="713">
        <f t="shared" si="0"/>
        <v>1</v>
      </c>
      <c r="J10" s="858">
        <v>5.54</v>
      </c>
      <c r="K10" s="22"/>
    </row>
    <row r="11" spans="1:12" ht="14.25" customHeight="1">
      <c r="A11" s="709" t="s">
        <v>199</v>
      </c>
      <c r="B11" s="704">
        <f t="shared" ref="B11:H11" si="1">+SUM(B8:B10)</f>
        <v>5</v>
      </c>
      <c r="C11" s="704">
        <f t="shared" si="1"/>
        <v>7</v>
      </c>
      <c r="D11" s="704">
        <f t="shared" si="1"/>
        <v>4</v>
      </c>
      <c r="E11" s="704">
        <f t="shared" si="1"/>
        <v>2</v>
      </c>
      <c r="F11" s="704">
        <f t="shared" si="1"/>
        <v>4</v>
      </c>
      <c r="G11" s="704">
        <f t="shared" si="1"/>
        <v>3</v>
      </c>
      <c r="H11" s="704">
        <f t="shared" si="1"/>
        <v>0</v>
      </c>
      <c r="I11" s="704">
        <f>SUM(I8:I10)</f>
        <v>25</v>
      </c>
      <c r="J11" s="705">
        <f>SUM(J8:J10)</f>
        <v>469.7000000000001</v>
      </c>
      <c r="K11" s="22"/>
    </row>
    <row r="12" spans="1:12" ht="11.25" customHeight="1">
      <c r="A12" s="979"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julio 2020</v>
      </c>
      <c r="B12" s="979"/>
      <c r="C12" s="979"/>
      <c r="D12" s="979"/>
      <c r="E12" s="979"/>
      <c r="F12" s="979"/>
      <c r="G12" s="979"/>
      <c r="H12" s="979"/>
      <c r="I12" s="979"/>
      <c r="J12" s="979"/>
      <c r="K12" s="22"/>
    </row>
    <row r="13" spans="1:12" ht="11.25" customHeight="1">
      <c r="K13" s="22"/>
    </row>
    <row r="14" spans="1:12" ht="11.25" customHeight="1">
      <c r="A14" s="17"/>
      <c r="B14" s="215"/>
      <c r="C14" s="214"/>
      <c r="D14" s="214"/>
      <c r="E14" s="214"/>
      <c r="F14" s="214"/>
      <c r="G14" s="178"/>
      <c r="H14" s="178"/>
      <c r="I14" s="138"/>
      <c r="J14" s="25"/>
      <c r="K14" s="25"/>
      <c r="L14" s="22"/>
    </row>
    <row r="15" spans="1:12" ht="11.25" customHeight="1">
      <c r="A15" s="983" t="str">
        <f>"FALLAS  POR TIPO DE CAUSA  -  "&amp;UPPER('1. Resumen'!Q4)&amp;" "&amp;'1. Resumen'!Q5</f>
        <v>FALLAS  POR TIPO DE CAUSA  -  JULIO 2020</v>
      </c>
      <c r="B15" s="983"/>
      <c r="C15" s="983"/>
      <c r="D15" s="983"/>
      <c r="E15" s="983" t="str">
        <f>"FALLAS  POR TIPO DE EQUIPO  -  "&amp;UPPER('1. Resumen'!Q4)&amp;" "&amp;'1. Resumen'!Q5</f>
        <v>FALLAS  POR TIPO DE EQUIPO  -  JULIO 2020</v>
      </c>
      <c r="F15" s="983"/>
      <c r="G15" s="983"/>
      <c r="H15" s="983"/>
      <c r="I15" s="983"/>
      <c r="J15" s="983"/>
      <c r="K15" s="25"/>
      <c r="L15" s="22"/>
    </row>
    <row r="16" spans="1:12" ht="11.25" customHeight="1">
      <c r="A16" s="17"/>
      <c r="E16" s="214"/>
      <c r="F16" s="214"/>
      <c r="G16" s="178"/>
      <c r="H16" s="178"/>
      <c r="I16" s="138"/>
      <c r="J16" s="111"/>
      <c r="K16" s="111"/>
      <c r="L16" s="22"/>
    </row>
    <row r="17" spans="1:12" ht="11.25" customHeight="1">
      <c r="A17" s="17"/>
      <c r="B17" s="215"/>
      <c r="C17" s="214"/>
      <c r="D17" s="214"/>
      <c r="E17" s="214"/>
      <c r="F17" s="214"/>
      <c r="G17" s="178"/>
      <c r="H17" s="178"/>
      <c r="I17" s="138"/>
      <c r="J17" s="111"/>
      <c r="K17" s="111"/>
      <c r="L17" s="30"/>
    </row>
    <row r="18" spans="1:12" ht="11.25" customHeight="1">
      <c r="A18" s="17"/>
      <c r="B18" s="215"/>
      <c r="C18" s="214"/>
      <c r="D18" s="214"/>
      <c r="E18" s="214"/>
      <c r="F18" s="214"/>
      <c r="G18" s="178"/>
      <c r="H18" s="178"/>
      <c r="I18" s="138"/>
      <c r="J18" s="111"/>
      <c r="K18" s="111"/>
      <c r="L18" s="22"/>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30"/>
    </row>
    <row r="22" spans="1:12" ht="11.25" customHeight="1">
      <c r="A22" s="17"/>
      <c r="B22" s="215"/>
      <c r="C22" s="214"/>
      <c r="D22" s="214"/>
      <c r="E22" s="214"/>
      <c r="F22" s="214"/>
      <c r="G22" s="178"/>
      <c r="H22" s="178"/>
      <c r="I22" s="138"/>
      <c r="J22" s="111"/>
      <c r="K22" s="111"/>
      <c r="L22" s="22"/>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23.25" customHeight="1">
      <c r="A33" s="982" t="s">
        <v>407</v>
      </c>
      <c r="B33" s="982"/>
      <c r="C33" s="982"/>
      <c r="D33" s="271"/>
      <c r="E33" s="985" t="s">
        <v>408</v>
      </c>
      <c r="F33" s="985"/>
      <c r="G33" s="985"/>
      <c r="H33" s="985"/>
      <c r="I33" s="985"/>
      <c r="J33" s="985"/>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6"/>
    </row>
    <row r="36" spans="1:12" ht="11.25" customHeight="1">
      <c r="A36" s="984" t="str">
        <f>"ENERGÍA INTERRUMPIDA APROXIMADA POR TIPO DE EQUIPO (MWh)  -  "&amp;UPPER('1. Resumen'!Q4)&amp;" "&amp;'1. Resumen'!Q5</f>
        <v>ENERGÍA INTERRUMPIDA APROXIMADA POR TIPO DE EQUIPO (MWh)  -  JULIO 2020</v>
      </c>
      <c r="B36" s="984"/>
      <c r="C36" s="984"/>
      <c r="D36" s="984"/>
      <c r="E36" s="984"/>
      <c r="F36" s="984"/>
      <c r="G36" s="984"/>
      <c r="H36" s="984"/>
      <c r="I36" s="984"/>
      <c r="J36" s="984"/>
      <c r="K36" s="25"/>
      <c r="L36" s="216"/>
    </row>
    <row r="37" spans="1:12" ht="11.25" customHeight="1">
      <c r="A37" s="17"/>
      <c r="B37" s="132"/>
      <c r="C37" s="132"/>
      <c r="D37" s="132"/>
      <c r="E37" s="132"/>
      <c r="F37" s="132"/>
      <c r="G37" s="25"/>
      <c r="H37" s="25"/>
      <c r="I37" s="25"/>
      <c r="J37" s="25"/>
      <c r="K37" s="25"/>
      <c r="L37" s="216"/>
    </row>
    <row r="38" spans="1:12" ht="11.25" customHeight="1">
      <c r="A38" s="17"/>
      <c r="B38" s="132"/>
      <c r="C38" s="25"/>
      <c r="D38" s="25"/>
      <c r="E38" s="25"/>
      <c r="F38" s="25"/>
      <c r="G38" s="25"/>
      <c r="H38" s="25"/>
      <c r="I38" s="25"/>
      <c r="J38" s="25"/>
      <c r="K38" s="25"/>
      <c r="L38" s="216"/>
    </row>
    <row r="39" spans="1:12" ht="11.25" customHeight="1">
      <c r="A39" s="17"/>
      <c r="B39" s="132"/>
      <c r="C39" s="25"/>
      <c r="D39" s="25"/>
      <c r="E39" s="25"/>
      <c r="F39" s="25"/>
      <c r="G39" s="25"/>
      <c r="H39" s="25"/>
    </row>
    <row r="40" spans="1:12" ht="13.2">
      <c r="A40" s="17"/>
      <c r="B40" s="132"/>
      <c r="J40" s="25"/>
      <c r="K40" s="25"/>
      <c r="L40" s="216"/>
    </row>
    <row r="41" spans="1:12" ht="13.2">
      <c r="A41" s="17"/>
      <c r="B41" s="132"/>
      <c r="C41" s="132"/>
      <c r="D41" s="132"/>
      <c r="E41" s="132"/>
      <c r="F41" s="132"/>
      <c r="G41" s="25"/>
      <c r="H41" s="25"/>
      <c r="I41" s="25"/>
      <c r="J41" s="25"/>
      <c r="K41" s="25"/>
      <c r="L41" s="216"/>
    </row>
    <row r="42" spans="1:12" ht="3" customHeight="1">
      <c r="A42" s="17"/>
      <c r="B42" s="132"/>
      <c r="C42" s="132"/>
      <c r="D42" s="132"/>
      <c r="E42" s="132"/>
      <c r="F42" s="132"/>
      <c r="G42" s="25"/>
      <c r="H42" s="25"/>
      <c r="I42" s="25"/>
      <c r="J42" s="25"/>
      <c r="K42" s="25"/>
      <c r="L42" s="216"/>
    </row>
    <row r="43" spans="1:12" ht="13.2">
      <c r="A43" s="17"/>
      <c r="B43" s="132"/>
      <c r="C43" s="132"/>
      <c r="D43" s="132"/>
      <c r="E43" s="132"/>
      <c r="F43" s="132"/>
      <c r="G43" s="25"/>
      <c r="H43" s="25"/>
      <c r="I43" s="25"/>
      <c r="J43" s="25"/>
      <c r="K43" s="25"/>
      <c r="L43" s="216"/>
    </row>
    <row r="44" spans="1:12" ht="13.2">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63"/>
      <c r="B46" s="25"/>
      <c r="C46" s="25"/>
      <c r="D46" s="25"/>
      <c r="E46" s="25"/>
      <c r="F46" s="25"/>
      <c r="G46" s="25"/>
      <c r="H46" s="25"/>
      <c r="I46" s="25"/>
      <c r="J46" s="25"/>
      <c r="K46" s="25"/>
      <c r="L46" s="216"/>
    </row>
    <row r="47" spans="1:12" ht="13.2">
      <c r="A47" s="163"/>
      <c r="B47" s="25"/>
      <c r="C47" s="25"/>
      <c r="D47" s="25"/>
      <c r="E47" s="25"/>
      <c r="F47" s="25"/>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9" customHeight="1">
      <c r="A51" s="163"/>
      <c r="B51" s="25"/>
      <c r="C51" s="25"/>
      <c r="D51" s="25"/>
      <c r="E51" s="25"/>
      <c r="F51" s="25"/>
      <c r="G51" s="25"/>
      <c r="H51" s="25"/>
      <c r="I51" s="25"/>
      <c r="J51" s="25"/>
      <c r="K51" s="25"/>
      <c r="L51" s="216"/>
    </row>
    <row r="52" spans="1:12">
      <c r="A52" s="271" t="str">
        <f>"Gráfico N°26: Comparación de la energía interrumpida aproximada por tipo de equipo en "&amp;'1. Resumen'!Q4&amp;" "&amp;'1. Resumen'!Q5</f>
        <v>Gráfico N°26: Comparación de la energía interrumpida aproximada por tipo de equipo en julio 2020</v>
      </c>
      <c r="B52" s="25"/>
      <c r="C52" s="25"/>
      <c r="D52" s="25"/>
      <c r="E52" s="25"/>
      <c r="F52" s="25"/>
      <c r="G52" s="25"/>
      <c r="H52" s="25"/>
      <c r="I52" s="25"/>
      <c r="J52" s="25"/>
      <c r="K52" s="25"/>
      <c r="L52" s="216"/>
    </row>
    <row r="53" spans="1:12" ht="5.25" customHeight="1">
      <c r="B53" s="25"/>
      <c r="C53" s="25"/>
      <c r="D53" s="25"/>
      <c r="E53" s="25"/>
      <c r="F53" s="25"/>
      <c r="G53" s="25"/>
      <c r="H53" s="25"/>
      <c r="I53" s="25"/>
      <c r="J53" s="25"/>
      <c r="K53" s="25"/>
      <c r="L53" s="216"/>
    </row>
    <row r="54" spans="1:12" ht="24" customHeight="1">
      <c r="A54" s="980" t="s">
        <v>209</v>
      </c>
      <c r="B54" s="980"/>
      <c r="C54" s="980"/>
      <c r="D54" s="980"/>
      <c r="E54" s="980"/>
      <c r="F54" s="980"/>
      <c r="G54" s="980"/>
      <c r="H54" s="980"/>
      <c r="I54" s="980"/>
      <c r="J54" s="980"/>
      <c r="K54" s="25"/>
      <c r="L54" s="216"/>
    </row>
    <row r="55" spans="1:12" ht="11.25" customHeight="1">
      <c r="A55" s="981" t="s">
        <v>210</v>
      </c>
      <c r="B55" s="981"/>
      <c r="C55" s="981"/>
      <c r="D55" s="981"/>
      <c r="E55" s="981"/>
      <c r="F55" s="981"/>
      <c r="G55" s="981"/>
      <c r="H55" s="981"/>
      <c r="I55" s="981"/>
      <c r="J55" s="981"/>
      <c r="K55" s="25"/>
      <c r="L55" s="216"/>
    </row>
    <row r="56" spans="1:12" ht="13.2">
      <c r="A56" s="163"/>
      <c r="B56" s="25"/>
      <c r="C56" s="25"/>
      <c r="D56" s="25"/>
      <c r="E56" s="25"/>
      <c r="F56" s="25"/>
      <c r="G56" s="25"/>
      <c r="H56" s="25"/>
      <c r="I56" s="25"/>
      <c r="J56" s="25"/>
      <c r="K56" s="25"/>
      <c r="L56" s="216"/>
    </row>
    <row r="57" spans="1:12" ht="13.2">
      <c r="A57" s="163"/>
      <c r="B57" s="25"/>
      <c r="C57" s="25"/>
      <c r="D57" s="25"/>
      <c r="E57" s="25"/>
      <c r="F57" s="25"/>
      <c r="G57" s="25"/>
      <c r="H57" s="25"/>
      <c r="I57" s="25"/>
      <c r="J57" s="25"/>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J66" s="25"/>
      <c r="K66" s="25"/>
      <c r="L66" s="216"/>
    </row>
    <row r="67" spans="1:12" ht="13.2">
      <c r="A67" s="163"/>
      <c r="B67" s="25"/>
      <c r="J67" s="25"/>
      <c r="K67" s="25"/>
      <c r="L67" s="216"/>
    </row>
    <row r="68" spans="1:12" ht="13.2">
      <c r="A68" s="163"/>
      <c r="B68" s="25"/>
      <c r="J68" s="25"/>
      <c r="K68" s="25"/>
      <c r="L68" s="216"/>
    </row>
    <row r="69" spans="1:12" ht="13.2">
      <c r="A69" s="163"/>
      <c r="B69" s="25"/>
      <c r="J69" s="25"/>
      <c r="K69" s="25"/>
      <c r="L69" s="216"/>
    </row>
    <row r="70" spans="1:12">
      <c r="B70" s="216"/>
      <c r="C70" s="216"/>
      <c r="D70" s="216"/>
      <c r="E70" s="216"/>
      <c r="F70" s="216"/>
      <c r="G70" s="216"/>
      <c r="H70" s="216"/>
      <c r="I70" s="216"/>
      <c r="J70" s="216"/>
      <c r="K70" s="216"/>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sheetData>
  <mergeCells count="11">
    <mergeCell ref="A55:J55"/>
    <mergeCell ref="A33:C33"/>
    <mergeCell ref="A15:D15"/>
    <mergeCell ref="E15:J15"/>
    <mergeCell ref="A36:J36"/>
    <mergeCell ref="E33:J33"/>
    <mergeCell ref="A5:A6"/>
    <mergeCell ref="A2:J2"/>
    <mergeCell ref="A4:J4"/>
    <mergeCell ref="A12:J12"/>
    <mergeCell ref="A54:J5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zoomScalePageLayoutView="130" workbookViewId="0">
      <selection activeCell="K2" sqref="K2"/>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86" t="s">
        <v>0</v>
      </c>
      <c r="B3" s="886"/>
      <c r="C3" s="886"/>
      <c r="D3" s="886"/>
      <c r="E3" s="886"/>
      <c r="F3" s="886"/>
      <c r="G3" s="886"/>
      <c r="H3" s="886"/>
      <c r="I3" s="886"/>
      <c r="J3" s="886"/>
      <c r="K3" s="886"/>
      <c r="L3" s="886"/>
    </row>
    <row r="4" spans="1:12">
      <c r="A4" s="886"/>
      <c r="B4" s="886"/>
      <c r="C4" s="886"/>
      <c r="D4" s="886"/>
      <c r="E4" s="886"/>
      <c r="F4" s="886"/>
      <c r="G4" s="886"/>
      <c r="H4" s="886"/>
      <c r="I4" s="886"/>
      <c r="J4" s="886"/>
      <c r="K4" s="886"/>
      <c r="L4" s="886"/>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401</v>
      </c>
      <c r="B7" s="218"/>
      <c r="C7" s="25"/>
      <c r="D7" s="25"/>
      <c r="E7" s="25"/>
      <c r="F7" s="25"/>
      <c r="G7" s="25"/>
      <c r="H7" s="25"/>
      <c r="I7" s="25"/>
      <c r="J7" s="25"/>
      <c r="K7" s="25"/>
      <c r="L7" s="25"/>
    </row>
    <row r="8" spans="1:12" ht="17.25" customHeight="1">
      <c r="A8" s="25"/>
      <c r="B8" s="25" t="s">
        <v>553</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468</v>
      </c>
      <c r="B10" s="218"/>
      <c r="C10" s="25"/>
      <c r="D10" s="25"/>
      <c r="E10" s="25"/>
      <c r="F10" s="25"/>
      <c r="G10" s="25"/>
      <c r="H10" s="25"/>
      <c r="I10" s="25"/>
      <c r="J10" s="25"/>
      <c r="K10" s="25"/>
      <c r="L10" s="22"/>
    </row>
    <row r="11" spans="1:12" ht="19.5" customHeight="1">
      <c r="A11" s="27"/>
      <c r="B11" s="25" t="s">
        <v>449</v>
      </c>
      <c r="C11" s="25"/>
      <c r="D11" s="25"/>
      <c r="E11" s="25"/>
      <c r="F11" s="21"/>
      <c r="G11" s="21"/>
      <c r="H11" s="21"/>
      <c r="I11" s="21"/>
      <c r="J11" s="21"/>
      <c r="K11" s="21"/>
      <c r="L11" s="22" t="s">
        <v>2</v>
      </c>
    </row>
    <row r="12" spans="1:12" ht="19.5" customHeight="1">
      <c r="A12" s="27"/>
      <c r="B12" s="25" t="s">
        <v>381</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394</v>
      </c>
      <c r="B14" s="25"/>
      <c r="C14" s="25"/>
      <c r="D14" s="25"/>
      <c r="E14" s="25"/>
      <c r="F14" s="25"/>
      <c r="G14" s="25"/>
      <c r="H14" s="25"/>
      <c r="I14" s="25"/>
      <c r="J14" s="25"/>
      <c r="K14" s="25"/>
      <c r="L14" s="22"/>
    </row>
    <row r="15" spans="1:12" ht="19.5" customHeight="1">
      <c r="A15" s="27"/>
      <c r="B15" s="25" t="s">
        <v>370</v>
      </c>
      <c r="C15" s="25"/>
      <c r="D15" s="25"/>
      <c r="E15" s="25"/>
      <c r="F15" s="21"/>
      <c r="G15" s="21"/>
      <c r="H15" s="21"/>
      <c r="I15" s="21"/>
      <c r="J15" s="21"/>
      <c r="K15" s="21"/>
      <c r="L15" s="22" t="s">
        <v>3</v>
      </c>
    </row>
    <row r="16" spans="1:12" ht="19.5" customHeight="1">
      <c r="A16" s="27"/>
      <c r="B16" s="25" t="s">
        <v>379</v>
      </c>
      <c r="C16" s="25"/>
      <c r="D16" s="25"/>
      <c r="E16" s="25"/>
      <c r="F16" s="25"/>
      <c r="G16" s="21"/>
      <c r="H16" s="21"/>
      <c r="I16" s="21"/>
      <c r="J16" s="21"/>
      <c r="K16" s="21"/>
      <c r="L16" s="22" t="s">
        <v>4</v>
      </c>
    </row>
    <row r="17" spans="1:12" ht="19.5" customHeight="1">
      <c r="A17" s="27"/>
      <c r="B17" s="25" t="s">
        <v>371</v>
      </c>
      <c r="C17" s="25"/>
      <c r="D17" s="25"/>
      <c r="E17" s="25"/>
      <c r="F17" s="25"/>
      <c r="G17" s="21"/>
      <c r="H17" s="21"/>
      <c r="I17" s="21"/>
      <c r="J17" s="21"/>
      <c r="K17" s="21"/>
      <c r="L17" s="22" t="s">
        <v>5</v>
      </c>
    </row>
    <row r="18" spans="1:12" ht="19.5" customHeight="1">
      <c r="A18" s="27"/>
      <c r="B18" s="25" t="s">
        <v>372</v>
      </c>
      <c r="C18" s="25"/>
      <c r="D18" s="25"/>
      <c r="E18" s="25"/>
      <c r="F18" s="21"/>
      <c r="G18" s="21"/>
      <c r="H18" s="21"/>
      <c r="I18" s="21"/>
      <c r="J18" s="21"/>
      <c r="K18" s="21"/>
      <c r="L18" s="22" t="s">
        <v>6</v>
      </c>
    </row>
    <row r="19" spans="1:12" ht="19.5" customHeight="1">
      <c r="A19" s="27"/>
      <c r="B19" s="25" t="s">
        <v>373</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393</v>
      </c>
      <c r="B21" s="25"/>
      <c r="C21" s="25"/>
      <c r="D21" s="25"/>
      <c r="E21" s="25"/>
      <c r="F21" s="25"/>
      <c r="G21" s="25"/>
      <c r="H21" s="25"/>
      <c r="I21" s="25"/>
      <c r="J21" s="25"/>
      <c r="K21" s="25"/>
      <c r="L21" s="30"/>
    </row>
    <row r="22" spans="1:12" ht="19.5" customHeight="1">
      <c r="A22" s="25"/>
      <c r="B22" s="25" t="s">
        <v>395</v>
      </c>
      <c r="C22" s="25"/>
      <c r="D22" s="25"/>
      <c r="E22" s="25"/>
      <c r="F22" s="25"/>
      <c r="G22" s="21"/>
      <c r="H22" s="21"/>
      <c r="I22" s="21"/>
      <c r="J22" s="21"/>
      <c r="K22" s="21"/>
      <c r="L22" s="22" t="s">
        <v>9</v>
      </c>
    </row>
    <row r="23" spans="1:12" ht="19.5" customHeight="1">
      <c r="A23" s="31"/>
      <c r="B23" s="25" t="s">
        <v>439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252</v>
      </c>
      <c r="B25" s="25"/>
      <c r="C25" s="25"/>
      <c r="D25" s="25"/>
      <c r="E25" s="25"/>
      <c r="F25" s="25"/>
      <c r="G25" s="25"/>
      <c r="H25" s="25"/>
      <c r="I25" s="25"/>
      <c r="J25" s="25"/>
      <c r="K25" s="25"/>
      <c r="L25" s="30"/>
    </row>
    <row r="26" spans="1:12" ht="19.5" customHeight="1">
      <c r="A26" s="25"/>
      <c r="B26" s="25" t="s">
        <v>397</v>
      </c>
      <c r="C26" s="25"/>
      <c r="D26" s="25"/>
      <c r="E26" s="25"/>
      <c r="F26" s="21"/>
      <c r="G26" s="21"/>
      <c r="H26" s="21"/>
      <c r="I26" s="21"/>
      <c r="J26" s="21"/>
      <c r="K26" s="33"/>
      <c r="L26" s="22" t="s">
        <v>11</v>
      </c>
    </row>
    <row r="27" spans="1:12" ht="19.5" customHeight="1">
      <c r="A27" s="25"/>
      <c r="B27" s="25" t="s">
        <v>374</v>
      </c>
      <c r="C27" s="25"/>
      <c r="D27" s="25"/>
      <c r="E27" s="25"/>
      <c r="F27" s="25"/>
      <c r="G27" s="21"/>
      <c r="H27" s="21"/>
      <c r="I27" s="21"/>
      <c r="J27" s="21"/>
      <c r="K27" s="33"/>
      <c r="L27" s="22" t="s">
        <v>11</v>
      </c>
    </row>
    <row r="28" spans="1:12" ht="19.5" customHeight="1">
      <c r="A28" s="31"/>
      <c r="B28" s="25" t="s">
        <v>396</v>
      </c>
      <c r="C28" s="25"/>
      <c r="D28" s="25"/>
      <c r="E28" s="25"/>
      <c r="F28" s="21"/>
      <c r="G28" s="21"/>
      <c r="H28" s="33"/>
      <c r="I28" s="33"/>
      <c r="J28" s="33"/>
      <c r="K28" s="33"/>
      <c r="L28" s="22" t="s">
        <v>12</v>
      </c>
    </row>
    <row r="29" spans="1:12" ht="19.5" customHeight="1">
      <c r="A29" s="31"/>
      <c r="B29" s="25" t="s">
        <v>380</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386</v>
      </c>
      <c r="B31" s="25"/>
      <c r="C31" s="25"/>
      <c r="D31" s="25"/>
      <c r="E31" s="25"/>
      <c r="F31" s="25"/>
      <c r="G31" s="25"/>
      <c r="H31" s="25"/>
      <c r="I31" s="25"/>
      <c r="J31" s="25"/>
      <c r="K31" s="25"/>
      <c r="L31" s="22"/>
    </row>
    <row r="32" spans="1:12" ht="19.5" customHeight="1">
      <c r="A32" s="31"/>
      <c r="B32" s="25" t="s">
        <v>398</v>
      </c>
      <c r="C32" s="25"/>
      <c r="D32" s="25"/>
      <c r="E32" s="25"/>
      <c r="F32" s="25"/>
      <c r="G32" s="21"/>
      <c r="H32" s="21"/>
      <c r="I32" s="21"/>
      <c r="J32" s="21"/>
      <c r="K32" s="21"/>
      <c r="L32" s="22" t="s">
        <v>13</v>
      </c>
    </row>
    <row r="33" spans="1:12" ht="19.5" customHeight="1">
      <c r="A33" s="31"/>
      <c r="B33" s="25" t="s">
        <v>375</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376</v>
      </c>
      <c r="B35" s="26"/>
      <c r="C35" s="32"/>
      <c r="D35" s="26"/>
      <c r="E35" s="26"/>
      <c r="F35" s="26"/>
      <c r="G35" s="26"/>
      <c r="H35" s="26"/>
      <c r="I35" s="26"/>
      <c r="J35" s="26"/>
      <c r="K35" s="26"/>
      <c r="L35" s="22"/>
    </row>
    <row r="36" spans="1:12" ht="19.5" customHeight="1">
      <c r="A36" s="27"/>
      <c r="B36" s="25" t="s">
        <v>399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377</v>
      </c>
      <c r="B38" s="35"/>
      <c r="C38" s="25"/>
      <c r="D38" s="25"/>
      <c r="E38" s="25"/>
      <c r="F38" s="25"/>
      <c r="G38" s="25"/>
      <c r="H38" s="25"/>
      <c r="I38" s="25"/>
      <c r="J38" s="25"/>
      <c r="K38" s="25"/>
      <c r="L38" s="38"/>
    </row>
    <row r="39" spans="1:12" ht="19.5" customHeight="1">
      <c r="A39" s="27"/>
      <c r="B39" s="25" t="s">
        <v>378</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211</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400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8" orientation="portrait" r:id="rId1"/>
  <headerFooter>
    <oddHeader>&amp;R&amp;7Informe de la Operación Mensual- Julio 2020
INFSGI-MES-07-2020
13/08/2020
Versión: 01</oddHeader>
    <oddFooter>&amp;LCOES, 2020&amp;RDirección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zoomScaleNormal="100" zoomScaleSheetLayoutView="100" zoomScalePageLayoutView="140" workbookViewId="0">
      <selection activeCell="F46" sqref="F46"/>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3.42578125" customWidth="1"/>
    <col min="6" max="6" width="13.85546875" customWidth="1"/>
    <col min="7" max="7" width="14.42578125" customWidth="1"/>
  </cols>
  <sheetData>
    <row r="1" spans="1:8" ht="11.25" customHeight="1">
      <c r="A1" s="273" t="s">
        <v>275</v>
      </c>
      <c r="B1" s="272"/>
      <c r="C1" s="272"/>
      <c r="D1" s="272"/>
      <c r="E1" s="272"/>
      <c r="F1" s="272"/>
      <c r="G1" s="272"/>
    </row>
    <row r="2" spans="1:8" ht="14.25" customHeight="1">
      <c r="A2" s="986" t="s">
        <v>250</v>
      </c>
      <c r="B2" s="989" t="s">
        <v>54</v>
      </c>
      <c r="C2" s="992" t="str">
        <f>"ENERGÍA PRODUCIDA "&amp;UPPER('1. Resumen'!Q4)&amp;" "&amp;'1. Resumen'!Q5</f>
        <v>ENERGÍA PRODUCIDA JULIO 2020</v>
      </c>
      <c r="D2" s="992"/>
      <c r="E2" s="992"/>
      <c r="F2" s="992"/>
      <c r="G2" s="631" t="s">
        <v>276</v>
      </c>
      <c r="H2" s="203"/>
    </row>
    <row r="3" spans="1:8" ht="11.25" customHeight="1">
      <c r="A3" s="987"/>
      <c r="B3" s="990"/>
      <c r="C3" s="993" t="s">
        <v>277</v>
      </c>
      <c r="D3" s="993"/>
      <c r="E3" s="993"/>
      <c r="F3" s="994" t="str">
        <f>"TOTAL 
"&amp;UPPER('1. Resumen'!Q4)</f>
        <v>TOTAL 
JULIO</v>
      </c>
      <c r="G3" s="632" t="s">
        <v>278</v>
      </c>
      <c r="H3" s="194"/>
    </row>
    <row r="4" spans="1:8" ht="12.75" customHeight="1">
      <c r="A4" s="987"/>
      <c r="B4" s="990"/>
      <c r="C4" s="623" t="s">
        <v>215</v>
      </c>
      <c r="D4" s="623" t="s">
        <v>216</v>
      </c>
      <c r="E4" s="623" t="s">
        <v>279</v>
      </c>
      <c r="F4" s="995"/>
      <c r="G4" s="632">
        <v>2020</v>
      </c>
      <c r="H4" s="196"/>
    </row>
    <row r="5" spans="1:8" ht="11.25" customHeight="1">
      <c r="A5" s="988"/>
      <c r="B5" s="991"/>
      <c r="C5" s="624" t="s">
        <v>280</v>
      </c>
      <c r="D5" s="624" t="s">
        <v>280</v>
      </c>
      <c r="E5" s="624" t="s">
        <v>280</v>
      </c>
      <c r="F5" s="624" t="s">
        <v>280</v>
      </c>
      <c r="G5" s="633" t="s">
        <v>208</v>
      </c>
      <c r="H5" s="196"/>
    </row>
    <row r="6" spans="1:8" ht="9.75" customHeight="1">
      <c r="A6" s="694" t="s">
        <v>121</v>
      </c>
      <c r="B6" s="436" t="s">
        <v>86</v>
      </c>
      <c r="C6" s="437"/>
      <c r="D6" s="437"/>
      <c r="E6" s="437">
        <v>0</v>
      </c>
      <c r="F6" s="437">
        <v>0</v>
      </c>
      <c r="G6" s="690">
        <v>0</v>
      </c>
      <c r="H6" s="196"/>
    </row>
    <row r="7" spans="1:8" ht="9.75" customHeight="1">
      <c r="A7" s="676" t="s">
        <v>488</v>
      </c>
      <c r="B7" s="512"/>
      <c r="C7" s="513"/>
      <c r="D7" s="513"/>
      <c r="E7" s="513">
        <v>0</v>
      </c>
      <c r="F7" s="513">
        <v>0</v>
      </c>
      <c r="G7" s="680">
        <v>0</v>
      </c>
      <c r="H7" s="196"/>
    </row>
    <row r="8" spans="1:8" ht="9.75" customHeight="1">
      <c r="A8" s="694" t="s">
        <v>120</v>
      </c>
      <c r="B8" s="436" t="s">
        <v>63</v>
      </c>
      <c r="C8" s="437"/>
      <c r="D8" s="437"/>
      <c r="E8" s="437">
        <v>3012.9477500000003</v>
      </c>
      <c r="F8" s="437">
        <v>3012.9477500000003</v>
      </c>
      <c r="G8" s="690">
        <v>69143.177642500013</v>
      </c>
      <c r="H8" s="196"/>
    </row>
    <row r="9" spans="1:8" ht="9.75" customHeight="1">
      <c r="A9" s="676" t="s">
        <v>489</v>
      </c>
      <c r="B9" s="512"/>
      <c r="C9" s="513"/>
      <c r="D9" s="513"/>
      <c r="E9" s="513">
        <v>3012.9477500000003</v>
      </c>
      <c r="F9" s="513">
        <v>3012.9477500000003</v>
      </c>
      <c r="G9" s="680">
        <v>69143.177642500013</v>
      </c>
      <c r="H9" s="196"/>
    </row>
    <row r="10" spans="1:8" ht="9.75" customHeight="1">
      <c r="A10" s="674" t="s">
        <v>106</v>
      </c>
      <c r="B10" s="626" t="s">
        <v>83</v>
      </c>
      <c r="C10" s="627"/>
      <c r="D10" s="627"/>
      <c r="E10" s="627">
        <v>4273.3535975000004</v>
      </c>
      <c r="F10" s="627">
        <v>4273.3535975000004</v>
      </c>
      <c r="G10" s="679">
        <v>45972.628424999995</v>
      </c>
      <c r="H10" s="196"/>
    </row>
    <row r="11" spans="1:8" ht="9.75" customHeight="1">
      <c r="A11" s="676" t="s">
        <v>490</v>
      </c>
      <c r="B11" s="512"/>
      <c r="C11" s="513"/>
      <c r="D11" s="513"/>
      <c r="E11" s="513">
        <v>4273.3535975000004</v>
      </c>
      <c r="F11" s="513">
        <v>4273.3535975000004</v>
      </c>
      <c r="G11" s="680">
        <v>45972.628424999995</v>
      </c>
      <c r="H11" s="196"/>
    </row>
    <row r="12" spans="1:8" ht="9.75" customHeight="1">
      <c r="A12" s="674" t="s">
        <v>418</v>
      </c>
      <c r="B12" s="626" t="s">
        <v>420</v>
      </c>
      <c r="C12" s="627"/>
      <c r="D12" s="627"/>
      <c r="E12" s="627">
        <v>9296.1763950000004</v>
      </c>
      <c r="F12" s="627">
        <v>9296.1763950000004</v>
      </c>
      <c r="G12" s="679">
        <v>69675.046835000001</v>
      </c>
      <c r="H12" s="196"/>
    </row>
    <row r="13" spans="1:8" ht="9.75" customHeight="1">
      <c r="A13" s="676" t="s">
        <v>491</v>
      </c>
      <c r="B13" s="512"/>
      <c r="C13" s="513"/>
      <c r="D13" s="513"/>
      <c r="E13" s="513">
        <v>9296.1763950000004</v>
      </c>
      <c r="F13" s="513">
        <v>9296.1763950000004</v>
      </c>
      <c r="G13" s="680">
        <v>69675.046835000001</v>
      </c>
      <c r="H13" s="196"/>
    </row>
    <row r="14" spans="1:8" s="730" customFormat="1" ht="9.75" customHeight="1">
      <c r="A14" s="674" t="s">
        <v>457</v>
      </c>
      <c r="B14" s="626" t="s">
        <v>464</v>
      </c>
      <c r="C14" s="627"/>
      <c r="D14" s="627"/>
      <c r="E14" s="627">
        <v>3727.6</v>
      </c>
      <c r="F14" s="627">
        <v>3727.6</v>
      </c>
      <c r="G14" s="679">
        <v>37570.561499999996</v>
      </c>
      <c r="H14" s="196"/>
    </row>
    <row r="15" spans="1:8" s="730" customFormat="1" ht="13.5" customHeight="1">
      <c r="A15" s="744" t="s">
        <v>492</v>
      </c>
      <c r="B15" s="512"/>
      <c r="C15" s="513"/>
      <c r="D15" s="513"/>
      <c r="E15" s="513">
        <v>3727.6</v>
      </c>
      <c r="F15" s="513">
        <v>3727.6</v>
      </c>
      <c r="G15" s="680">
        <v>37570.561499999996</v>
      </c>
      <c r="H15" s="196"/>
    </row>
    <row r="16" spans="1:8" ht="9.75" customHeight="1">
      <c r="A16" s="674" t="s">
        <v>94</v>
      </c>
      <c r="B16" s="626" t="s">
        <v>281</v>
      </c>
      <c r="C16" s="627">
        <v>52447.161485000004</v>
      </c>
      <c r="D16" s="627"/>
      <c r="E16" s="627"/>
      <c r="F16" s="627">
        <v>52447.161485000004</v>
      </c>
      <c r="G16" s="679">
        <v>768342.13851500012</v>
      </c>
      <c r="H16" s="196"/>
    </row>
    <row r="17" spans="1:8" ht="9.75" customHeight="1">
      <c r="A17" s="676" t="s">
        <v>493</v>
      </c>
      <c r="B17" s="512"/>
      <c r="C17" s="513">
        <v>52447.161485000004</v>
      </c>
      <c r="D17" s="513"/>
      <c r="E17" s="513"/>
      <c r="F17" s="513">
        <v>52447.161485000004</v>
      </c>
      <c r="G17" s="680">
        <v>768342.13851500012</v>
      </c>
      <c r="H17" s="196"/>
    </row>
    <row r="18" spans="1:8" ht="10.5" customHeight="1">
      <c r="A18" s="674" t="s">
        <v>236</v>
      </c>
      <c r="B18" s="626" t="s">
        <v>282</v>
      </c>
      <c r="C18" s="627"/>
      <c r="D18" s="627">
        <v>0</v>
      </c>
      <c r="E18" s="627"/>
      <c r="F18" s="627">
        <v>0</v>
      </c>
      <c r="G18" s="679">
        <v>378.28250250000002</v>
      </c>
      <c r="H18" s="196"/>
    </row>
    <row r="19" spans="1:8" ht="10.5" customHeight="1">
      <c r="A19" s="676" t="s">
        <v>494</v>
      </c>
      <c r="B19" s="512"/>
      <c r="C19" s="513"/>
      <c r="D19" s="513">
        <v>0</v>
      </c>
      <c r="E19" s="513"/>
      <c r="F19" s="513">
        <v>0</v>
      </c>
      <c r="G19" s="680">
        <v>378.28250250000002</v>
      </c>
      <c r="H19" s="196"/>
    </row>
    <row r="20" spans="1:8" ht="9.75" customHeight="1">
      <c r="A20" s="674" t="s">
        <v>93</v>
      </c>
      <c r="B20" s="626" t="s">
        <v>283</v>
      </c>
      <c r="C20" s="627">
        <v>33745.023692499999</v>
      </c>
      <c r="D20" s="627"/>
      <c r="E20" s="627"/>
      <c r="F20" s="627">
        <v>33745.023692499999</v>
      </c>
      <c r="G20" s="679">
        <v>529333.75206750003</v>
      </c>
      <c r="H20" s="196"/>
    </row>
    <row r="21" spans="1:8" ht="9.75" customHeight="1">
      <c r="A21" s="674"/>
      <c r="B21" s="626" t="s">
        <v>284</v>
      </c>
      <c r="C21" s="627">
        <v>12635.3392675</v>
      </c>
      <c r="D21" s="627"/>
      <c r="E21" s="627"/>
      <c r="F21" s="627">
        <v>12635.3392675</v>
      </c>
      <c r="G21" s="679">
        <v>169378.478095</v>
      </c>
      <c r="H21" s="196"/>
    </row>
    <row r="22" spans="1:8" ht="9.75" customHeight="1">
      <c r="A22" s="676" t="s">
        <v>495</v>
      </c>
      <c r="B22" s="512"/>
      <c r="C22" s="513">
        <v>46380.362959999999</v>
      </c>
      <c r="D22" s="513"/>
      <c r="E22" s="513"/>
      <c r="F22" s="513">
        <v>46380.362959999999</v>
      </c>
      <c r="G22" s="680">
        <v>698712.23016250005</v>
      </c>
      <c r="H22" s="196"/>
    </row>
    <row r="23" spans="1:8" ht="9.75" customHeight="1">
      <c r="A23" s="674" t="s">
        <v>91</v>
      </c>
      <c r="B23" s="626" t="s">
        <v>285</v>
      </c>
      <c r="C23" s="627">
        <v>1004.2176575</v>
      </c>
      <c r="D23" s="627"/>
      <c r="E23" s="627"/>
      <c r="F23" s="627">
        <v>1004.2176575</v>
      </c>
      <c r="G23" s="679">
        <v>7480.1794725</v>
      </c>
      <c r="H23" s="196"/>
    </row>
    <row r="24" spans="1:8" ht="9.75" customHeight="1">
      <c r="A24" s="674"/>
      <c r="B24" s="626" t="s">
        <v>286</v>
      </c>
      <c r="C24" s="627">
        <v>412.18560250000002</v>
      </c>
      <c r="D24" s="627"/>
      <c r="E24" s="627"/>
      <c r="F24" s="627">
        <v>412.18560250000002</v>
      </c>
      <c r="G24" s="679">
        <v>2533.4169550000001</v>
      </c>
      <c r="H24" s="196"/>
    </row>
    <row r="25" spans="1:8" ht="9.75" customHeight="1">
      <c r="A25" s="674"/>
      <c r="B25" s="626" t="s">
        <v>287</v>
      </c>
      <c r="C25" s="627">
        <v>3450.950245</v>
      </c>
      <c r="D25" s="627"/>
      <c r="E25" s="627"/>
      <c r="F25" s="627">
        <v>3450.950245</v>
      </c>
      <c r="G25" s="679">
        <v>23583.739632499997</v>
      </c>
      <c r="H25" s="196"/>
    </row>
    <row r="26" spans="1:8" ht="9.75" customHeight="1">
      <c r="A26" s="674"/>
      <c r="B26" s="626" t="s">
        <v>288</v>
      </c>
      <c r="C26" s="627">
        <v>8895.0827100000006</v>
      </c>
      <c r="D26" s="627"/>
      <c r="E26" s="627"/>
      <c r="F26" s="627">
        <v>8895.0827100000006</v>
      </c>
      <c r="G26" s="679">
        <v>66552.733252500009</v>
      </c>
      <c r="H26" s="196"/>
    </row>
    <row r="27" spans="1:8" ht="9.75" customHeight="1">
      <c r="A27" s="674"/>
      <c r="B27" s="626" t="s">
        <v>289</v>
      </c>
      <c r="C27" s="627">
        <v>53421.481517499997</v>
      </c>
      <c r="D27" s="627"/>
      <c r="E27" s="627"/>
      <c r="F27" s="627">
        <v>53421.481517499997</v>
      </c>
      <c r="G27" s="679">
        <v>503975.52121499996</v>
      </c>
      <c r="H27" s="196"/>
    </row>
    <row r="28" spans="1:8" ht="9.75" customHeight="1">
      <c r="A28" s="674"/>
      <c r="B28" s="626" t="s">
        <v>290</v>
      </c>
      <c r="C28" s="627">
        <v>5012.9954625</v>
      </c>
      <c r="D28" s="627"/>
      <c r="E28" s="627"/>
      <c r="F28" s="627">
        <v>5012.9954625</v>
      </c>
      <c r="G28" s="679">
        <v>38438.938465000007</v>
      </c>
      <c r="H28" s="196"/>
    </row>
    <row r="29" spans="1:8" ht="9.75" customHeight="1">
      <c r="A29" s="674"/>
      <c r="B29" s="626" t="s">
        <v>291</v>
      </c>
      <c r="C29" s="627"/>
      <c r="D29" s="627">
        <v>0</v>
      </c>
      <c r="E29" s="627"/>
      <c r="F29" s="627">
        <v>0</v>
      </c>
      <c r="G29" s="679">
        <v>38.830157500000006</v>
      </c>
      <c r="H29" s="196"/>
    </row>
    <row r="30" spans="1:8" ht="9.75" customHeight="1">
      <c r="A30" s="674"/>
      <c r="B30" s="626" t="s">
        <v>292</v>
      </c>
      <c r="C30" s="627"/>
      <c r="D30" s="627">
        <v>3.5564125000000004</v>
      </c>
      <c r="E30" s="627"/>
      <c r="F30" s="627">
        <v>3.5564125000000004</v>
      </c>
      <c r="G30" s="679">
        <v>35.592874999999992</v>
      </c>
      <c r="H30" s="196"/>
    </row>
    <row r="31" spans="1:8" ht="9.75" customHeight="1">
      <c r="A31" s="674"/>
      <c r="B31" s="626" t="s">
        <v>293</v>
      </c>
      <c r="C31" s="627"/>
      <c r="D31" s="627">
        <v>0</v>
      </c>
      <c r="E31" s="627"/>
      <c r="F31" s="627">
        <v>0</v>
      </c>
      <c r="G31" s="679">
        <v>0</v>
      </c>
      <c r="H31" s="196"/>
    </row>
    <row r="32" spans="1:8" ht="9.75" customHeight="1">
      <c r="A32" s="676" t="s">
        <v>496</v>
      </c>
      <c r="B32" s="512"/>
      <c r="C32" s="513">
        <v>72196.913195000001</v>
      </c>
      <c r="D32" s="513">
        <v>3.5564125000000004</v>
      </c>
      <c r="E32" s="513"/>
      <c r="F32" s="513">
        <v>72200.469607499996</v>
      </c>
      <c r="G32" s="680">
        <v>642638.95202500001</v>
      </c>
      <c r="H32" s="196"/>
    </row>
    <row r="33" spans="1:8" ht="9.75" customHeight="1">
      <c r="A33" s="674" t="s">
        <v>114</v>
      </c>
      <c r="B33" s="626" t="s">
        <v>70</v>
      </c>
      <c r="C33" s="627"/>
      <c r="D33" s="627"/>
      <c r="E33" s="627">
        <v>1416.6281825000001</v>
      </c>
      <c r="F33" s="627">
        <v>1416.6281825000001</v>
      </c>
      <c r="G33" s="679">
        <v>19340.719920000003</v>
      </c>
      <c r="H33" s="196"/>
    </row>
    <row r="34" spans="1:8" ht="9.75" customHeight="1">
      <c r="A34" s="676" t="s">
        <v>497</v>
      </c>
      <c r="B34" s="512"/>
      <c r="C34" s="513"/>
      <c r="D34" s="513"/>
      <c r="E34" s="513">
        <v>1416.6281825000001</v>
      </c>
      <c r="F34" s="513">
        <v>1416.6281825000001</v>
      </c>
      <c r="G34" s="680">
        <v>19340.719920000003</v>
      </c>
      <c r="H34" s="196"/>
    </row>
    <row r="35" spans="1:8" ht="9.75" customHeight="1">
      <c r="A35" s="674" t="s">
        <v>92</v>
      </c>
      <c r="B35" s="626" t="s">
        <v>294</v>
      </c>
      <c r="C35" s="627">
        <v>92219.92339750001</v>
      </c>
      <c r="D35" s="627"/>
      <c r="E35" s="627"/>
      <c r="F35" s="627">
        <v>92219.92339750001</v>
      </c>
      <c r="G35" s="679">
        <v>689404.81563750003</v>
      </c>
      <c r="H35" s="196"/>
    </row>
    <row r="36" spans="1:8" ht="9.75" customHeight="1">
      <c r="A36" s="676" t="s">
        <v>498</v>
      </c>
      <c r="B36" s="512"/>
      <c r="C36" s="513">
        <v>92219.92339750001</v>
      </c>
      <c r="D36" s="513"/>
      <c r="E36" s="513"/>
      <c r="F36" s="513">
        <v>92219.92339750001</v>
      </c>
      <c r="G36" s="680">
        <v>689404.81563750003</v>
      </c>
      <c r="H36" s="196"/>
    </row>
    <row r="37" spans="1:8" ht="9.75" customHeight="1">
      <c r="A37" s="674" t="s">
        <v>101</v>
      </c>
      <c r="B37" s="626" t="s">
        <v>295</v>
      </c>
      <c r="C37" s="627">
        <v>5334.8220000000001</v>
      </c>
      <c r="D37" s="627"/>
      <c r="E37" s="627"/>
      <c r="F37" s="627">
        <v>5334.8220000000001</v>
      </c>
      <c r="G37" s="679">
        <v>37069.451999999997</v>
      </c>
      <c r="H37" s="196"/>
    </row>
    <row r="38" spans="1:8" ht="9.75" customHeight="1">
      <c r="A38" s="674"/>
      <c r="B38" s="626" t="s">
        <v>296</v>
      </c>
      <c r="C38" s="627">
        <v>4442.3339999999998</v>
      </c>
      <c r="D38" s="627"/>
      <c r="E38" s="627"/>
      <c r="F38" s="627">
        <v>4442.3339999999998</v>
      </c>
      <c r="G38" s="679">
        <v>26998.037999999997</v>
      </c>
      <c r="H38" s="196"/>
    </row>
    <row r="39" spans="1:8" ht="9.75" customHeight="1">
      <c r="A39" s="674"/>
      <c r="B39" s="626" t="s">
        <v>297</v>
      </c>
      <c r="C39" s="627"/>
      <c r="D39" s="627">
        <v>0</v>
      </c>
      <c r="E39" s="627"/>
      <c r="F39" s="627">
        <v>0</v>
      </c>
      <c r="G39" s="679">
        <v>8794.8599324999996</v>
      </c>
      <c r="H39" s="196"/>
    </row>
    <row r="40" spans="1:8" ht="9.75" customHeight="1">
      <c r="A40" s="676" t="s">
        <v>499</v>
      </c>
      <c r="B40" s="512"/>
      <c r="C40" s="513">
        <v>9777.155999999999</v>
      </c>
      <c r="D40" s="513">
        <v>0</v>
      </c>
      <c r="E40" s="513"/>
      <c r="F40" s="513">
        <v>9777.155999999999</v>
      </c>
      <c r="G40" s="680">
        <v>72862.349932499987</v>
      </c>
      <c r="H40" s="196"/>
    </row>
    <row r="41" spans="1:8" ht="19.5" customHeight="1">
      <c r="A41" s="688" t="s">
        <v>453</v>
      </c>
      <c r="B41" s="626" t="s">
        <v>75</v>
      </c>
      <c r="C41" s="627"/>
      <c r="D41" s="627"/>
      <c r="E41" s="627">
        <v>312.37861249999997</v>
      </c>
      <c r="F41" s="627">
        <v>312.37861249999997</v>
      </c>
      <c r="G41" s="679">
        <v>3012.1369525</v>
      </c>
      <c r="H41" s="196"/>
    </row>
    <row r="42" spans="1:8" ht="20.25" customHeight="1">
      <c r="A42" s="744" t="s">
        <v>500</v>
      </c>
      <c r="B42" s="512"/>
      <c r="C42" s="513"/>
      <c r="D42" s="513"/>
      <c r="E42" s="513">
        <v>312.37861249999997</v>
      </c>
      <c r="F42" s="513">
        <v>312.37861249999997</v>
      </c>
      <c r="G42" s="680">
        <v>3012.1369525</v>
      </c>
      <c r="H42" s="196"/>
    </row>
    <row r="43" spans="1:8" ht="9.75" customHeight="1">
      <c r="A43" s="674" t="s">
        <v>115</v>
      </c>
      <c r="B43" s="626" t="s">
        <v>73</v>
      </c>
      <c r="C43" s="627"/>
      <c r="D43" s="627"/>
      <c r="E43" s="627">
        <v>1492.6283625000001</v>
      </c>
      <c r="F43" s="627">
        <v>1492.6283625000001</v>
      </c>
      <c r="G43" s="679">
        <v>16222.361392500001</v>
      </c>
      <c r="H43" s="196"/>
    </row>
    <row r="44" spans="1:8" ht="9.75" customHeight="1">
      <c r="A44" s="676" t="s">
        <v>501</v>
      </c>
      <c r="B44" s="512"/>
      <c r="C44" s="513"/>
      <c r="D44" s="513"/>
      <c r="E44" s="513">
        <v>1492.6283625000001</v>
      </c>
      <c r="F44" s="513">
        <v>1492.6283625000001</v>
      </c>
      <c r="G44" s="680">
        <v>16222.361392500001</v>
      </c>
      <c r="H44" s="196"/>
    </row>
    <row r="45" spans="1:8" ht="9.75" customHeight="1">
      <c r="A45" s="674" t="s">
        <v>421</v>
      </c>
      <c r="B45" s="626" t="s">
        <v>424</v>
      </c>
      <c r="C45" s="627"/>
      <c r="D45" s="627"/>
      <c r="E45" s="627">
        <v>5128.8364674999993</v>
      </c>
      <c r="F45" s="627">
        <v>5128.8364674999993</v>
      </c>
      <c r="G45" s="679">
        <v>52565.525252500003</v>
      </c>
      <c r="H45" s="196"/>
    </row>
    <row r="46" spans="1:8" ht="9.75" customHeight="1">
      <c r="A46" s="676" t="s">
        <v>502</v>
      </c>
      <c r="B46" s="512"/>
      <c r="C46" s="513"/>
      <c r="D46" s="513"/>
      <c r="E46" s="513">
        <v>5128.8364674999993</v>
      </c>
      <c r="F46" s="513">
        <v>5128.8364674999993</v>
      </c>
      <c r="G46" s="680">
        <v>52565.525252500003</v>
      </c>
      <c r="H46" s="196"/>
    </row>
    <row r="47" spans="1:8" ht="9.75" customHeight="1">
      <c r="A47" s="674" t="s">
        <v>89</v>
      </c>
      <c r="B47" s="626" t="s">
        <v>298</v>
      </c>
      <c r="C47" s="627">
        <v>466437.58500000002</v>
      </c>
      <c r="D47" s="627"/>
      <c r="E47" s="627"/>
      <c r="F47" s="627">
        <v>466437.58500000002</v>
      </c>
      <c r="G47" s="679">
        <v>3134396.8428000002</v>
      </c>
      <c r="H47" s="196"/>
    </row>
    <row r="48" spans="1:8" ht="9.75" customHeight="1">
      <c r="A48" s="674"/>
      <c r="B48" s="626" t="s">
        <v>299</v>
      </c>
      <c r="C48" s="627">
        <v>153461.90640000001</v>
      </c>
      <c r="D48" s="627"/>
      <c r="E48" s="627"/>
      <c r="F48" s="627">
        <v>153461.90640000001</v>
      </c>
      <c r="G48" s="679">
        <v>1014559.5393600001</v>
      </c>
      <c r="H48" s="196"/>
    </row>
    <row r="49" spans="1:8" ht="9.75" customHeight="1">
      <c r="A49" s="674"/>
      <c r="B49" s="626" t="s">
        <v>300</v>
      </c>
      <c r="C49" s="627"/>
      <c r="D49" s="627">
        <v>0</v>
      </c>
      <c r="E49" s="627"/>
      <c r="F49" s="627">
        <v>0</v>
      </c>
      <c r="G49" s="679">
        <v>0</v>
      </c>
      <c r="H49" s="196"/>
    </row>
    <row r="50" spans="1:8" ht="9.75" customHeight="1">
      <c r="A50" s="676" t="s">
        <v>503</v>
      </c>
      <c r="B50" s="512"/>
      <c r="C50" s="513">
        <v>619899.49140000006</v>
      </c>
      <c r="D50" s="513">
        <v>0</v>
      </c>
      <c r="E50" s="513"/>
      <c r="F50" s="513">
        <v>619899.49140000006</v>
      </c>
      <c r="G50" s="680">
        <v>4148956.3821600005</v>
      </c>
      <c r="H50" s="196"/>
    </row>
    <row r="51" spans="1:8" ht="9.75" customHeight="1">
      <c r="A51" s="674" t="s">
        <v>237</v>
      </c>
      <c r="B51" s="626" t="s">
        <v>301</v>
      </c>
      <c r="C51" s="627">
        <v>66644.046505000006</v>
      </c>
      <c r="D51" s="627"/>
      <c r="E51" s="627"/>
      <c r="F51" s="627">
        <v>66644.046505000006</v>
      </c>
      <c r="G51" s="679">
        <v>1436803.3688074998</v>
      </c>
      <c r="H51" s="196"/>
    </row>
    <row r="52" spans="1:8" ht="9.75" customHeight="1">
      <c r="A52" s="674"/>
      <c r="B52" s="626" t="s">
        <v>302</v>
      </c>
      <c r="C52" s="627">
        <v>4719.1706974999997</v>
      </c>
      <c r="D52" s="627"/>
      <c r="E52" s="627"/>
      <c r="F52" s="627">
        <v>4719.1706974999997</v>
      </c>
      <c r="G52" s="679">
        <v>32211.799070000001</v>
      </c>
      <c r="H52" s="196"/>
    </row>
    <row r="53" spans="1:8" ht="9.75" customHeight="1">
      <c r="A53" s="676" t="s">
        <v>504</v>
      </c>
      <c r="B53" s="512"/>
      <c r="C53" s="513">
        <v>71363.217202500004</v>
      </c>
      <c r="D53" s="513"/>
      <c r="E53" s="513"/>
      <c r="F53" s="513">
        <v>71363.217202500004</v>
      </c>
      <c r="G53" s="680">
        <v>1469015.1678774997</v>
      </c>
      <c r="H53" s="196"/>
    </row>
    <row r="54" spans="1:8" ht="9.75" customHeight="1">
      <c r="A54" s="674" t="s">
        <v>238</v>
      </c>
      <c r="B54" s="626" t="s">
        <v>303</v>
      </c>
      <c r="C54" s="627">
        <v>36881.255449999997</v>
      </c>
      <c r="D54" s="627"/>
      <c r="E54" s="627"/>
      <c r="F54" s="627">
        <v>36881.255449999997</v>
      </c>
      <c r="G54" s="679">
        <v>239092.40265499998</v>
      </c>
      <c r="H54" s="196"/>
    </row>
    <row r="55" spans="1:8" ht="9.75" customHeight="1">
      <c r="A55" s="676" t="s">
        <v>505</v>
      </c>
      <c r="B55" s="512"/>
      <c r="C55" s="513">
        <v>36881.255449999997</v>
      </c>
      <c r="D55" s="513"/>
      <c r="E55" s="513"/>
      <c r="F55" s="513">
        <v>36881.255449999997</v>
      </c>
      <c r="G55" s="680">
        <v>239092.40265499998</v>
      </c>
      <c r="H55" s="111"/>
    </row>
    <row r="56" spans="1:8" ht="15.6">
      <c r="A56" s="678" t="s">
        <v>455</v>
      </c>
      <c r="B56" s="626" t="s">
        <v>65</v>
      </c>
      <c r="C56" s="627"/>
      <c r="D56" s="627"/>
      <c r="E56" s="627">
        <v>1572.7042524999999</v>
      </c>
      <c r="F56" s="627">
        <v>1572.7042524999999</v>
      </c>
      <c r="G56" s="679">
        <v>36406.153127500002</v>
      </c>
      <c r="H56" s="111"/>
    </row>
    <row r="57" spans="1:8" ht="9.75" customHeight="1">
      <c r="A57" s="674"/>
      <c r="B57" s="626" t="s">
        <v>64</v>
      </c>
      <c r="C57" s="627"/>
      <c r="D57" s="627"/>
      <c r="E57" s="627">
        <v>1665.435935</v>
      </c>
      <c r="F57" s="627">
        <v>1665.435935</v>
      </c>
      <c r="G57" s="679">
        <v>37236.594904999998</v>
      </c>
      <c r="H57" s="111"/>
    </row>
    <row r="58" spans="1:8" s="730" customFormat="1" ht="9.75" customHeight="1">
      <c r="A58" s="674"/>
      <c r="B58" s="626" t="s">
        <v>60</v>
      </c>
      <c r="C58" s="627"/>
      <c r="D58" s="627"/>
      <c r="E58" s="627">
        <v>2453.4559574999998</v>
      </c>
      <c r="F58" s="627">
        <v>2453.4559574999998</v>
      </c>
      <c r="G58" s="679">
        <v>63556.681355000001</v>
      </c>
      <c r="H58" s="111"/>
    </row>
    <row r="59" spans="1:8" s="730" customFormat="1" ht="9.75" customHeight="1">
      <c r="A59" s="674"/>
      <c r="B59" s="626" t="s">
        <v>57</v>
      </c>
      <c r="C59" s="627"/>
      <c r="D59" s="627"/>
      <c r="E59" s="627">
        <v>3239.5395349999999</v>
      </c>
      <c r="F59" s="627">
        <v>3239.5395349999999</v>
      </c>
      <c r="G59" s="679">
        <v>76657.837254999991</v>
      </c>
      <c r="H59" s="111"/>
    </row>
    <row r="60" spans="1:8" s="730" customFormat="1" ht="9.75" customHeight="1">
      <c r="A60" s="674"/>
      <c r="B60" s="626" t="s">
        <v>68</v>
      </c>
      <c r="C60" s="627"/>
      <c r="D60" s="627"/>
      <c r="E60" s="627">
        <v>1194.056785</v>
      </c>
      <c r="F60" s="627">
        <v>1194.056785</v>
      </c>
      <c r="G60" s="679">
        <v>19831.1815475</v>
      </c>
      <c r="H60" s="111"/>
    </row>
    <row r="61" spans="1:8" s="730" customFormat="1" ht="9.75" customHeight="1">
      <c r="A61" s="674"/>
      <c r="B61" s="626" t="s">
        <v>67</v>
      </c>
      <c r="C61" s="627"/>
      <c r="D61" s="627"/>
      <c r="E61" s="627">
        <v>1418.9316899999999</v>
      </c>
      <c r="F61" s="627">
        <v>1418.9316899999999</v>
      </c>
      <c r="G61" s="679">
        <v>22236.118080000004</v>
      </c>
      <c r="H61" s="111"/>
    </row>
    <row r="62" spans="1:8">
      <c r="A62" s="785" t="s">
        <v>506</v>
      </c>
      <c r="B62" s="512"/>
      <c r="C62" s="513"/>
      <c r="D62" s="513"/>
      <c r="E62" s="513">
        <v>11544.124155</v>
      </c>
      <c r="F62" s="513">
        <v>11544.124155</v>
      </c>
      <c r="G62" s="513">
        <v>255924.56627000001</v>
      </c>
      <c r="H62" s="111"/>
    </row>
    <row r="63" spans="1:8" ht="9.75" customHeight="1">
      <c r="A63" s="674" t="s">
        <v>88</v>
      </c>
      <c r="B63" s="626" t="s">
        <v>465</v>
      </c>
      <c r="C63" s="627">
        <v>50304.732547500003</v>
      </c>
      <c r="D63" s="627"/>
      <c r="E63" s="627"/>
      <c r="F63" s="627">
        <v>50304.732547500003</v>
      </c>
      <c r="G63" s="679">
        <v>377506.84249749995</v>
      </c>
      <c r="H63" s="111"/>
    </row>
    <row r="64" spans="1:8" ht="9.75" customHeight="1">
      <c r="A64" s="674"/>
      <c r="B64" s="626" t="s">
        <v>304</v>
      </c>
      <c r="C64" s="627">
        <v>19585.591500000002</v>
      </c>
      <c r="D64" s="627"/>
      <c r="E64" s="627"/>
      <c r="F64" s="627">
        <v>19585.591500000002</v>
      </c>
      <c r="G64" s="679">
        <v>118113.982345</v>
      </c>
      <c r="H64" s="197"/>
    </row>
    <row r="65" spans="1:8" ht="9.75" customHeight="1">
      <c r="A65" s="674"/>
      <c r="B65" s="626" t="s">
        <v>305</v>
      </c>
      <c r="C65" s="627">
        <v>89967.5737525</v>
      </c>
      <c r="D65" s="627"/>
      <c r="E65" s="627"/>
      <c r="F65" s="627">
        <v>89967.5737525</v>
      </c>
      <c r="G65" s="679">
        <v>701873.00420249999</v>
      </c>
      <c r="H65" s="197"/>
    </row>
    <row r="66" spans="1:8" ht="9.75" customHeight="1">
      <c r="A66" s="674"/>
      <c r="B66" s="626" t="s">
        <v>306</v>
      </c>
      <c r="C66" s="627">
        <v>61848.543545</v>
      </c>
      <c r="D66" s="627"/>
      <c r="E66" s="627"/>
      <c r="F66" s="627">
        <v>61848.543545</v>
      </c>
      <c r="G66" s="679">
        <v>568035.19981000002</v>
      </c>
      <c r="H66" s="197"/>
    </row>
    <row r="67" spans="1:8" ht="9.75" customHeight="1">
      <c r="A67" s="674"/>
      <c r="B67" s="626" t="s">
        <v>307</v>
      </c>
      <c r="C67" s="627">
        <v>40483.122457500001</v>
      </c>
      <c r="D67" s="627"/>
      <c r="E67" s="627"/>
      <c r="F67" s="627">
        <v>40483.122457500001</v>
      </c>
      <c r="G67" s="679">
        <v>304073.72003750002</v>
      </c>
      <c r="H67" s="197"/>
    </row>
    <row r="68" spans="1:8" ht="9.75" customHeight="1">
      <c r="A68" s="674"/>
      <c r="B68" s="626" t="s">
        <v>308</v>
      </c>
      <c r="C68" s="627"/>
      <c r="D68" s="627">
        <v>0</v>
      </c>
      <c r="E68" s="627"/>
      <c r="F68" s="627">
        <v>0</v>
      </c>
      <c r="G68" s="679">
        <v>6138.8860274999997</v>
      </c>
      <c r="H68" s="197"/>
    </row>
    <row r="69" spans="1:8" ht="9.75" customHeight="1">
      <c r="A69" s="674"/>
      <c r="B69" s="626" t="s">
        <v>309</v>
      </c>
      <c r="C69" s="627"/>
      <c r="D69" s="627">
        <v>5087.6632474999997</v>
      </c>
      <c r="E69" s="627"/>
      <c r="F69" s="627">
        <v>5087.6632474999997</v>
      </c>
      <c r="G69" s="679">
        <v>24797.560432500002</v>
      </c>
      <c r="H69" s="197"/>
    </row>
    <row r="70" spans="1:8" ht="9.75" customHeight="1">
      <c r="A70" s="674"/>
      <c r="B70" s="626" t="s">
        <v>310</v>
      </c>
      <c r="C70" s="627"/>
      <c r="D70" s="627">
        <v>325670.47859750001</v>
      </c>
      <c r="E70" s="627"/>
      <c r="F70" s="627">
        <v>325670.47859750001</v>
      </c>
      <c r="G70" s="679">
        <v>1036284.491015</v>
      </c>
    </row>
    <row r="71" spans="1:8" ht="9.75" customHeight="1">
      <c r="A71" s="674"/>
      <c r="B71" s="626" t="s">
        <v>416</v>
      </c>
      <c r="C71" s="627"/>
      <c r="D71" s="627"/>
      <c r="E71" s="627">
        <v>427.38747000000001</v>
      </c>
      <c r="F71" s="627">
        <v>427.38747000000001</v>
      </c>
      <c r="G71" s="679">
        <v>2609.7275725000004</v>
      </c>
    </row>
    <row r="72" spans="1:8" ht="9.75" customHeight="1">
      <c r="A72" s="676" t="s">
        <v>507</v>
      </c>
      <c r="B72" s="512"/>
      <c r="C72" s="513">
        <v>262189.56380250002</v>
      </c>
      <c r="D72" s="513">
        <v>330758.14184500003</v>
      </c>
      <c r="E72" s="513">
        <v>427.38747000000001</v>
      </c>
      <c r="F72" s="513">
        <v>593375.09311749996</v>
      </c>
      <c r="G72" s="680">
        <v>3139433.4139400003</v>
      </c>
    </row>
    <row r="73" spans="1:8" ht="9.75" customHeight="1">
      <c r="A73" s="674" t="s">
        <v>96</v>
      </c>
      <c r="B73" s="626" t="s">
        <v>311</v>
      </c>
      <c r="C73" s="627"/>
      <c r="D73" s="627">
        <v>131.27099250000001</v>
      </c>
      <c r="E73" s="627"/>
      <c r="F73" s="627">
        <v>131.27099250000001</v>
      </c>
      <c r="G73" s="679">
        <v>15336.0855875</v>
      </c>
    </row>
    <row r="74" spans="1:8" ht="9.75" customHeight="1">
      <c r="A74" s="674"/>
      <c r="B74" s="626" t="s">
        <v>312</v>
      </c>
      <c r="C74" s="627"/>
      <c r="D74" s="627">
        <v>66074.117737499997</v>
      </c>
      <c r="E74" s="627"/>
      <c r="F74" s="627">
        <v>66074.117737499997</v>
      </c>
      <c r="G74" s="679">
        <v>262033.39241999999</v>
      </c>
    </row>
    <row r="75" spans="1:8" ht="9.75" customHeight="1">
      <c r="A75" s="674"/>
      <c r="B75" s="626" t="s">
        <v>313</v>
      </c>
      <c r="C75" s="627"/>
      <c r="D75" s="627">
        <v>0</v>
      </c>
      <c r="E75" s="627"/>
      <c r="F75" s="627">
        <v>0</v>
      </c>
      <c r="G75" s="679">
        <v>16274.21371</v>
      </c>
    </row>
    <row r="76" spans="1:8">
      <c r="A76" s="785" t="s">
        <v>508</v>
      </c>
      <c r="B76" s="512"/>
      <c r="C76" s="513"/>
      <c r="D76" s="513">
        <v>66205.388729999991</v>
      </c>
      <c r="E76" s="513"/>
      <c r="F76" s="513">
        <v>66205.388729999991</v>
      </c>
      <c r="G76" s="680">
        <v>293643.69171749998</v>
      </c>
    </row>
    <row r="77" spans="1:8" ht="9.75" customHeight="1">
      <c r="A77" s="674" t="s">
        <v>98</v>
      </c>
      <c r="B77" s="626" t="s">
        <v>427</v>
      </c>
      <c r="C77" s="627"/>
      <c r="D77" s="627"/>
      <c r="E77" s="627">
        <v>33953.613977500005</v>
      </c>
      <c r="F77" s="627">
        <v>33953.613977500005</v>
      </c>
      <c r="G77" s="679">
        <v>229295.69395750001</v>
      </c>
    </row>
    <row r="78" spans="1:8" ht="9.75" customHeight="1">
      <c r="A78" s="674"/>
      <c r="B78" s="626" t="s">
        <v>426</v>
      </c>
      <c r="C78" s="627"/>
      <c r="D78" s="627"/>
      <c r="E78" s="627">
        <v>61208.444824999999</v>
      </c>
      <c r="F78" s="627">
        <v>61208.444824999999</v>
      </c>
      <c r="G78" s="679">
        <v>327499.38941250002</v>
      </c>
    </row>
    <row r="79" spans="1:8">
      <c r="A79" s="785" t="s">
        <v>509</v>
      </c>
      <c r="B79" s="512"/>
      <c r="C79" s="513"/>
      <c r="D79" s="513"/>
      <c r="E79" s="513">
        <v>95162.058802500003</v>
      </c>
      <c r="F79" s="513">
        <v>95162.058802500003</v>
      </c>
      <c r="G79" s="680">
        <v>556795.08337000001</v>
      </c>
    </row>
    <row r="80" spans="1:8" ht="9.75" customHeight="1">
      <c r="A80" s="674" t="s">
        <v>97</v>
      </c>
      <c r="B80" s="626" t="s">
        <v>77</v>
      </c>
      <c r="C80" s="627"/>
      <c r="D80" s="627"/>
      <c r="E80" s="627">
        <v>27029.502667500001</v>
      </c>
      <c r="F80" s="627">
        <v>27029.502667500001</v>
      </c>
      <c r="G80" s="679">
        <v>204321.45856999999</v>
      </c>
    </row>
    <row r="81" spans="1:7" ht="9.75" customHeight="1">
      <c r="A81" s="674"/>
      <c r="B81" s="626" t="s">
        <v>79</v>
      </c>
      <c r="C81" s="627"/>
      <c r="D81" s="627"/>
      <c r="E81" s="627">
        <v>14545.1924225</v>
      </c>
      <c r="F81" s="627">
        <v>14545.1924225</v>
      </c>
      <c r="G81" s="679">
        <v>71838.1690925</v>
      </c>
    </row>
    <row r="82" spans="1:7" ht="9.75" customHeight="1">
      <c r="A82" s="692" t="s">
        <v>510</v>
      </c>
      <c r="B82" s="634"/>
      <c r="C82" s="635"/>
      <c r="D82" s="635"/>
      <c r="E82" s="635">
        <v>41574.695090000001</v>
      </c>
      <c r="F82" s="635">
        <v>41574.695090000001</v>
      </c>
      <c r="G82" s="693">
        <v>276159.62766250002</v>
      </c>
    </row>
    <row r="83" spans="1:7" ht="9.75" customHeight="1">
      <c r="A83" s="331"/>
      <c r="B83" s="331"/>
      <c r="C83" s="438"/>
      <c r="D83" s="438"/>
      <c r="E83" s="438"/>
      <c r="F83" s="331"/>
      <c r="G83" s="331"/>
    </row>
    <row r="84" spans="1:7" ht="9.75" customHeight="1">
      <c r="A84" s="331"/>
      <c r="B84" s="331"/>
      <c r="C84" s="438"/>
      <c r="D84" s="438"/>
      <c r="E84" s="438"/>
      <c r="F84" s="331"/>
      <c r="G84" s="331"/>
    </row>
    <row r="85" spans="1:7" ht="9.75" customHeight="1">
      <c r="A85" s="331"/>
      <c r="B85" s="331"/>
      <c r="C85" s="438"/>
      <c r="D85" s="438"/>
      <c r="E85" s="438"/>
      <c r="F85" s="331"/>
      <c r="G85" s="331"/>
    </row>
    <row r="86" spans="1:7" ht="9.75" customHeight="1">
      <c r="A86" s="331"/>
      <c r="B86" s="331"/>
      <c r="C86" s="438"/>
      <c r="D86" s="438"/>
      <c r="E86" s="438"/>
      <c r="F86" s="331"/>
      <c r="G86" s="331"/>
    </row>
    <row r="87" spans="1:7" ht="9.75" customHeight="1">
      <c r="A87" s="331"/>
      <c r="B87" s="331"/>
      <c r="C87" s="438"/>
      <c r="D87" s="438"/>
      <c r="E87" s="438"/>
      <c r="F87" s="331"/>
      <c r="G87" s="331"/>
    </row>
    <row r="88" spans="1:7" ht="9.75" customHeight="1">
      <c r="A88" s="331"/>
      <c r="B88" s="331"/>
      <c r="C88" s="438"/>
      <c r="D88" s="438"/>
      <c r="E88" s="438"/>
      <c r="F88" s="331"/>
      <c r="G88" s="331"/>
    </row>
    <row r="89" spans="1:7" ht="9.75" customHeight="1">
      <c r="A89" s="331"/>
      <c r="B89" s="331"/>
      <c r="C89" s="438"/>
      <c r="D89" s="438"/>
      <c r="E89" s="438"/>
      <c r="F89" s="331"/>
      <c r="G89" s="331"/>
    </row>
    <row r="90" spans="1:7" ht="9.75" customHeight="1">
      <c r="A90" s="331"/>
      <c r="B90" s="331"/>
      <c r="C90" s="438"/>
      <c r="D90" s="438"/>
      <c r="E90" s="438"/>
      <c r="F90" s="331"/>
      <c r="G90" s="331"/>
    </row>
    <row r="91" spans="1:7" ht="9.75" customHeight="1">
      <c r="A91" s="331"/>
      <c r="B91" s="331"/>
      <c r="C91" s="438"/>
      <c r="D91" s="438"/>
      <c r="E91" s="438"/>
      <c r="F91" s="331"/>
      <c r="G91" s="331"/>
    </row>
    <row r="92" spans="1:7" ht="9.75" customHeight="1">
      <c r="A92" s="331"/>
      <c r="B92" s="331"/>
      <c r="C92" s="438"/>
      <c r="D92" s="438"/>
      <c r="E92" s="438"/>
      <c r="F92" s="331"/>
      <c r="G92" s="331"/>
    </row>
    <row r="93" spans="1:7" ht="9.75" customHeight="1">
      <c r="A93" s="331"/>
      <c r="B93" s="331"/>
      <c r="C93" s="438"/>
      <c r="D93" s="438"/>
      <c r="E93" s="438"/>
      <c r="F93" s="331"/>
      <c r="G93" s="331"/>
    </row>
    <row r="94" spans="1:7" ht="9.75" customHeight="1">
      <c r="A94" s="331"/>
      <c r="B94" s="331"/>
      <c r="C94" s="438"/>
      <c r="D94" s="438"/>
      <c r="E94" s="438"/>
      <c r="F94" s="331"/>
      <c r="G94" s="331"/>
    </row>
    <row r="95" spans="1:7" ht="9.75" customHeight="1">
      <c r="A95" s="331"/>
      <c r="B95" s="331"/>
      <c r="C95" s="438"/>
      <c r="D95" s="438"/>
      <c r="E95" s="438"/>
      <c r="F95" s="331"/>
      <c r="G95" s="331"/>
    </row>
    <row r="96" spans="1:7" ht="9.75" customHeight="1">
      <c r="A96" s="331"/>
      <c r="B96" s="331"/>
      <c r="C96" s="438"/>
      <c r="D96" s="438"/>
      <c r="E96" s="438"/>
      <c r="F96" s="331"/>
      <c r="G96" s="331"/>
    </row>
    <row r="97" spans="1:7" ht="9.75" customHeight="1">
      <c r="A97" s="331"/>
      <c r="B97" s="331"/>
      <c r="C97" s="438"/>
      <c r="D97" s="438"/>
      <c r="E97" s="438"/>
      <c r="F97" s="331"/>
      <c r="G97" s="331"/>
    </row>
    <row r="98" spans="1:7" ht="9.75" customHeight="1">
      <c r="A98" s="331"/>
      <c r="B98" s="331"/>
      <c r="C98" s="438"/>
      <c r="D98" s="438"/>
      <c r="E98" s="438"/>
      <c r="F98" s="331"/>
      <c r="G98" s="331"/>
    </row>
    <row r="99" spans="1:7" ht="9.75" customHeight="1">
      <c r="A99" s="331"/>
      <c r="B99" s="331"/>
      <c r="C99" s="438"/>
      <c r="D99" s="438"/>
      <c r="E99" s="438"/>
      <c r="F99" s="331"/>
      <c r="G99" s="331"/>
    </row>
    <row r="100" spans="1:7" ht="9.75" customHeight="1">
      <c r="A100" s="331"/>
      <c r="B100" s="331"/>
      <c r="C100" s="438"/>
      <c r="D100" s="438"/>
      <c r="E100" s="438"/>
      <c r="F100" s="331"/>
      <c r="G100" s="331"/>
    </row>
    <row r="101" spans="1:7" ht="9.75" customHeight="1">
      <c r="A101" s="331"/>
      <c r="B101" s="331"/>
      <c r="C101" s="438"/>
      <c r="D101" s="438"/>
      <c r="E101" s="438"/>
      <c r="F101" s="331"/>
      <c r="G101" s="331"/>
    </row>
    <row r="102" spans="1:7" ht="9.75" customHeight="1">
      <c r="A102" s="331"/>
      <c r="B102" s="331"/>
      <c r="C102" s="438"/>
      <c r="D102" s="438"/>
      <c r="E102" s="438"/>
      <c r="F102" s="331"/>
      <c r="G102" s="331"/>
    </row>
    <row r="103" spans="1:7" ht="9.75" customHeight="1">
      <c r="A103" s="331"/>
      <c r="B103" s="331"/>
      <c r="C103" s="438"/>
      <c r="D103" s="438"/>
      <c r="E103" s="438"/>
      <c r="F103" s="331"/>
      <c r="G103" s="331"/>
    </row>
    <row r="104" spans="1:7" ht="9.75" customHeight="1">
      <c r="A104" s="331"/>
      <c r="B104" s="331"/>
      <c r="C104" s="438"/>
      <c r="D104" s="438"/>
      <c r="E104" s="438"/>
      <c r="F104" s="331"/>
      <c r="G104" s="331"/>
    </row>
    <row r="105" spans="1:7" ht="9.75" customHeight="1">
      <c r="A105" s="331"/>
      <c r="B105" s="331"/>
      <c r="C105" s="438"/>
      <c r="D105" s="438"/>
      <c r="E105" s="438"/>
      <c r="F105" s="331"/>
      <c r="G105" s="331"/>
    </row>
    <row r="106" spans="1:7" ht="9.75" customHeight="1">
      <c r="A106" s="331"/>
      <c r="B106" s="331"/>
      <c r="C106" s="438"/>
      <c r="D106" s="438"/>
      <c r="E106" s="438"/>
      <c r="F106" s="331"/>
      <c r="G106" s="331"/>
    </row>
    <row r="107" spans="1:7" ht="9.75" customHeight="1">
      <c r="A107" s="331"/>
      <c r="B107" s="331"/>
      <c r="C107" s="438"/>
      <c r="D107" s="438"/>
      <c r="E107" s="438"/>
      <c r="F107" s="331"/>
      <c r="G107" s="331"/>
    </row>
    <row r="108" spans="1:7" ht="9.75" customHeight="1">
      <c r="A108" s="331"/>
      <c r="B108" s="331"/>
      <c r="C108" s="438"/>
      <c r="D108" s="438"/>
      <c r="E108" s="438"/>
      <c r="F108" s="331"/>
      <c r="G108" s="331"/>
    </row>
    <row r="109" spans="1:7" ht="9.75" customHeight="1">
      <c r="A109" s="331"/>
      <c r="B109" s="331"/>
      <c r="C109" s="438"/>
      <c r="D109" s="438"/>
      <c r="E109" s="438"/>
      <c r="F109" s="331"/>
      <c r="G109" s="331"/>
    </row>
    <row r="110" spans="1:7" ht="9.75" customHeight="1">
      <c r="A110" s="331"/>
      <c r="B110" s="331"/>
      <c r="C110" s="438"/>
      <c r="D110" s="438"/>
      <c r="E110" s="438"/>
      <c r="F110" s="331"/>
      <c r="G110" s="331"/>
    </row>
    <row r="111" spans="1:7" ht="9.75" customHeight="1">
      <c r="A111" s="331"/>
      <c r="B111" s="331"/>
      <c r="C111" s="438"/>
      <c r="D111" s="438"/>
      <c r="E111" s="438"/>
      <c r="F111" s="331"/>
      <c r="G111" s="331"/>
    </row>
    <row r="112" spans="1:7" ht="9.75" customHeight="1">
      <c r="A112" s="331"/>
      <c r="B112" s="331"/>
      <c r="C112" s="438"/>
      <c r="D112" s="438"/>
      <c r="E112" s="438"/>
      <c r="F112" s="331"/>
      <c r="G112" s="331"/>
    </row>
    <row r="113" spans="1:7" ht="9.75" customHeight="1">
      <c r="A113" s="331"/>
      <c r="B113" s="331"/>
      <c r="C113" s="438"/>
      <c r="D113" s="438"/>
      <c r="E113" s="438"/>
      <c r="F113" s="331"/>
      <c r="G113" s="331"/>
    </row>
    <row r="114" spans="1:7" ht="9.75" customHeight="1">
      <c r="A114" s="331"/>
      <c r="B114" s="331"/>
      <c r="C114" s="438"/>
      <c r="D114" s="438"/>
      <c r="E114" s="438"/>
      <c r="F114" s="331"/>
      <c r="G114" s="331"/>
    </row>
    <row r="115" spans="1:7" ht="9.75" customHeight="1">
      <c r="A115" s="331"/>
      <c r="B115" s="331"/>
      <c r="C115" s="438"/>
      <c r="D115" s="438"/>
      <c r="E115" s="438"/>
      <c r="F115" s="331"/>
      <c r="G115" s="331"/>
    </row>
    <row r="116" spans="1:7" ht="9.75" customHeight="1">
      <c r="A116" s="331"/>
      <c r="B116" s="331"/>
      <c r="C116" s="438"/>
      <c r="D116" s="438"/>
      <c r="E116" s="438"/>
      <c r="F116" s="331"/>
      <c r="G116" s="331"/>
    </row>
    <row r="117" spans="1:7" ht="9.75" customHeight="1">
      <c r="A117" s="331"/>
      <c r="B117" s="331"/>
      <c r="C117" s="438"/>
      <c r="D117" s="438"/>
      <c r="E117" s="438"/>
      <c r="F117" s="331"/>
      <c r="G117" s="331"/>
    </row>
    <row r="118" spans="1:7" ht="9.75" customHeight="1">
      <c r="A118" s="331"/>
      <c r="B118" s="331"/>
      <c r="C118" s="438"/>
      <c r="D118" s="438"/>
      <c r="E118" s="438"/>
      <c r="F118" s="331"/>
      <c r="G118" s="331"/>
    </row>
    <row r="119" spans="1:7" ht="9.75" customHeight="1">
      <c r="A119" s="331"/>
      <c r="B119" s="331"/>
      <c r="C119" s="438"/>
      <c r="D119" s="438"/>
      <c r="E119" s="438"/>
      <c r="F119" s="331"/>
      <c r="G119" s="331"/>
    </row>
    <row r="120" spans="1:7" ht="9.75" customHeight="1">
      <c r="A120" s="331"/>
      <c r="B120" s="331"/>
      <c r="C120" s="438"/>
      <c r="D120" s="438"/>
      <c r="E120" s="438"/>
      <c r="F120" s="331"/>
      <c r="G120" s="331"/>
    </row>
    <row r="121" spans="1:7" ht="9.75" customHeight="1">
      <c r="A121" s="331"/>
      <c r="B121" s="331"/>
      <c r="C121" s="438"/>
      <c r="D121" s="438"/>
      <c r="E121" s="438"/>
      <c r="F121" s="331"/>
      <c r="G121" s="331"/>
    </row>
    <row r="122" spans="1:7" ht="9.75" customHeight="1">
      <c r="A122" s="331"/>
      <c r="B122" s="331"/>
      <c r="C122" s="438"/>
      <c r="D122" s="438"/>
      <c r="E122" s="438"/>
      <c r="F122" s="331"/>
      <c r="G122" s="331"/>
    </row>
    <row r="123" spans="1:7" ht="9.75" customHeight="1">
      <c r="A123" s="331"/>
      <c r="B123" s="331"/>
      <c r="C123" s="438"/>
      <c r="D123" s="438"/>
      <c r="E123" s="438"/>
      <c r="F123" s="331"/>
      <c r="G123" s="331"/>
    </row>
    <row r="124" spans="1:7" ht="9.75" customHeight="1">
      <c r="A124" s="331"/>
      <c r="B124" s="331"/>
      <c r="C124" s="438"/>
      <c r="D124" s="438"/>
      <c r="E124" s="438"/>
      <c r="F124" s="331"/>
      <c r="G124" s="331"/>
    </row>
    <row r="125" spans="1:7" ht="9.75" customHeight="1">
      <c r="A125" s="331"/>
      <c r="B125" s="331"/>
      <c r="C125" s="438"/>
      <c r="D125" s="438"/>
      <c r="E125" s="438"/>
      <c r="F125" s="331"/>
      <c r="G125" s="331"/>
    </row>
    <row r="126" spans="1:7" ht="9.75" customHeight="1">
      <c r="A126" s="331"/>
      <c r="B126" s="331"/>
      <c r="C126" s="438"/>
      <c r="D126" s="438"/>
      <c r="E126" s="438"/>
      <c r="F126" s="331"/>
      <c r="G126" s="331"/>
    </row>
    <row r="127" spans="1:7" ht="9.75" customHeight="1">
      <c r="A127" s="331"/>
      <c r="B127" s="331"/>
      <c r="C127" s="438"/>
      <c r="D127" s="438"/>
      <c r="E127" s="438"/>
      <c r="F127" s="331"/>
      <c r="G127" s="331"/>
    </row>
    <row r="128" spans="1:7" ht="9.75" customHeight="1">
      <c r="A128" s="331"/>
      <c r="B128" s="331"/>
      <c r="C128" s="438"/>
      <c r="D128" s="438"/>
      <c r="E128" s="438"/>
      <c r="F128" s="331"/>
      <c r="G128" s="331"/>
    </row>
    <row r="129" spans="1:7" ht="9.75" customHeight="1">
      <c r="A129" s="331"/>
      <c r="B129" s="331"/>
      <c r="C129" s="438"/>
      <c r="D129" s="438"/>
      <c r="E129" s="438"/>
      <c r="F129" s="331"/>
      <c r="G129" s="331"/>
    </row>
    <row r="130" spans="1:7" ht="9.75" customHeight="1">
      <c r="A130" s="331"/>
      <c r="B130" s="331"/>
      <c r="C130" s="438"/>
      <c r="D130" s="438"/>
      <c r="E130" s="438"/>
      <c r="F130" s="331"/>
      <c r="G130" s="331"/>
    </row>
    <row r="131" spans="1:7" ht="9.75" customHeight="1">
      <c r="A131" s="331"/>
      <c r="B131" s="331"/>
      <c r="C131" s="438"/>
      <c r="D131" s="438"/>
      <c r="E131" s="438"/>
      <c r="F131" s="331"/>
      <c r="G131" s="331"/>
    </row>
    <row r="132" spans="1:7" ht="9.75" customHeight="1">
      <c r="A132" s="331"/>
      <c r="B132" s="331"/>
      <c r="C132" s="438"/>
      <c r="D132" s="438"/>
      <c r="E132" s="438"/>
      <c r="F132" s="331"/>
      <c r="G132" s="331"/>
    </row>
    <row r="133" spans="1:7" ht="9.75" customHeight="1">
      <c r="A133" s="331"/>
      <c r="B133" s="331"/>
      <c r="C133" s="438"/>
      <c r="D133" s="438"/>
      <c r="E133" s="438"/>
      <c r="F133" s="331"/>
      <c r="G133" s="331"/>
    </row>
    <row r="134" spans="1:7" ht="9.75" customHeight="1">
      <c r="A134" s="331"/>
      <c r="B134" s="331"/>
      <c r="C134" s="438"/>
      <c r="D134" s="438"/>
      <c r="E134" s="438"/>
      <c r="F134" s="331"/>
      <c r="G134" s="331"/>
    </row>
    <row r="135" spans="1:7" ht="9.75" customHeight="1">
      <c r="A135" s="331"/>
      <c r="B135" s="331"/>
      <c r="C135" s="438"/>
      <c r="D135" s="438"/>
      <c r="E135" s="438"/>
      <c r="F135" s="331"/>
      <c r="G135" s="331"/>
    </row>
    <row r="136" spans="1:7" ht="9.75" customHeight="1">
      <c r="A136" s="331"/>
      <c r="B136" s="331"/>
      <c r="C136" s="438"/>
      <c r="D136" s="438"/>
      <c r="E136" s="438"/>
      <c r="F136" s="331"/>
      <c r="G136" s="331"/>
    </row>
    <row r="137" spans="1:7" ht="9.75" customHeight="1">
      <c r="A137" s="331"/>
      <c r="B137" s="331"/>
      <c r="C137" s="438"/>
      <c r="D137" s="438"/>
      <c r="E137" s="438"/>
      <c r="F137" s="331"/>
      <c r="G137" s="331"/>
    </row>
    <row r="138" spans="1:7" ht="9.75" customHeight="1">
      <c r="A138" s="331"/>
      <c r="B138" s="331"/>
      <c r="C138" s="438"/>
      <c r="D138" s="438"/>
      <c r="E138" s="438"/>
      <c r="F138" s="331"/>
      <c r="G138" s="331"/>
    </row>
    <row r="139" spans="1:7" ht="9.75" customHeight="1">
      <c r="A139" s="331"/>
      <c r="B139" s="331"/>
      <c r="C139" s="438"/>
      <c r="D139" s="438"/>
      <c r="E139" s="438"/>
      <c r="F139" s="331"/>
      <c r="G139" s="331"/>
    </row>
    <row r="140" spans="1:7" ht="9.75" customHeight="1">
      <c r="A140" s="331"/>
      <c r="B140" s="331"/>
      <c r="C140" s="438"/>
      <c r="D140" s="438"/>
      <c r="E140" s="438"/>
      <c r="F140" s="331"/>
      <c r="G140" s="331"/>
    </row>
    <row r="141" spans="1:7" ht="9.75" customHeight="1">
      <c r="A141" s="331"/>
      <c r="B141" s="331"/>
      <c r="C141" s="438"/>
      <c r="D141" s="438"/>
      <c r="E141" s="438"/>
      <c r="F141" s="331"/>
      <c r="G141" s="331"/>
    </row>
    <row r="142" spans="1:7" ht="9.75" customHeight="1">
      <c r="A142" s="331"/>
      <c r="B142" s="331"/>
      <c r="C142" s="438"/>
      <c r="D142" s="438"/>
      <c r="E142" s="438"/>
      <c r="F142" s="331"/>
      <c r="G142" s="331"/>
    </row>
    <row r="143" spans="1:7" ht="9.75" customHeight="1">
      <c r="A143" s="331"/>
      <c r="B143" s="331"/>
      <c r="C143" s="438"/>
      <c r="D143" s="438"/>
      <c r="E143" s="438"/>
      <c r="F143" s="331"/>
      <c r="G143" s="331"/>
    </row>
    <row r="144" spans="1:7" ht="9.75" customHeight="1">
      <c r="A144" s="331"/>
      <c r="B144" s="331"/>
      <c r="C144" s="438"/>
      <c r="D144" s="438"/>
      <c r="E144" s="438"/>
      <c r="F144" s="331"/>
      <c r="G144" s="331"/>
    </row>
    <row r="145" spans="1:7" ht="9.75" customHeight="1">
      <c r="A145" s="331"/>
      <c r="B145" s="331"/>
      <c r="C145" s="438"/>
      <c r="D145" s="438"/>
      <c r="E145" s="438"/>
      <c r="F145" s="331"/>
      <c r="G145" s="331"/>
    </row>
    <row r="146" spans="1:7" ht="9.75" customHeight="1">
      <c r="A146" s="331"/>
      <c r="B146" s="331"/>
      <c r="C146" s="438"/>
      <c r="D146" s="438"/>
      <c r="E146" s="438"/>
      <c r="F146" s="331"/>
      <c r="G146" s="331"/>
    </row>
    <row r="147" spans="1:7" ht="9.75" customHeight="1">
      <c r="A147" s="331"/>
      <c r="B147" s="331"/>
      <c r="C147" s="438"/>
      <c r="D147" s="438"/>
      <c r="E147" s="438"/>
      <c r="F147" s="331"/>
      <c r="G147" s="331"/>
    </row>
    <row r="148" spans="1:7" ht="9.75" customHeight="1">
      <c r="A148" s="331"/>
      <c r="B148" s="331"/>
      <c r="C148" s="438"/>
      <c r="D148" s="438"/>
      <c r="E148" s="438"/>
      <c r="F148" s="331"/>
      <c r="G148" s="331"/>
    </row>
    <row r="149" spans="1:7" ht="9.75" customHeight="1">
      <c r="A149" s="331"/>
      <c r="B149" s="331"/>
      <c r="C149" s="438"/>
      <c r="D149" s="438"/>
      <c r="E149" s="438"/>
      <c r="F149" s="331"/>
      <c r="G149" s="331"/>
    </row>
    <row r="150" spans="1:7" ht="9.75" customHeight="1">
      <c r="A150" s="331"/>
      <c r="B150" s="331"/>
      <c r="C150" s="438"/>
      <c r="D150" s="438"/>
      <c r="E150" s="438"/>
      <c r="F150" s="331"/>
      <c r="G150" s="331"/>
    </row>
    <row r="151" spans="1:7" ht="9.75" customHeight="1">
      <c r="A151" s="331"/>
      <c r="B151" s="331"/>
      <c r="C151" s="438"/>
      <c r="D151" s="438"/>
      <c r="E151" s="438"/>
      <c r="F151" s="331"/>
      <c r="G151" s="331"/>
    </row>
    <row r="152" spans="1:7" ht="9.75" customHeight="1">
      <c r="A152" s="331"/>
      <c r="B152" s="331"/>
      <c r="C152" s="438"/>
      <c r="D152" s="438"/>
      <c r="E152" s="438"/>
      <c r="F152" s="331"/>
      <c r="G152" s="331"/>
    </row>
    <row r="153" spans="1:7" ht="9.75" customHeight="1">
      <c r="A153" s="331"/>
      <c r="B153" s="331"/>
      <c r="C153" s="438"/>
      <c r="D153" s="438"/>
      <c r="E153" s="438"/>
      <c r="F153" s="331"/>
      <c r="G153" s="331"/>
    </row>
    <row r="154" spans="1:7" ht="9.75" customHeight="1">
      <c r="A154" s="331"/>
      <c r="B154" s="331"/>
      <c r="C154" s="438"/>
      <c r="D154" s="438"/>
      <c r="E154" s="438"/>
      <c r="F154" s="331"/>
      <c r="G154" s="331"/>
    </row>
    <row r="155" spans="1:7" ht="9.75" customHeight="1">
      <c r="A155" s="331"/>
      <c r="B155" s="331"/>
      <c r="C155" s="438"/>
      <c r="D155" s="438"/>
      <c r="E155" s="438"/>
      <c r="F155" s="331"/>
      <c r="G155" s="331"/>
    </row>
    <row r="156" spans="1:7" ht="9.75" customHeight="1">
      <c r="A156" s="331"/>
      <c r="B156" s="331"/>
      <c r="C156" s="438"/>
      <c r="D156" s="438"/>
      <c r="E156" s="438"/>
      <c r="F156" s="331"/>
      <c r="G156" s="331"/>
    </row>
    <row r="157" spans="1:7" ht="9.75" customHeight="1">
      <c r="A157" s="331"/>
      <c r="B157" s="331"/>
      <c r="C157" s="438"/>
      <c r="D157" s="438"/>
      <c r="E157" s="438"/>
      <c r="F157" s="331"/>
      <c r="G157" s="331"/>
    </row>
    <row r="158" spans="1:7" ht="9.75" customHeight="1">
      <c r="A158" s="331"/>
      <c r="B158" s="331"/>
      <c r="C158" s="438"/>
      <c r="D158" s="438"/>
      <c r="E158" s="438"/>
      <c r="F158" s="331"/>
      <c r="G158" s="331"/>
    </row>
    <row r="159" spans="1:7" ht="9.75" customHeight="1">
      <c r="A159" s="331"/>
      <c r="B159" s="331"/>
      <c r="C159" s="438"/>
      <c r="D159" s="438"/>
      <c r="E159" s="438"/>
      <c r="F159" s="331"/>
      <c r="G159" s="331"/>
    </row>
    <row r="160" spans="1:7" ht="9.75" customHeight="1">
      <c r="A160" s="331"/>
      <c r="B160" s="331"/>
      <c r="C160" s="438"/>
      <c r="D160" s="438"/>
      <c r="E160" s="438"/>
      <c r="F160" s="331"/>
      <c r="G160" s="331"/>
    </row>
    <row r="161" spans="1:7" ht="9.75" customHeight="1">
      <c r="A161" s="331"/>
      <c r="B161" s="331"/>
      <c r="C161" s="438"/>
      <c r="D161" s="438"/>
      <c r="E161" s="438"/>
      <c r="F161" s="331"/>
      <c r="G161" s="331"/>
    </row>
    <row r="162" spans="1:7" ht="9.75" customHeight="1">
      <c r="A162" s="331"/>
      <c r="B162" s="331"/>
      <c r="C162" s="438"/>
      <c r="D162" s="438"/>
      <c r="E162" s="438"/>
      <c r="F162" s="331"/>
      <c r="G162" s="331"/>
    </row>
    <row r="163" spans="1:7" ht="9.75" customHeight="1">
      <c r="A163" s="331"/>
      <c r="B163" s="331"/>
      <c r="C163" s="438"/>
      <c r="D163" s="438"/>
      <c r="E163" s="438"/>
      <c r="F163" s="331"/>
      <c r="G163" s="331"/>
    </row>
    <row r="164" spans="1:7" ht="9.75" customHeight="1">
      <c r="A164" s="331"/>
      <c r="B164" s="331"/>
      <c r="C164" s="438"/>
      <c r="D164" s="438"/>
      <c r="E164" s="438"/>
      <c r="F164" s="331"/>
      <c r="G164" s="331"/>
    </row>
    <row r="165" spans="1:7" ht="9.75" customHeight="1">
      <c r="A165" s="331"/>
      <c r="B165" s="331"/>
      <c r="C165" s="438"/>
      <c r="D165" s="438"/>
      <c r="E165" s="438"/>
      <c r="F165" s="331"/>
      <c r="G165" s="331"/>
    </row>
    <row r="166" spans="1:7" ht="9.75" customHeight="1">
      <c r="A166" s="331"/>
      <c r="B166" s="331"/>
      <c r="C166" s="438"/>
      <c r="D166" s="438"/>
      <c r="E166" s="438"/>
      <c r="F166" s="331"/>
      <c r="G166" s="331"/>
    </row>
    <row r="167" spans="1:7" ht="9.75" customHeight="1">
      <c r="A167" s="331"/>
      <c r="B167" s="331"/>
      <c r="C167" s="438"/>
      <c r="D167" s="438"/>
      <c r="E167" s="438"/>
      <c r="F167" s="331"/>
      <c r="G167" s="331"/>
    </row>
    <row r="168" spans="1:7" ht="9.75" customHeight="1">
      <c r="A168" s="331"/>
      <c r="B168" s="331"/>
      <c r="C168" s="438"/>
      <c r="D168" s="438"/>
      <c r="E168" s="438"/>
      <c r="F168" s="331"/>
      <c r="G168" s="331"/>
    </row>
    <row r="169" spans="1:7" ht="9.75" customHeight="1">
      <c r="A169" s="331"/>
      <c r="B169" s="331"/>
      <c r="C169" s="438"/>
      <c r="D169" s="438"/>
      <c r="E169" s="438"/>
      <c r="F169" s="331"/>
      <c r="G169" s="331"/>
    </row>
    <row r="170" spans="1:7" ht="9.75" customHeight="1">
      <c r="A170" s="331"/>
      <c r="B170" s="331"/>
      <c r="C170" s="438"/>
      <c r="D170" s="438"/>
      <c r="E170" s="438"/>
      <c r="F170" s="331"/>
      <c r="G170" s="331"/>
    </row>
    <row r="171" spans="1:7" ht="9.75" customHeight="1">
      <c r="A171" s="331"/>
      <c r="B171" s="331"/>
      <c r="C171" s="438"/>
      <c r="D171" s="438"/>
      <c r="E171" s="438"/>
      <c r="F171" s="331"/>
      <c r="G171" s="331"/>
    </row>
    <row r="172" spans="1:7" ht="9.75" customHeight="1">
      <c r="A172" s="331"/>
      <c r="B172" s="331"/>
      <c r="C172" s="331"/>
      <c r="D172" s="331"/>
      <c r="E172" s="331"/>
      <c r="F172" s="331"/>
      <c r="G172" s="331"/>
    </row>
    <row r="173" spans="1:7" ht="9.75" customHeight="1">
      <c r="A173" s="331"/>
      <c r="B173" s="331"/>
      <c r="C173" s="331"/>
      <c r="D173" s="331"/>
      <c r="E173" s="331"/>
      <c r="F173" s="331"/>
      <c r="G173" s="331"/>
    </row>
    <row r="174" spans="1:7" ht="9.75" customHeight="1">
      <c r="A174" s="331"/>
      <c r="B174" s="331"/>
      <c r="C174" s="331"/>
      <c r="D174" s="331"/>
      <c r="E174" s="331"/>
      <c r="F174" s="331"/>
      <c r="G174" s="331"/>
    </row>
    <row r="175" spans="1:7" ht="9.75" customHeight="1">
      <c r="A175" s="331"/>
      <c r="B175" s="331"/>
      <c r="C175" s="331"/>
      <c r="D175" s="331"/>
      <c r="E175" s="331"/>
      <c r="F175" s="331"/>
      <c r="G175" s="331"/>
    </row>
    <row r="176" spans="1:7" ht="9.75" customHeight="1">
      <c r="A176" s="331"/>
      <c r="B176" s="331"/>
      <c r="C176" s="331"/>
      <c r="D176" s="331"/>
      <c r="E176" s="331"/>
      <c r="F176" s="331"/>
      <c r="G176" s="331"/>
    </row>
    <row r="177" spans="1:7" ht="9.75" customHeight="1">
      <c r="A177" s="331"/>
      <c r="B177" s="331"/>
      <c r="C177" s="331"/>
      <c r="D177" s="331"/>
      <c r="E177" s="331"/>
      <c r="F177" s="331"/>
      <c r="G177" s="331"/>
    </row>
    <row r="178" spans="1:7" ht="9.75" customHeight="1">
      <c r="A178" s="331"/>
      <c r="B178" s="331"/>
      <c r="C178" s="331"/>
      <c r="D178" s="331"/>
      <c r="E178" s="331"/>
      <c r="F178" s="331"/>
      <c r="G178" s="331"/>
    </row>
    <row r="179" spans="1:7" ht="9.75" customHeight="1">
      <c r="A179" s="331"/>
      <c r="B179" s="331"/>
      <c r="C179" s="331"/>
      <c r="D179" s="331"/>
      <c r="E179" s="331"/>
      <c r="F179" s="331"/>
      <c r="G179" s="331"/>
    </row>
    <row r="180" spans="1:7" ht="9.75" customHeight="1">
      <c r="A180" s="331"/>
      <c r="B180" s="331"/>
      <c r="C180" s="331"/>
      <c r="D180" s="331"/>
      <c r="E180" s="331"/>
      <c r="F180" s="331"/>
      <c r="G180" s="331"/>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 Julio 2020
INFSGI-MES-07-2020
13/08/2020
Versión: 01</oddHeader>
    <oddFooter>&amp;L&amp;7COES, 2020&amp;C18&amp;R&amp;7Dirección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90"/>
  <sheetViews>
    <sheetView showGridLines="0" view="pageBreakPreview" zoomScaleNormal="100" zoomScaleSheetLayoutView="100" zoomScalePageLayoutView="130" workbookViewId="0">
      <selection activeCell="G40" sqref="G40"/>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0.28515625" customWidth="1"/>
    <col min="6" max="6" width="12.42578125" customWidth="1"/>
    <col min="7" max="7" width="16.140625" bestFit="1" customWidth="1"/>
    <col min="8" max="8" width="13" bestFit="1" customWidth="1"/>
  </cols>
  <sheetData>
    <row r="1" spans="1:8" ht="17.25" customHeight="1">
      <c r="A1" s="986" t="s">
        <v>250</v>
      </c>
      <c r="B1" s="989" t="s">
        <v>54</v>
      </c>
      <c r="C1" s="992" t="str">
        <f>+'18. ANEXOI-1'!C2:F2</f>
        <v>ENERGÍA PRODUCIDA JULIO 2020</v>
      </c>
      <c r="D1" s="992"/>
      <c r="E1" s="992"/>
      <c r="F1" s="992"/>
      <c r="G1" s="631" t="s">
        <v>276</v>
      </c>
      <c r="H1" s="203"/>
    </row>
    <row r="2" spans="1:8" ht="11.25" customHeight="1">
      <c r="A2" s="987"/>
      <c r="B2" s="990"/>
      <c r="C2" s="993" t="s">
        <v>277</v>
      </c>
      <c r="D2" s="993"/>
      <c r="E2" s="993"/>
      <c r="F2" s="994" t="str">
        <f>"TOTAL 
"&amp;UPPER('1. Resumen'!Q4)</f>
        <v>TOTAL 
JULIO</v>
      </c>
      <c r="G2" s="632" t="s">
        <v>278</v>
      </c>
      <c r="H2" s="194"/>
    </row>
    <row r="3" spans="1:8" ht="11.25" customHeight="1">
      <c r="A3" s="987"/>
      <c r="B3" s="990"/>
      <c r="C3" s="623" t="s">
        <v>215</v>
      </c>
      <c r="D3" s="623" t="s">
        <v>216</v>
      </c>
      <c r="E3" s="623" t="s">
        <v>279</v>
      </c>
      <c r="F3" s="995"/>
      <c r="G3" s="632">
        <v>2020</v>
      </c>
      <c r="H3" s="196"/>
    </row>
    <row r="4" spans="1:8" ht="11.25" customHeight="1">
      <c r="A4" s="996"/>
      <c r="B4" s="997"/>
      <c r="C4" s="624" t="s">
        <v>280</v>
      </c>
      <c r="D4" s="624" t="s">
        <v>280</v>
      </c>
      <c r="E4" s="624" t="s">
        <v>280</v>
      </c>
      <c r="F4" s="624" t="s">
        <v>280</v>
      </c>
      <c r="G4" s="633" t="s">
        <v>208</v>
      </c>
      <c r="H4" s="196"/>
    </row>
    <row r="5" spans="1:8" ht="10.5" customHeight="1">
      <c r="A5" s="674" t="s">
        <v>87</v>
      </c>
      <c r="B5" s="626" t="s">
        <v>314</v>
      </c>
      <c r="C5" s="627">
        <v>20740.49855</v>
      </c>
      <c r="D5" s="627"/>
      <c r="E5" s="627"/>
      <c r="F5" s="627">
        <v>20740.49855</v>
      </c>
      <c r="G5" s="679">
        <v>308684.16992000001</v>
      </c>
    </row>
    <row r="6" spans="1:8" ht="10.5" customHeight="1">
      <c r="A6" s="674"/>
      <c r="B6" s="626" t="s">
        <v>315</v>
      </c>
      <c r="C6" s="627">
        <v>55820.783624999996</v>
      </c>
      <c r="D6" s="627"/>
      <c r="E6" s="627"/>
      <c r="F6" s="627">
        <v>55820.783624999996</v>
      </c>
      <c r="G6" s="679">
        <v>556268.24954750005</v>
      </c>
    </row>
    <row r="7" spans="1:8" ht="10.5" customHeight="1">
      <c r="A7" s="674"/>
      <c r="B7" s="626" t="s">
        <v>316</v>
      </c>
      <c r="C7" s="627"/>
      <c r="D7" s="627">
        <v>516460.20985500002</v>
      </c>
      <c r="E7" s="627"/>
      <c r="F7" s="627">
        <v>516460.20985500002</v>
      </c>
      <c r="G7" s="679">
        <v>2264327.5951924999</v>
      </c>
    </row>
    <row r="8" spans="1:8" ht="10.5" customHeight="1">
      <c r="A8" s="674"/>
      <c r="B8" s="626" t="s">
        <v>317</v>
      </c>
      <c r="C8" s="627"/>
      <c r="D8" s="627">
        <v>69534.549247499992</v>
      </c>
      <c r="E8" s="627"/>
      <c r="F8" s="627">
        <v>69534.549247499992</v>
      </c>
      <c r="G8" s="679">
        <v>90533.716777499998</v>
      </c>
    </row>
    <row r="9" spans="1:8" ht="10.5" customHeight="1">
      <c r="A9" s="674"/>
      <c r="B9" s="626" t="s">
        <v>318</v>
      </c>
      <c r="C9" s="627"/>
      <c r="D9" s="627">
        <v>0</v>
      </c>
      <c r="E9" s="627"/>
      <c r="F9" s="627">
        <v>0</v>
      </c>
      <c r="G9" s="679">
        <v>0</v>
      </c>
    </row>
    <row r="10" spans="1:8" ht="10.5" customHeight="1">
      <c r="A10" s="674"/>
      <c r="B10" s="626" t="s">
        <v>319</v>
      </c>
      <c r="C10" s="627"/>
      <c r="D10" s="627">
        <v>0</v>
      </c>
      <c r="E10" s="627"/>
      <c r="F10" s="627">
        <v>0</v>
      </c>
      <c r="G10" s="679">
        <v>466.30155250000001</v>
      </c>
    </row>
    <row r="11" spans="1:8" ht="10.5" customHeight="1">
      <c r="A11" s="674"/>
      <c r="B11" s="626" t="s">
        <v>320</v>
      </c>
      <c r="C11" s="627"/>
      <c r="D11" s="627">
        <v>0</v>
      </c>
      <c r="E11" s="627"/>
      <c r="F11" s="627">
        <v>0</v>
      </c>
      <c r="G11" s="679">
        <v>359.81827500000003</v>
      </c>
    </row>
    <row r="12" spans="1:8" ht="10.5" customHeight="1">
      <c r="A12" s="674"/>
      <c r="B12" s="626" t="s">
        <v>428</v>
      </c>
      <c r="C12" s="627"/>
      <c r="D12" s="627"/>
      <c r="E12" s="627">
        <v>8163.2218775000001</v>
      </c>
      <c r="F12" s="627">
        <v>8163.2218775000001</v>
      </c>
      <c r="G12" s="679">
        <v>54378.099297499997</v>
      </c>
    </row>
    <row r="13" spans="1:8" ht="10.5" customHeight="1">
      <c r="A13" s="676" t="s">
        <v>511</v>
      </c>
      <c r="B13" s="512"/>
      <c r="C13" s="513">
        <v>76561.282175</v>
      </c>
      <c r="D13" s="513">
        <v>585994.75910250004</v>
      </c>
      <c r="E13" s="513">
        <v>8163.2218775000001</v>
      </c>
      <c r="F13" s="513">
        <v>670719.26315500005</v>
      </c>
      <c r="G13" s="680">
        <v>3275017.9505624999</v>
      </c>
    </row>
    <row r="14" spans="1:8" ht="10.5" customHeight="1">
      <c r="A14" s="674" t="s">
        <v>239</v>
      </c>
      <c r="B14" s="626" t="s">
        <v>321</v>
      </c>
      <c r="C14" s="627"/>
      <c r="D14" s="627">
        <v>311544.40941249998</v>
      </c>
      <c r="E14" s="627"/>
      <c r="F14" s="627">
        <v>311544.40941249998</v>
      </c>
      <c r="G14" s="679">
        <v>1153468.4185124999</v>
      </c>
    </row>
    <row r="15" spans="1:8" ht="10.5" customHeight="1">
      <c r="A15" s="676" t="s">
        <v>512</v>
      </c>
      <c r="B15" s="512"/>
      <c r="C15" s="513"/>
      <c r="D15" s="513">
        <v>311544.40941249998</v>
      </c>
      <c r="E15" s="513"/>
      <c r="F15" s="513">
        <v>311544.40941249998</v>
      </c>
      <c r="G15" s="680">
        <v>1153468.4185124999</v>
      </c>
    </row>
    <row r="16" spans="1:8" s="730" customFormat="1" ht="10.5" customHeight="1">
      <c r="A16" s="694" t="s">
        <v>458</v>
      </c>
      <c r="B16" s="436" t="s">
        <v>463</v>
      </c>
      <c r="C16" s="437"/>
      <c r="D16" s="437"/>
      <c r="E16" s="437">
        <v>4452.8898575000003</v>
      </c>
      <c r="F16" s="437">
        <v>4452.8898575000003</v>
      </c>
      <c r="G16" s="690">
        <v>60814.504959999984</v>
      </c>
    </row>
    <row r="17" spans="1:7" s="730" customFormat="1" ht="10.5" customHeight="1">
      <c r="A17" s="691"/>
      <c r="B17" s="626" t="s">
        <v>459</v>
      </c>
      <c r="C17" s="627"/>
      <c r="D17" s="627"/>
      <c r="E17" s="627">
        <v>39.980134999999997</v>
      </c>
      <c r="F17" s="627">
        <v>39.980134999999997</v>
      </c>
      <c r="G17" s="679">
        <v>9364.0562950000003</v>
      </c>
    </row>
    <row r="18" spans="1:7" s="730" customFormat="1" ht="10.5" customHeight="1">
      <c r="A18" s="676" t="s">
        <v>513</v>
      </c>
      <c r="B18" s="512"/>
      <c r="C18" s="513"/>
      <c r="D18" s="513"/>
      <c r="E18" s="513">
        <v>4492.8699925000001</v>
      </c>
      <c r="F18" s="513">
        <v>4492.8699925000001</v>
      </c>
      <c r="G18" s="680">
        <v>70178.561254999979</v>
      </c>
    </row>
    <row r="19" spans="1:7" ht="10.5" customHeight="1">
      <c r="A19" s="674" t="s">
        <v>108</v>
      </c>
      <c r="B19" s="626" t="s">
        <v>66</v>
      </c>
      <c r="C19" s="627"/>
      <c r="D19" s="627"/>
      <c r="E19" s="627">
        <v>5286.117405</v>
      </c>
      <c r="F19" s="627">
        <v>5286.117405</v>
      </c>
      <c r="G19" s="679">
        <v>34659.212777499997</v>
      </c>
    </row>
    <row r="20" spans="1:7" ht="10.5" customHeight="1">
      <c r="A20" s="674"/>
      <c r="B20" s="626" t="s">
        <v>415</v>
      </c>
      <c r="C20" s="627"/>
      <c r="D20" s="627"/>
      <c r="E20" s="627">
        <v>2850.2502525</v>
      </c>
      <c r="F20" s="627">
        <v>2850.2502525</v>
      </c>
      <c r="G20" s="679">
        <v>72514.155047499997</v>
      </c>
    </row>
    <row r="21" spans="1:7" ht="10.5" customHeight="1">
      <c r="A21" s="674"/>
      <c r="B21" s="626" t="s">
        <v>413</v>
      </c>
      <c r="C21" s="627"/>
      <c r="D21" s="627"/>
      <c r="E21" s="627">
        <v>4117.6321374999998</v>
      </c>
      <c r="F21" s="627">
        <v>4117.6321374999998</v>
      </c>
      <c r="G21" s="679">
        <v>76947.261897500008</v>
      </c>
    </row>
    <row r="22" spans="1:7" ht="10.5" customHeight="1">
      <c r="A22" s="674"/>
      <c r="B22" s="626" t="s">
        <v>414</v>
      </c>
      <c r="C22" s="627"/>
      <c r="D22" s="627"/>
      <c r="E22" s="627">
        <v>4148.4786450000001</v>
      </c>
      <c r="F22" s="627">
        <v>4148.4786450000001</v>
      </c>
      <c r="G22" s="679">
        <v>68962.364220000003</v>
      </c>
    </row>
    <row r="23" spans="1:7" ht="10.5" customHeight="1">
      <c r="A23" s="676" t="s">
        <v>514</v>
      </c>
      <c r="B23" s="512"/>
      <c r="C23" s="513"/>
      <c r="D23" s="513"/>
      <c r="E23" s="513">
        <v>16402.478439999999</v>
      </c>
      <c r="F23" s="513">
        <v>16402.478439999999</v>
      </c>
      <c r="G23" s="680">
        <v>253082.99394249998</v>
      </c>
    </row>
    <row r="24" spans="1:7" ht="10.5" customHeight="1">
      <c r="A24" s="674" t="s">
        <v>111</v>
      </c>
      <c r="B24" s="626" t="s">
        <v>233</v>
      </c>
      <c r="C24" s="627"/>
      <c r="D24" s="627"/>
      <c r="E24" s="627">
        <v>3483.5823999999998</v>
      </c>
      <c r="F24" s="627">
        <v>3483.5823999999998</v>
      </c>
      <c r="G24" s="679">
        <v>24145.537799999998</v>
      </c>
    </row>
    <row r="25" spans="1:7" ht="10.5" customHeight="1">
      <c r="A25" s="676" t="s">
        <v>515</v>
      </c>
      <c r="B25" s="512"/>
      <c r="C25" s="513"/>
      <c r="D25" s="513"/>
      <c r="E25" s="513">
        <v>3483.5823999999998</v>
      </c>
      <c r="F25" s="513">
        <v>3483.5823999999998</v>
      </c>
      <c r="G25" s="680">
        <v>24145.537799999998</v>
      </c>
    </row>
    <row r="26" spans="1:7" ht="10.5" customHeight="1">
      <c r="A26" s="674" t="s">
        <v>112</v>
      </c>
      <c r="B26" s="626" t="s">
        <v>82</v>
      </c>
      <c r="C26" s="627"/>
      <c r="D26" s="627"/>
      <c r="E26" s="627">
        <v>3523.9659824999999</v>
      </c>
      <c r="F26" s="627">
        <v>3523.9659824999999</v>
      </c>
      <c r="G26" s="679">
        <v>23555.483004999995</v>
      </c>
    </row>
    <row r="27" spans="1:7" ht="10.5" customHeight="1">
      <c r="A27" s="676" t="s">
        <v>516</v>
      </c>
      <c r="B27" s="512"/>
      <c r="C27" s="513"/>
      <c r="D27" s="513"/>
      <c r="E27" s="513">
        <v>3523.9659824999999</v>
      </c>
      <c r="F27" s="513">
        <v>3523.9659824999999</v>
      </c>
      <c r="G27" s="680">
        <v>23555.483004999995</v>
      </c>
    </row>
    <row r="28" spans="1:7" ht="10.5" customHeight="1">
      <c r="A28" s="674" t="s">
        <v>116</v>
      </c>
      <c r="B28" s="626" t="s">
        <v>74</v>
      </c>
      <c r="C28" s="627"/>
      <c r="D28" s="627"/>
      <c r="E28" s="627">
        <v>2385.8000000000002</v>
      </c>
      <c r="F28" s="627">
        <v>2385.8000000000002</v>
      </c>
      <c r="G28" s="679">
        <v>16405.600000000002</v>
      </c>
    </row>
    <row r="29" spans="1:7" ht="10.5" customHeight="1">
      <c r="A29" s="676" t="s">
        <v>517</v>
      </c>
      <c r="B29" s="512"/>
      <c r="C29" s="513"/>
      <c r="D29" s="513"/>
      <c r="E29" s="513">
        <v>2385.8000000000002</v>
      </c>
      <c r="F29" s="513">
        <v>2385.8000000000002</v>
      </c>
      <c r="G29" s="680">
        <v>16405.600000000002</v>
      </c>
    </row>
    <row r="30" spans="1:7" ht="20.25" customHeight="1">
      <c r="A30" s="678" t="s">
        <v>103</v>
      </c>
      <c r="B30" s="636" t="s">
        <v>322</v>
      </c>
      <c r="C30" s="637">
        <v>11739.442825</v>
      </c>
      <c r="D30" s="637"/>
      <c r="E30" s="637"/>
      <c r="F30" s="637">
        <v>11739.442825</v>
      </c>
      <c r="G30" s="689">
        <v>88094.421724999993</v>
      </c>
    </row>
    <row r="31" spans="1:7" ht="10.5" customHeight="1">
      <c r="A31" s="676" t="s">
        <v>518</v>
      </c>
      <c r="B31" s="512"/>
      <c r="C31" s="513">
        <v>11739.442825</v>
      </c>
      <c r="D31" s="513"/>
      <c r="E31" s="513"/>
      <c r="F31" s="513">
        <v>11739.442825</v>
      </c>
      <c r="G31" s="680">
        <v>88094.421724999993</v>
      </c>
    </row>
    <row r="32" spans="1:7" ht="16.2">
      <c r="A32" s="688" t="s">
        <v>425</v>
      </c>
      <c r="B32" s="636" t="s">
        <v>323</v>
      </c>
      <c r="C32" s="637">
        <v>10241.985515</v>
      </c>
      <c r="D32" s="637"/>
      <c r="E32" s="637"/>
      <c r="F32" s="637">
        <v>10241.985515</v>
      </c>
      <c r="G32" s="689">
        <v>91289.087740000017</v>
      </c>
    </row>
    <row r="33" spans="1:7" ht="10.5" customHeight="1">
      <c r="A33" s="676" t="s">
        <v>519</v>
      </c>
      <c r="B33" s="512"/>
      <c r="C33" s="513">
        <v>10241.985515</v>
      </c>
      <c r="D33" s="513"/>
      <c r="E33" s="513"/>
      <c r="F33" s="513">
        <v>10241.985515</v>
      </c>
      <c r="G33" s="680">
        <v>91289.087740000017</v>
      </c>
    </row>
    <row r="34" spans="1:7" ht="10.5" customHeight="1">
      <c r="A34" s="674" t="s">
        <v>240</v>
      </c>
      <c r="B34" s="626" t="s">
        <v>59</v>
      </c>
      <c r="C34" s="627"/>
      <c r="D34" s="627"/>
      <c r="E34" s="627">
        <v>10821.36737</v>
      </c>
      <c r="F34" s="627">
        <v>10821.36737</v>
      </c>
      <c r="G34" s="679">
        <v>82591.997607500001</v>
      </c>
    </row>
    <row r="35" spans="1:7" ht="10.5" customHeight="1">
      <c r="A35" s="676" t="s">
        <v>520</v>
      </c>
      <c r="B35" s="512"/>
      <c r="C35" s="513"/>
      <c r="D35" s="513"/>
      <c r="E35" s="513">
        <v>10821.36737</v>
      </c>
      <c r="F35" s="513">
        <v>10821.36737</v>
      </c>
      <c r="G35" s="680">
        <v>82591.997607500001</v>
      </c>
    </row>
    <row r="36" spans="1:7" ht="10.5" customHeight="1">
      <c r="A36" s="674" t="s">
        <v>412</v>
      </c>
      <c r="B36" s="626" t="s">
        <v>466</v>
      </c>
      <c r="C36" s="627">
        <v>26.193000000000001</v>
      </c>
      <c r="D36" s="627"/>
      <c r="E36" s="627"/>
      <c r="F36" s="627">
        <v>26.193000000000001</v>
      </c>
      <c r="G36" s="679">
        <v>1321.415</v>
      </c>
    </row>
    <row r="37" spans="1:7" ht="10.5" customHeight="1">
      <c r="A37" s="676" t="s">
        <v>521</v>
      </c>
      <c r="B37" s="512"/>
      <c r="C37" s="513">
        <v>26.193000000000001</v>
      </c>
      <c r="D37" s="513"/>
      <c r="E37" s="513"/>
      <c r="F37" s="513">
        <v>26.193000000000001</v>
      </c>
      <c r="G37" s="680">
        <v>1321.415</v>
      </c>
    </row>
    <row r="38" spans="1:7" ht="10.5" customHeight="1">
      <c r="A38" s="674" t="s">
        <v>430</v>
      </c>
      <c r="B38" s="626" t="s">
        <v>434</v>
      </c>
      <c r="C38" s="627">
        <v>47694.664170000004</v>
      </c>
      <c r="D38" s="627"/>
      <c r="E38" s="627"/>
      <c r="F38" s="627">
        <v>47694.664170000004</v>
      </c>
      <c r="G38" s="679">
        <v>375629.87057749997</v>
      </c>
    </row>
    <row r="39" spans="1:7" ht="10.5" customHeight="1">
      <c r="A39" s="676" t="s">
        <v>522</v>
      </c>
      <c r="B39" s="512"/>
      <c r="C39" s="513">
        <v>47694.664170000004</v>
      </c>
      <c r="D39" s="513"/>
      <c r="E39" s="513"/>
      <c r="F39" s="513">
        <v>47694.664170000004</v>
      </c>
      <c r="G39" s="680">
        <v>375629.87057749997</v>
      </c>
    </row>
    <row r="40" spans="1:7" s="46" customFormat="1" ht="20.25" customHeight="1">
      <c r="A40" s="678" t="s">
        <v>487</v>
      </c>
      <c r="B40" s="636" t="s">
        <v>674</v>
      </c>
      <c r="C40" s="637"/>
      <c r="D40" s="637"/>
      <c r="E40" s="637">
        <v>2625.7684399999998</v>
      </c>
      <c r="F40" s="637">
        <v>2625.7684399999998</v>
      </c>
      <c r="G40" s="689">
        <v>12522.9314225</v>
      </c>
    </row>
    <row r="41" spans="1:7" ht="12" customHeight="1">
      <c r="A41" s="676" t="s">
        <v>523</v>
      </c>
      <c r="B41" s="512"/>
      <c r="C41" s="513"/>
      <c r="D41" s="513"/>
      <c r="E41" s="513">
        <v>2625.7684399999998</v>
      </c>
      <c r="F41" s="513">
        <v>2625.7684399999998</v>
      </c>
      <c r="G41" s="680">
        <v>12522.9314225</v>
      </c>
    </row>
    <row r="42" spans="1:7" ht="10.5" customHeight="1">
      <c r="A42" s="678" t="s">
        <v>118</v>
      </c>
      <c r="B42" s="636" t="s">
        <v>324</v>
      </c>
      <c r="C42" s="637"/>
      <c r="D42" s="637">
        <v>1.7499999999999998E-5</v>
      </c>
      <c r="E42" s="637"/>
      <c r="F42" s="637">
        <v>1.7499999999999998E-5</v>
      </c>
      <c r="G42" s="689">
        <v>4071.1428274999998</v>
      </c>
    </row>
    <row r="43" spans="1:7" ht="10.5" customHeight="1">
      <c r="A43" s="678"/>
      <c r="B43" s="636" t="s">
        <v>325</v>
      </c>
      <c r="C43" s="637"/>
      <c r="D43" s="637">
        <v>212.78663</v>
      </c>
      <c r="E43" s="637"/>
      <c r="F43" s="637">
        <v>212.78663</v>
      </c>
      <c r="G43" s="689">
        <v>432.25537499999996</v>
      </c>
    </row>
    <row r="44" spans="1:7" ht="10.5" customHeight="1">
      <c r="A44" s="676" t="s">
        <v>524</v>
      </c>
      <c r="B44" s="512"/>
      <c r="C44" s="513"/>
      <c r="D44" s="513">
        <v>212.78664750000002</v>
      </c>
      <c r="E44" s="513"/>
      <c r="F44" s="513">
        <v>212.78664750000002</v>
      </c>
      <c r="G44" s="680">
        <v>4503.3982024999996</v>
      </c>
    </row>
    <row r="45" spans="1:7" ht="10.5" customHeight="1">
      <c r="A45" s="678" t="s">
        <v>410</v>
      </c>
      <c r="B45" s="636" t="s">
        <v>326</v>
      </c>
      <c r="C45" s="637"/>
      <c r="D45" s="637">
        <v>524091.39972500002</v>
      </c>
      <c r="E45" s="637"/>
      <c r="F45" s="637">
        <v>524091.39972500002</v>
      </c>
      <c r="G45" s="689">
        <v>1078202.0751799999</v>
      </c>
    </row>
    <row r="46" spans="1:7" ht="10.5" customHeight="1">
      <c r="A46" s="678"/>
      <c r="B46" s="636" t="s">
        <v>327</v>
      </c>
      <c r="C46" s="637"/>
      <c r="D46" s="637">
        <v>32462.070987499999</v>
      </c>
      <c r="E46" s="637"/>
      <c r="F46" s="637">
        <v>32462.070987499999</v>
      </c>
      <c r="G46" s="689">
        <v>203716.60949249999</v>
      </c>
    </row>
    <row r="47" spans="1:7" ht="10.5" customHeight="1">
      <c r="A47" s="678"/>
      <c r="B47" s="636" t="s">
        <v>432</v>
      </c>
      <c r="C47" s="637">
        <v>206559.23688749998</v>
      </c>
      <c r="D47" s="637"/>
      <c r="E47" s="637"/>
      <c r="F47" s="637">
        <v>206559.23688749998</v>
      </c>
      <c r="G47" s="689">
        <v>2101187.4151099999</v>
      </c>
    </row>
    <row r="48" spans="1:7" ht="10.5" customHeight="1">
      <c r="A48" s="678"/>
      <c r="B48" s="636" t="s">
        <v>328</v>
      </c>
      <c r="C48" s="637">
        <v>2966.012635</v>
      </c>
      <c r="D48" s="637"/>
      <c r="E48" s="637"/>
      <c r="F48" s="637">
        <v>2966.012635</v>
      </c>
      <c r="G48" s="689">
        <v>40143.644152500005</v>
      </c>
    </row>
    <row r="49" spans="1:8" ht="10.5" customHeight="1">
      <c r="A49" s="676" t="s">
        <v>525</v>
      </c>
      <c r="B49" s="512"/>
      <c r="C49" s="513">
        <v>209525.24952249997</v>
      </c>
      <c r="D49" s="513">
        <v>556553.47071250004</v>
      </c>
      <c r="E49" s="513"/>
      <c r="F49" s="513">
        <v>766078.72023500013</v>
      </c>
      <c r="G49" s="680">
        <v>3423249.7439350002</v>
      </c>
    </row>
    <row r="50" spans="1:8" ht="10.5" customHeight="1">
      <c r="A50" s="678" t="s">
        <v>117</v>
      </c>
      <c r="B50" s="636" t="s">
        <v>72</v>
      </c>
      <c r="C50" s="637"/>
      <c r="D50" s="637"/>
      <c r="E50" s="637">
        <v>733.21645000000001</v>
      </c>
      <c r="F50" s="637">
        <v>733.21645000000001</v>
      </c>
      <c r="G50" s="689">
        <v>11133.409127499999</v>
      </c>
    </row>
    <row r="51" spans="1:8" ht="10.5" customHeight="1">
      <c r="A51" s="676" t="s">
        <v>526</v>
      </c>
      <c r="B51" s="512"/>
      <c r="C51" s="513"/>
      <c r="D51" s="513"/>
      <c r="E51" s="513">
        <v>733.21645000000001</v>
      </c>
      <c r="F51" s="513">
        <v>733.21645000000001</v>
      </c>
      <c r="G51" s="680">
        <v>11133.409127499999</v>
      </c>
      <c r="H51" s="361"/>
    </row>
    <row r="52" spans="1:8" ht="10.5" customHeight="1">
      <c r="A52" s="678" t="s">
        <v>110</v>
      </c>
      <c r="B52" s="636" t="s">
        <v>81</v>
      </c>
      <c r="C52" s="637"/>
      <c r="D52" s="637"/>
      <c r="E52" s="637">
        <v>3736.651065</v>
      </c>
      <c r="F52" s="637">
        <v>3736.651065</v>
      </c>
      <c r="G52" s="689">
        <v>25150.904677500002</v>
      </c>
    </row>
    <row r="53" spans="1:8" ht="10.5" customHeight="1">
      <c r="A53" s="676" t="s">
        <v>527</v>
      </c>
      <c r="B53" s="512"/>
      <c r="C53" s="513"/>
      <c r="D53" s="513"/>
      <c r="E53" s="513">
        <v>3736.651065</v>
      </c>
      <c r="F53" s="513">
        <v>3736.651065</v>
      </c>
      <c r="G53" s="680">
        <v>25150.904677500002</v>
      </c>
    </row>
    <row r="54" spans="1:8" ht="10.5" customHeight="1">
      <c r="A54" s="678" t="s">
        <v>241</v>
      </c>
      <c r="B54" s="636" t="s">
        <v>71</v>
      </c>
      <c r="C54" s="637"/>
      <c r="D54" s="637"/>
      <c r="E54" s="637">
        <v>2557.2662449999998</v>
      </c>
      <c r="F54" s="637">
        <v>2557.2662449999998</v>
      </c>
      <c r="G54" s="689">
        <v>23585.086065</v>
      </c>
    </row>
    <row r="55" spans="1:8" ht="10.5" customHeight="1">
      <c r="A55" s="678"/>
      <c r="B55" s="636" t="s">
        <v>329</v>
      </c>
      <c r="C55" s="637">
        <v>58359.726872500003</v>
      </c>
      <c r="D55" s="637"/>
      <c r="E55" s="637"/>
      <c r="F55" s="637">
        <v>58359.726872500003</v>
      </c>
      <c r="G55" s="689">
        <v>953688.04758500005</v>
      </c>
    </row>
    <row r="56" spans="1:8" ht="10.5" customHeight="1">
      <c r="A56" s="678"/>
      <c r="B56" s="636" t="s">
        <v>330</v>
      </c>
      <c r="C56" s="637">
        <v>46820.275795000001</v>
      </c>
      <c r="D56" s="637"/>
      <c r="E56" s="637"/>
      <c r="F56" s="637">
        <v>46820.275795000001</v>
      </c>
      <c r="G56" s="689">
        <v>367498.78711750003</v>
      </c>
    </row>
    <row r="57" spans="1:8" ht="10.5" customHeight="1">
      <c r="A57" s="678"/>
      <c r="B57" s="636" t="s">
        <v>62</v>
      </c>
      <c r="C57" s="637"/>
      <c r="D57" s="637"/>
      <c r="E57" s="637">
        <v>6742.2930974999999</v>
      </c>
      <c r="F57" s="637">
        <v>6742.2930974999999</v>
      </c>
      <c r="G57" s="689">
        <v>49696.082625000003</v>
      </c>
    </row>
    <row r="58" spans="1:8" ht="10.5" customHeight="1">
      <c r="A58" s="676" t="s">
        <v>528</v>
      </c>
      <c r="B58" s="512"/>
      <c r="C58" s="513">
        <v>105180.0026675</v>
      </c>
      <c r="D58" s="513"/>
      <c r="E58" s="513">
        <v>9299.5593425000006</v>
      </c>
      <c r="F58" s="513">
        <v>114479.56201000001</v>
      </c>
      <c r="G58" s="680">
        <v>1394468.0033925001</v>
      </c>
    </row>
    <row r="59" spans="1:8" ht="10.5" customHeight="1">
      <c r="A59" s="678" t="s">
        <v>242</v>
      </c>
      <c r="B59" s="636" t="s">
        <v>78</v>
      </c>
      <c r="C59" s="637"/>
      <c r="D59" s="637"/>
      <c r="E59" s="637">
        <v>17020.225054999999</v>
      </c>
      <c r="F59" s="637">
        <v>17020.225054999999</v>
      </c>
      <c r="G59" s="689">
        <v>93127.345230000006</v>
      </c>
    </row>
    <row r="60" spans="1:8" ht="10.5" customHeight="1">
      <c r="A60" s="676" t="s">
        <v>529</v>
      </c>
      <c r="B60" s="512"/>
      <c r="C60" s="513"/>
      <c r="D60" s="513"/>
      <c r="E60" s="513">
        <v>17020.225054999999</v>
      </c>
      <c r="F60" s="513">
        <v>17020.225054999999</v>
      </c>
      <c r="G60" s="680">
        <v>93127.345230000006</v>
      </c>
    </row>
    <row r="61" spans="1:8" ht="10.5" customHeight="1">
      <c r="A61" s="678" t="s">
        <v>99</v>
      </c>
      <c r="B61" s="636" t="s">
        <v>76</v>
      </c>
      <c r="C61" s="637"/>
      <c r="D61" s="637"/>
      <c r="E61" s="637">
        <v>49661.995284999997</v>
      </c>
      <c r="F61" s="637">
        <v>49661.995284999997</v>
      </c>
      <c r="G61" s="689">
        <v>273674.19001750002</v>
      </c>
    </row>
    <row r="62" spans="1:8" ht="10.5" customHeight="1">
      <c r="A62" s="676" t="s">
        <v>530</v>
      </c>
      <c r="B62" s="512"/>
      <c r="C62" s="513"/>
      <c r="D62" s="513"/>
      <c r="E62" s="513">
        <v>49661.995284999997</v>
      </c>
      <c r="F62" s="513">
        <v>49661.995284999997</v>
      </c>
      <c r="G62" s="680">
        <v>273674.19001750002</v>
      </c>
    </row>
    <row r="63" spans="1:8" ht="10.5" customHeight="1">
      <c r="A63" s="678" t="s">
        <v>107</v>
      </c>
      <c r="B63" s="636" t="s">
        <v>232</v>
      </c>
      <c r="C63" s="637"/>
      <c r="D63" s="637"/>
      <c r="E63" s="637">
        <v>4450.7572149999996</v>
      </c>
      <c r="F63" s="637">
        <v>4450.7572149999996</v>
      </c>
      <c r="G63" s="689">
        <v>28770.064269999995</v>
      </c>
    </row>
    <row r="64" spans="1:8" ht="10.5" customHeight="1">
      <c r="A64" s="676" t="s">
        <v>531</v>
      </c>
      <c r="B64" s="512"/>
      <c r="C64" s="513"/>
      <c r="D64" s="513"/>
      <c r="E64" s="513">
        <v>4450.7572149999996</v>
      </c>
      <c r="F64" s="513">
        <v>4450.7572149999996</v>
      </c>
      <c r="G64" s="680">
        <v>28770.064269999995</v>
      </c>
    </row>
    <row r="65" spans="1:7" ht="10.5" customHeight="1">
      <c r="A65" s="678" t="s">
        <v>411</v>
      </c>
      <c r="B65" s="636" t="s">
        <v>85</v>
      </c>
      <c r="C65" s="637"/>
      <c r="D65" s="637"/>
      <c r="E65" s="637">
        <v>1289.4117450000001</v>
      </c>
      <c r="F65" s="637">
        <v>1289.4117450000001</v>
      </c>
      <c r="G65" s="689">
        <v>7937.6928700000008</v>
      </c>
    </row>
    <row r="66" spans="1:7" ht="10.5" customHeight="1">
      <c r="A66" s="678"/>
      <c r="B66" s="636" t="s">
        <v>84</v>
      </c>
      <c r="C66" s="637"/>
      <c r="D66" s="637"/>
      <c r="E66" s="637">
        <v>2256.7155274999996</v>
      </c>
      <c r="F66" s="637">
        <v>2256.7155274999996</v>
      </c>
      <c r="G66" s="689">
        <v>11284.222367499999</v>
      </c>
    </row>
    <row r="67" spans="1:7" ht="10.5" customHeight="1">
      <c r="A67" s="678"/>
      <c r="B67" s="636" t="s">
        <v>429</v>
      </c>
      <c r="C67" s="637"/>
      <c r="D67" s="637"/>
      <c r="E67" s="637">
        <v>0</v>
      </c>
      <c r="F67" s="637">
        <v>0</v>
      </c>
      <c r="G67" s="689">
        <v>5315.4039499999999</v>
      </c>
    </row>
    <row r="68" spans="1:7" ht="10.5" customHeight="1">
      <c r="A68" s="678"/>
      <c r="B68" s="636" t="s">
        <v>673</v>
      </c>
      <c r="C68" s="637"/>
      <c r="D68" s="637"/>
      <c r="E68" s="637">
        <v>1059.2385224999998</v>
      </c>
      <c r="F68" s="637">
        <v>1059.2385224999998</v>
      </c>
      <c r="G68" s="689">
        <v>1088.3521224999997</v>
      </c>
    </row>
    <row r="69" spans="1:7" ht="10.5" customHeight="1">
      <c r="A69" s="676" t="s">
        <v>532</v>
      </c>
      <c r="B69" s="512"/>
      <c r="C69" s="513"/>
      <c r="D69" s="513"/>
      <c r="E69" s="513">
        <v>4605.3657949999997</v>
      </c>
      <c r="F69" s="513">
        <v>4605.3657949999997</v>
      </c>
      <c r="G69" s="680">
        <v>25625.671309999998</v>
      </c>
    </row>
    <row r="70" spans="1:7" ht="10.5" customHeight="1">
      <c r="A70" s="678" t="s">
        <v>243</v>
      </c>
      <c r="B70" s="636" t="s">
        <v>331</v>
      </c>
      <c r="C70" s="637"/>
      <c r="D70" s="637">
        <v>2.22119</v>
      </c>
      <c r="E70" s="637"/>
      <c r="F70" s="637">
        <v>2.22119</v>
      </c>
      <c r="G70" s="689">
        <v>635.40323999999998</v>
      </c>
    </row>
    <row r="71" spans="1:7" ht="10.5" customHeight="1">
      <c r="A71" s="676" t="s">
        <v>533</v>
      </c>
      <c r="B71" s="512"/>
      <c r="C71" s="513"/>
      <c r="D71" s="513">
        <v>2.22119</v>
      </c>
      <c r="E71" s="513"/>
      <c r="F71" s="513">
        <v>2.22119</v>
      </c>
      <c r="G71" s="680">
        <v>635.40323999999998</v>
      </c>
    </row>
    <row r="72" spans="1:7" ht="10.5" customHeight="1">
      <c r="A72" s="678" t="s">
        <v>446</v>
      </c>
      <c r="B72" s="636" t="s">
        <v>460</v>
      </c>
      <c r="C72" s="637"/>
      <c r="D72" s="637"/>
      <c r="E72" s="637">
        <v>7688.8222000000005</v>
      </c>
      <c r="F72" s="637">
        <v>7688.8222000000005</v>
      </c>
      <c r="G72" s="689">
        <v>86871.396834999992</v>
      </c>
    </row>
    <row r="73" spans="1:7" ht="10.5" customHeight="1">
      <c r="A73" s="676" t="s">
        <v>534</v>
      </c>
      <c r="B73" s="512"/>
      <c r="C73" s="513"/>
      <c r="D73" s="513"/>
      <c r="E73" s="513">
        <v>7688.8222000000005</v>
      </c>
      <c r="F73" s="513">
        <v>7688.8222000000005</v>
      </c>
      <c r="G73" s="680">
        <v>86871.396834999992</v>
      </c>
    </row>
    <row r="74" spans="1:7" ht="10.5" customHeight="1">
      <c r="A74" s="331"/>
      <c r="B74" s="331"/>
      <c r="C74" s="331"/>
      <c r="D74" s="331"/>
      <c r="E74" s="331"/>
      <c r="F74" s="331"/>
      <c r="G74" s="331"/>
    </row>
    <row r="75" spans="1:7" ht="10.5" customHeight="1">
      <c r="A75" s="331"/>
      <c r="B75" s="331"/>
      <c r="C75" s="331"/>
      <c r="D75" s="331"/>
      <c r="E75" s="331"/>
      <c r="F75" s="331"/>
      <c r="G75" s="331"/>
    </row>
    <row r="76" spans="1:7" ht="10.5" customHeight="1">
      <c r="A76" s="331"/>
      <c r="B76" s="331"/>
      <c r="C76" s="331"/>
      <c r="D76" s="331"/>
      <c r="E76" s="331"/>
      <c r="F76" s="331"/>
      <c r="G76" s="331"/>
    </row>
    <row r="77" spans="1:7" ht="10.5" customHeight="1">
      <c r="A77" s="331"/>
      <c r="B77" s="331"/>
      <c r="C77" s="331"/>
      <c r="D77" s="331"/>
      <c r="E77" s="331"/>
      <c r="F77" s="331"/>
      <c r="G77" s="331"/>
    </row>
    <row r="78" spans="1:7" ht="10.5" customHeight="1">
      <c r="A78" s="331"/>
      <c r="B78" s="331"/>
      <c r="C78" s="331"/>
      <c r="D78" s="331"/>
      <c r="E78" s="331"/>
      <c r="F78" s="331"/>
      <c r="G78" s="331"/>
    </row>
    <row r="79" spans="1:7" ht="10.5" customHeight="1">
      <c r="A79" s="331"/>
      <c r="B79" s="331"/>
      <c r="C79" s="331"/>
      <c r="D79" s="331"/>
      <c r="E79" s="331"/>
      <c r="F79" s="331"/>
      <c r="G79" s="331"/>
    </row>
    <row r="80" spans="1:7" ht="10.5" customHeight="1">
      <c r="A80" s="331"/>
      <c r="B80" s="331"/>
      <c r="C80" s="331"/>
      <c r="D80" s="331"/>
      <c r="E80" s="331"/>
      <c r="F80" s="331"/>
      <c r="G80" s="331"/>
    </row>
    <row r="81" spans="1:7" ht="10.5" customHeight="1">
      <c r="A81" s="331"/>
      <c r="B81" s="331"/>
      <c r="C81" s="331"/>
      <c r="D81" s="331"/>
      <c r="E81" s="331"/>
      <c r="F81" s="331"/>
      <c r="G81" s="331"/>
    </row>
    <row r="82" spans="1:7" ht="10.5" customHeight="1">
      <c r="A82" s="331"/>
      <c r="B82" s="331"/>
      <c r="C82" s="331"/>
      <c r="D82" s="331"/>
      <c r="E82" s="331"/>
      <c r="F82" s="331"/>
      <c r="G82" s="331"/>
    </row>
    <row r="83" spans="1:7" ht="10.5" customHeight="1">
      <c r="A83" s="331"/>
      <c r="B83" s="331"/>
      <c r="C83" s="331"/>
      <c r="D83" s="331"/>
      <c r="E83" s="331"/>
      <c r="F83" s="331"/>
      <c r="G83" s="331"/>
    </row>
    <row r="84" spans="1:7" ht="10.5" customHeight="1">
      <c r="A84" s="331"/>
      <c r="B84" s="331"/>
      <c r="C84" s="331"/>
      <c r="D84" s="331"/>
      <c r="E84" s="331"/>
      <c r="F84" s="331"/>
      <c r="G84" s="331"/>
    </row>
    <row r="85" spans="1:7" ht="10.5" customHeight="1">
      <c r="A85" s="331"/>
      <c r="B85" s="331"/>
      <c r="C85" s="331"/>
      <c r="D85" s="331"/>
      <c r="E85" s="331"/>
      <c r="F85" s="331"/>
      <c r="G85" s="331"/>
    </row>
    <row r="86" spans="1:7" ht="10.5" customHeight="1">
      <c r="A86" s="331"/>
      <c r="B86" s="331"/>
      <c r="C86" s="331"/>
      <c r="D86" s="331"/>
      <c r="E86" s="331"/>
      <c r="F86" s="331"/>
      <c r="G86" s="331"/>
    </row>
    <row r="87" spans="1:7" ht="10.5" customHeight="1">
      <c r="A87" s="331"/>
      <c r="B87" s="331"/>
      <c r="C87" s="331"/>
      <c r="D87" s="331"/>
      <c r="E87" s="331"/>
      <c r="F87" s="331"/>
      <c r="G87" s="331"/>
    </row>
    <row r="88" spans="1:7" ht="10.5" customHeight="1">
      <c r="A88" s="331"/>
      <c r="B88" s="331"/>
      <c r="C88" s="331"/>
      <c r="D88" s="331"/>
      <c r="E88" s="331"/>
      <c r="F88" s="331"/>
      <c r="G88" s="331"/>
    </row>
    <row r="89" spans="1:7" ht="10.5" customHeight="1">
      <c r="A89" s="331"/>
      <c r="B89" s="331"/>
      <c r="C89" s="331"/>
      <c r="D89" s="331"/>
      <c r="E89" s="331"/>
      <c r="F89" s="331"/>
      <c r="G89" s="331"/>
    </row>
    <row r="90" spans="1:7" ht="10.5" customHeight="1">
      <c r="A90" s="331"/>
      <c r="B90" s="331"/>
      <c r="C90" s="331"/>
      <c r="D90" s="331"/>
      <c r="E90" s="331"/>
      <c r="F90" s="331"/>
      <c r="G90" s="331"/>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3"/>
  <sheetViews>
    <sheetView showGridLines="0" view="pageBreakPreview" zoomScaleNormal="100" zoomScaleSheetLayoutView="100" zoomScalePageLayoutView="160" workbookViewId="0">
      <selection activeCell="K45" sqref="K45"/>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86" t="s">
        <v>250</v>
      </c>
      <c r="B1" s="989" t="s">
        <v>54</v>
      </c>
      <c r="C1" s="992" t="str">
        <f>+'19. ANEXOI-2'!C1:F1</f>
        <v>ENERGÍA PRODUCIDA JULIO 2020</v>
      </c>
      <c r="D1" s="992"/>
      <c r="E1" s="992"/>
      <c r="F1" s="992"/>
      <c r="G1" s="631" t="s">
        <v>276</v>
      </c>
      <c r="H1" s="203"/>
    </row>
    <row r="2" spans="1:8" ht="11.25" customHeight="1">
      <c r="A2" s="987"/>
      <c r="B2" s="990"/>
      <c r="C2" s="993" t="s">
        <v>277</v>
      </c>
      <c r="D2" s="993"/>
      <c r="E2" s="993"/>
      <c r="F2" s="994" t="str">
        <f>"TOTAL 
"&amp;UPPER('1. Resumen'!Q4)</f>
        <v>TOTAL 
JULIO</v>
      </c>
      <c r="G2" s="632" t="s">
        <v>278</v>
      </c>
      <c r="H2" s="194"/>
    </row>
    <row r="3" spans="1:8" ht="11.25" customHeight="1">
      <c r="A3" s="987"/>
      <c r="B3" s="990"/>
      <c r="C3" s="623" t="s">
        <v>215</v>
      </c>
      <c r="D3" s="623" t="s">
        <v>216</v>
      </c>
      <c r="E3" s="623" t="s">
        <v>279</v>
      </c>
      <c r="F3" s="995"/>
      <c r="G3" s="632">
        <v>2020</v>
      </c>
      <c r="H3" s="196"/>
    </row>
    <row r="4" spans="1:8" ht="11.25" customHeight="1">
      <c r="A4" s="996"/>
      <c r="B4" s="997"/>
      <c r="C4" s="624" t="s">
        <v>280</v>
      </c>
      <c r="D4" s="624" t="s">
        <v>280</v>
      </c>
      <c r="E4" s="624" t="s">
        <v>280</v>
      </c>
      <c r="F4" s="624" t="s">
        <v>280</v>
      </c>
      <c r="G4" s="633" t="s">
        <v>208</v>
      </c>
      <c r="H4" s="196"/>
    </row>
    <row r="5" spans="1:8" s="331" customFormat="1" ht="9" customHeight="1">
      <c r="A5" s="674" t="s">
        <v>104</v>
      </c>
      <c r="B5" s="626" t="s">
        <v>61</v>
      </c>
      <c r="C5" s="627"/>
      <c r="D5" s="627"/>
      <c r="E5" s="627">
        <v>7939.7423199999994</v>
      </c>
      <c r="F5" s="627">
        <v>7939.7423199999994</v>
      </c>
      <c r="G5" s="679">
        <v>69012.534567499999</v>
      </c>
    </row>
    <row r="6" spans="1:8" s="331" customFormat="1" ht="9" customHeight="1">
      <c r="A6" s="676" t="s">
        <v>535</v>
      </c>
      <c r="B6" s="512"/>
      <c r="C6" s="513"/>
      <c r="D6" s="513"/>
      <c r="E6" s="513">
        <v>7939.7423199999994</v>
      </c>
      <c r="F6" s="513">
        <v>7939.7423199999994</v>
      </c>
      <c r="G6" s="680">
        <v>69012.534567499999</v>
      </c>
    </row>
    <row r="7" spans="1:8" s="331" customFormat="1" ht="9" customHeight="1">
      <c r="A7" s="674" t="s">
        <v>244</v>
      </c>
      <c r="B7" s="626" t="s">
        <v>332</v>
      </c>
      <c r="C7" s="627"/>
      <c r="D7" s="627">
        <v>0</v>
      </c>
      <c r="E7" s="627"/>
      <c r="F7" s="627">
        <v>0</v>
      </c>
      <c r="G7" s="679">
        <v>992.76196000000004</v>
      </c>
    </row>
    <row r="8" spans="1:8" s="331" customFormat="1" ht="9" customHeight="1">
      <c r="A8" s="676" t="s">
        <v>536</v>
      </c>
      <c r="B8" s="512"/>
      <c r="C8" s="513"/>
      <c r="D8" s="513">
        <v>0</v>
      </c>
      <c r="E8" s="513"/>
      <c r="F8" s="513">
        <v>0</v>
      </c>
      <c r="G8" s="680">
        <v>992.76196000000004</v>
      </c>
    </row>
    <row r="9" spans="1:8" s="331" customFormat="1" ht="9" customHeight="1">
      <c r="A9" s="674" t="s">
        <v>95</v>
      </c>
      <c r="B9" s="626" t="s">
        <v>333</v>
      </c>
      <c r="C9" s="627">
        <v>41121.345155000003</v>
      </c>
      <c r="D9" s="627"/>
      <c r="E9" s="627"/>
      <c r="F9" s="627">
        <v>41121.345155000003</v>
      </c>
      <c r="G9" s="679">
        <v>435348.00358999998</v>
      </c>
    </row>
    <row r="10" spans="1:8" s="331" customFormat="1" ht="9" customHeight="1">
      <c r="A10" s="676" t="s">
        <v>537</v>
      </c>
      <c r="B10" s="512"/>
      <c r="C10" s="513">
        <v>41121.345155000003</v>
      </c>
      <c r="D10" s="513"/>
      <c r="E10" s="513"/>
      <c r="F10" s="513">
        <v>41121.345155000003</v>
      </c>
      <c r="G10" s="680">
        <v>435348.00358999998</v>
      </c>
    </row>
    <row r="11" spans="1:8" s="331" customFormat="1" ht="9" customHeight="1">
      <c r="A11" s="674" t="s">
        <v>431</v>
      </c>
      <c r="B11" s="626" t="s">
        <v>467</v>
      </c>
      <c r="C11" s="627"/>
      <c r="D11" s="627"/>
      <c r="E11" s="627">
        <v>1599.664</v>
      </c>
      <c r="F11" s="627">
        <v>1599.664</v>
      </c>
      <c r="G11" s="679">
        <v>32440.422374999998</v>
      </c>
    </row>
    <row r="12" spans="1:8" s="331" customFormat="1" ht="9" customHeight="1">
      <c r="A12" s="676" t="s">
        <v>538</v>
      </c>
      <c r="B12" s="512"/>
      <c r="C12" s="513"/>
      <c r="D12" s="513"/>
      <c r="E12" s="513">
        <v>1599.664</v>
      </c>
      <c r="F12" s="513">
        <v>1599.664</v>
      </c>
      <c r="G12" s="680">
        <v>32440.422374999998</v>
      </c>
    </row>
    <row r="13" spans="1:8" s="331" customFormat="1" ht="9" customHeight="1">
      <c r="A13" s="674" t="s">
        <v>402</v>
      </c>
      <c r="B13" s="626" t="s">
        <v>406</v>
      </c>
      <c r="C13" s="627"/>
      <c r="D13" s="627"/>
      <c r="E13" s="627">
        <v>14841.791402499999</v>
      </c>
      <c r="F13" s="627">
        <v>14841.791402499999</v>
      </c>
      <c r="G13" s="679">
        <v>101406.41821249999</v>
      </c>
    </row>
    <row r="14" spans="1:8" s="331" customFormat="1" ht="9" customHeight="1">
      <c r="A14" s="676" t="s">
        <v>539</v>
      </c>
      <c r="B14" s="512"/>
      <c r="C14" s="513"/>
      <c r="D14" s="513"/>
      <c r="E14" s="513">
        <v>14841.791402499999</v>
      </c>
      <c r="F14" s="513">
        <v>14841.791402499999</v>
      </c>
      <c r="G14" s="680">
        <v>101406.41821249999</v>
      </c>
    </row>
    <row r="15" spans="1:8" s="331" customFormat="1" ht="9" customHeight="1">
      <c r="A15" s="674" t="s">
        <v>102</v>
      </c>
      <c r="B15" s="626" t="s">
        <v>334</v>
      </c>
      <c r="C15" s="627"/>
      <c r="D15" s="627">
        <v>0</v>
      </c>
      <c r="E15" s="627"/>
      <c r="F15" s="627">
        <v>0</v>
      </c>
      <c r="G15" s="679">
        <v>45912.861019999997</v>
      </c>
    </row>
    <row r="16" spans="1:8" s="331" customFormat="1" ht="9" customHeight="1">
      <c r="A16" s="676" t="s">
        <v>540</v>
      </c>
      <c r="B16" s="512"/>
      <c r="C16" s="513"/>
      <c r="D16" s="513">
        <v>0</v>
      </c>
      <c r="E16" s="513"/>
      <c r="F16" s="513">
        <v>0</v>
      </c>
      <c r="G16" s="680">
        <v>45912.861019999997</v>
      </c>
    </row>
    <row r="17" spans="1:7" s="331" customFormat="1" ht="9" customHeight="1">
      <c r="A17" s="674" t="s">
        <v>119</v>
      </c>
      <c r="B17" s="626" t="s">
        <v>335</v>
      </c>
      <c r="C17" s="627"/>
      <c r="D17" s="627">
        <v>0</v>
      </c>
      <c r="E17" s="627"/>
      <c r="F17" s="627">
        <v>0</v>
      </c>
      <c r="G17" s="679">
        <v>1241.2160099999999</v>
      </c>
    </row>
    <row r="18" spans="1:7" s="331" customFormat="1" ht="9" customHeight="1">
      <c r="A18" s="676" t="s">
        <v>541</v>
      </c>
      <c r="B18" s="512"/>
      <c r="C18" s="513"/>
      <c r="D18" s="513">
        <v>0</v>
      </c>
      <c r="E18" s="513"/>
      <c r="F18" s="513">
        <v>0</v>
      </c>
      <c r="G18" s="680">
        <v>1241.2160099999999</v>
      </c>
    </row>
    <row r="19" spans="1:7" s="331" customFormat="1" ht="9" customHeight="1">
      <c r="A19" s="674" t="s">
        <v>113</v>
      </c>
      <c r="B19" s="626" t="s">
        <v>461</v>
      </c>
      <c r="C19" s="627"/>
      <c r="D19" s="627"/>
      <c r="E19" s="627">
        <v>12491.518962499998</v>
      </c>
      <c r="F19" s="627">
        <v>12491.518962499998</v>
      </c>
      <c r="G19" s="679">
        <v>96112.533697499981</v>
      </c>
    </row>
    <row r="20" spans="1:7" s="331" customFormat="1" ht="9" customHeight="1">
      <c r="A20" s="674"/>
      <c r="B20" s="626" t="s">
        <v>69</v>
      </c>
      <c r="C20" s="627"/>
      <c r="D20" s="627"/>
      <c r="E20" s="627">
        <v>3746.7210850000001</v>
      </c>
      <c r="F20" s="627">
        <v>3746.7210850000001</v>
      </c>
      <c r="G20" s="679">
        <v>35382.688707499998</v>
      </c>
    </row>
    <row r="21" spans="1:7" s="331" customFormat="1" ht="9" customHeight="1">
      <c r="A21" s="676" t="s">
        <v>542</v>
      </c>
      <c r="B21" s="512"/>
      <c r="C21" s="513"/>
      <c r="D21" s="513"/>
      <c r="E21" s="513">
        <v>16238.240047499999</v>
      </c>
      <c r="F21" s="513">
        <v>16238.240047499999</v>
      </c>
      <c r="G21" s="680">
        <v>131495.22240499998</v>
      </c>
    </row>
    <row r="22" spans="1:7" s="331" customFormat="1" ht="9" customHeight="1">
      <c r="A22" s="674" t="s">
        <v>90</v>
      </c>
      <c r="B22" s="626" t="s">
        <v>336</v>
      </c>
      <c r="C22" s="627">
        <v>16689.088935</v>
      </c>
      <c r="D22" s="627"/>
      <c r="E22" s="627"/>
      <c r="F22" s="627">
        <v>16689.088935</v>
      </c>
      <c r="G22" s="679">
        <v>193022.26805499999</v>
      </c>
    </row>
    <row r="23" spans="1:7" s="331" customFormat="1" ht="9" customHeight="1">
      <c r="A23" s="674"/>
      <c r="B23" s="626" t="s">
        <v>337</v>
      </c>
      <c r="C23" s="627">
        <v>37867.329562499996</v>
      </c>
      <c r="D23" s="627"/>
      <c r="E23" s="627"/>
      <c r="F23" s="627">
        <v>37867.329562499996</v>
      </c>
      <c r="G23" s="679">
        <v>532669.35146999999</v>
      </c>
    </row>
    <row r="24" spans="1:7" s="331" customFormat="1" ht="9" customHeight="1">
      <c r="A24" s="674"/>
      <c r="B24" s="626" t="s">
        <v>338</v>
      </c>
      <c r="C24" s="627">
        <v>3756.3098174999996</v>
      </c>
      <c r="D24" s="627"/>
      <c r="E24" s="627"/>
      <c r="F24" s="627">
        <v>3756.3098174999996</v>
      </c>
      <c r="G24" s="679">
        <v>71617.42929</v>
      </c>
    </row>
    <row r="25" spans="1:7" s="331" customFormat="1" ht="9" customHeight="1">
      <c r="A25" s="674"/>
      <c r="B25" s="626" t="s">
        <v>339</v>
      </c>
      <c r="C25" s="627">
        <v>0</v>
      </c>
      <c r="D25" s="627"/>
      <c r="E25" s="627"/>
      <c r="F25" s="627">
        <v>0</v>
      </c>
      <c r="G25" s="679">
        <v>286.87112500000001</v>
      </c>
    </row>
    <row r="26" spans="1:7" s="331" customFormat="1" ht="9" customHeight="1">
      <c r="A26" s="674"/>
      <c r="B26" s="626" t="s">
        <v>340</v>
      </c>
      <c r="C26" s="627">
        <v>17746.3255775</v>
      </c>
      <c r="D26" s="627"/>
      <c r="E26" s="627"/>
      <c r="F26" s="627">
        <v>17746.3255775</v>
      </c>
      <c r="G26" s="679">
        <v>164378.60556499998</v>
      </c>
    </row>
    <row r="27" spans="1:7" s="331" customFormat="1" ht="9" customHeight="1">
      <c r="A27" s="674"/>
      <c r="B27" s="626" t="s">
        <v>341</v>
      </c>
      <c r="C27" s="627">
        <v>2510.2997325000001</v>
      </c>
      <c r="D27" s="627"/>
      <c r="E27" s="627"/>
      <c r="F27" s="627">
        <v>2510.2997325000001</v>
      </c>
      <c r="G27" s="679">
        <v>14139.215607499998</v>
      </c>
    </row>
    <row r="28" spans="1:7" s="331" customFormat="1" ht="9" customHeight="1">
      <c r="A28" s="674"/>
      <c r="B28" s="626" t="s">
        <v>342</v>
      </c>
      <c r="C28" s="627">
        <v>4352.2906499999999</v>
      </c>
      <c r="D28" s="627"/>
      <c r="E28" s="627"/>
      <c r="F28" s="627">
        <v>4352.2906499999999</v>
      </c>
      <c r="G28" s="679">
        <v>34115.545080000004</v>
      </c>
    </row>
    <row r="29" spans="1:7" s="331" customFormat="1" ht="8.25" customHeight="1">
      <c r="A29" s="674"/>
      <c r="B29" s="626" t="s">
        <v>343</v>
      </c>
      <c r="C29" s="627">
        <v>2851.8738249999997</v>
      </c>
      <c r="D29" s="627"/>
      <c r="E29" s="627"/>
      <c r="F29" s="627">
        <v>2851.8738249999997</v>
      </c>
      <c r="G29" s="679">
        <v>16424.3364525</v>
      </c>
    </row>
    <row r="30" spans="1:7" s="331" customFormat="1" ht="9" customHeight="1">
      <c r="A30" s="674"/>
      <c r="B30" s="626" t="s">
        <v>344</v>
      </c>
      <c r="C30" s="627">
        <v>1159.888635</v>
      </c>
      <c r="D30" s="627"/>
      <c r="E30" s="627"/>
      <c r="F30" s="627">
        <v>1159.888635</v>
      </c>
      <c r="G30" s="679">
        <v>8202.0033674999995</v>
      </c>
    </row>
    <row r="31" spans="1:7" s="331" customFormat="1" ht="9" customHeight="1">
      <c r="A31" s="674"/>
      <c r="B31" s="626" t="s">
        <v>345</v>
      </c>
      <c r="C31" s="627">
        <v>19.59</v>
      </c>
      <c r="D31" s="627"/>
      <c r="E31" s="627"/>
      <c r="F31" s="627">
        <v>19.59</v>
      </c>
      <c r="G31" s="679">
        <v>733.45442000000003</v>
      </c>
    </row>
    <row r="32" spans="1:7" s="331" customFormat="1" ht="9" customHeight="1">
      <c r="A32" s="674"/>
      <c r="B32" s="626" t="s">
        <v>346</v>
      </c>
      <c r="C32" s="627">
        <v>16.32</v>
      </c>
      <c r="D32" s="627"/>
      <c r="E32" s="627"/>
      <c r="F32" s="627">
        <v>16.32</v>
      </c>
      <c r="G32" s="679">
        <v>899.20386000000008</v>
      </c>
    </row>
    <row r="33" spans="1:8" s="331" customFormat="1" ht="9" customHeight="1">
      <c r="A33" s="674"/>
      <c r="B33" s="626" t="s">
        <v>347</v>
      </c>
      <c r="C33" s="627">
        <v>64923.240290000002</v>
      </c>
      <c r="D33" s="627"/>
      <c r="E33" s="627"/>
      <c r="F33" s="627">
        <v>64923.240290000002</v>
      </c>
      <c r="G33" s="679">
        <v>469673.17757</v>
      </c>
    </row>
    <row r="34" spans="1:8" s="331" customFormat="1" ht="9" customHeight="1">
      <c r="A34" s="676" t="s">
        <v>543</v>
      </c>
      <c r="B34" s="512"/>
      <c r="C34" s="513">
        <v>151892.55702499999</v>
      </c>
      <c r="D34" s="513"/>
      <c r="E34" s="513"/>
      <c r="F34" s="513">
        <v>151892.55702499999</v>
      </c>
      <c r="G34" s="680">
        <v>1506161.4618624998</v>
      </c>
    </row>
    <row r="35" spans="1:8" s="331" customFormat="1" ht="9" customHeight="1">
      <c r="A35" s="674" t="s">
        <v>109</v>
      </c>
      <c r="B35" s="626" t="s">
        <v>231</v>
      </c>
      <c r="C35" s="627"/>
      <c r="D35" s="627"/>
      <c r="E35" s="627">
        <v>3728.30899</v>
      </c>
      <c r="F35" s="627">
        <v>3728.30899</v>
      </c>
      <c r="G35" s="679">
        <v>26373.362497500002</v>
      </c>
    </row>
    <row r="36" spans="1:8" s="331" customFormat="1" ht="9" customHeight="1">
      <c r="A36" s="676" t="s">
        <v>544</v>
      </c>
      <c r="B36" s="512"/>
      <c r="C36" s="513"/>
      <c r="D36" s="513"/>
      <c r="E36" s="513">
        <v>3728.30899</v>
      </c>
      <c r="F36" s="513">
        <v>3728.30899</v>
      </c>
      <c r="G36" s="680">
        <v>26373.362497500002</v>
      </c>
    </row>
    <row r="37" spans="1:8">
      <c r="A37" s="674" t="s">
        <v>100</v>
      </c>
      <c r="B37" s="626" t="s">
        <v>433</v>
      </c>
      <c r="C37" s="626"/>
      <c r="D37" s="626">
        <v>0</v>
      </c>
      <c r="E37" s="626"/>
      <c r="F37" s="626">
        <v>0</v>
      </c>
      <c r="G37" s="681">
        <v>517522.10065749998</v>
      </c>
    </row>
    <row r="38" spans="1:8">
      <c r="A38" s="676" t="s">
        <v>545</v>
      </c>
      <c r="B38" s="512"/>
      <c r="C38" s="513"/>
      <c r="D38" s="513">
        <v>0</v>
      </c>
      <c r="E38" s="513"/>
      <c r="F38" s="513">
        <v>0</v>
      </c>
      <c r="G38" s="680">
        <v>517522.10065749998</v>
      </c>
    </row>
    <row r="39" spans="1:8">
      <c r="A39" s="682" t="s">
        <v>105</v>
      </c>
      <c r="B39" s="638" t="s">
        <v>348</v>
      </c>
      <c r="C39" s="639"/>
      <c r="D39" s="639">
        <v>0</v>
      </c>
      <c r="E39" s="639"/>
      <c r="F39" s="639">
        <v>0</v>
      </c>
      <c r="G39" s="683">
        <v>15849.4007525</v>
      </c>
    </row>
    <row r="40" spans="1:8">
      <c r="A40" s="684" t="s">
        <v>546</v>
      </c>
      <c r="B40" s="685"/>
      <c r="C40" s="686"/>
      <c r="D40" s="686">
        <v>0</v>
      </c>
      <c r="E40" s="686"/>
      <c r="F40" s="686">
        <v>0</v>
      </c>
      <c r="G40" s="687">
        <v>15849.4007525</v>
      </c>
    </row>
    <row r="41" spans="1:8">
      <c r="A41" s="497" t="s">
        <v>422</v>
      </c>
      <c r="B41" s="497"/>
      <c r="C41" s="496">
        <v>1917337.7669474997</v>
      </c>
      <c r="D41" s="496">
        <v>1851274.7340525</v>
      </c>
      <c r="E41" s="496">
        <v>370812.20855499996</v>
      </c>
      <c r="F41" s="496">
        <v>4139424.709555001</v>
      </c>
      <c r="G41" s="640">
        <v>27283130.827645004</v>
      </c>
    </row>
    <row r="42" spans="1:8">
      <c r="A42" s="497" t="s">
        <v>349</v>
      </c>
      <c r="B42" s="497"/>
      <c r="C42" s="498"/>
      <c r="D42" s="498"/>
      <c r="E42" s="533"/>
      <c r="F42" s="499">
        <f>+'3. Tipo Generación'!D14*1000</f>
        <v>11404.668589999994</v>
      </c>
      <c r="G42" s="641">
        <f>+'4. Tipo Recurso'!$G$21*1000</f>
        <v>34021.143199999999</v>
      </c>
    </row>
    <row r="43" spans="1:8">
      <c r="A43" s="642" t="s">
        <v>350</v>
      </c>
      <c r="B43" s="497"/>
      <c r="C43" s="498"/>
      <c r="D43" s="498"/>
      <c r="E43" s="533"/>
      <c r="F43" s="499"/>
      <c r="G43" s="641"/>
    </row>
    <row r="44" spans="1:8" ht="6.75" customHeight="1">
      <c r="A44" s="643"/>
      <c r="B44" s="643"/>
      <c r="C44" s="643"/>
      <c r="D44" s="643"/>
      <c r="E44" s="643"/>
      <c r="F44" s="643"/>
      <c r="G44" s="643"/>
    </row>
    <row r="45" spans="1:8" ht="23.25" customHeight="1">
      <c r="A45" s="999" t="s">
        <v>480</v>
      </c>
      <c r="B45" s="999"/>
      <c r="C45" s="999"/>
      <c r="D45" s="999"/>
      <c r="E45" s="999"/>
      <c r="F45" s="999"/>
      <c r="G45" s="999"/>
    </row>
    <row r="46" spans="1:8" ht="17.25" customHeight="1">
      <c r="A46" s="706"/>
      <c r="B46" s="706"/>
      <c r="C46" s="706"/>
      <c r="D46" s="706"/>
      <c r="E46" s="706"/>
      <c r="F46" s="706"/>
      <c r="G46" s="706"/>
      <c r="H46" s="46"/>
    </row>
    <row r="47" spans="1:8" ht="17.25" customHeight="1">
      <c r="A47" s="706" t="s">
        <v>672</v>
      </c>
      <c r="B47" s="706"/>
      <c r="C47" s="706"/>
      <c r="D47" s="706"/>
      <c r="E47" s="706"/>
      <c r="F47" s="706"/>
      <c r="G47" s="706"/>
      <c r="H47" s="46"/>
    </row>
    <row r="48" spans="1:8" s="412" customFormat="1" ht="17.25" customHeight="1">
      <c r="A48" s="706" t="s">
        <v>689</v>
      </c>
      <c r="B48" s="706"/>
      <c r="C48" s="706"/>
      <c r="D48" s="706"/>
      <c r="E48" s="706"/>
      <c r="F48" s="706"/>
      <c r="G48" s="706"/>
      <c r="H48" s="46"/>
    </row>
    <row r="49" spans="1:8" ht="17.25" customHeight="1">
      <c r="B49" s="706"/>
      <c r="C49" s="706"/>
      <c r="D49" s="706"/>
      <c r="E49" s="706"/>
      <c r="F49" s="706"/>
      <c r="G49" s="706"/>
      <c r="H49" s="46"/>
    </row>
    <row r="50" spans="1:8" ht="17.25" customHeight="1">
      <c r="A50" s="706"/>
      <c r="B50" s="278"/>
      <c r="C50" s="278"/>
      <c r="D50" s="278"/>
      <c r="E50" s="278"/>
      <c r="F50" s="278"/>
      <c r="G50" s="46"/>
      <c r="H50" s="46"/>
    </row>
    <row r="51" spans="1:8" ht="17.25" customHeight="1">
      <c r="A51" s="706"/>
      <c r="B51" s="278"/>
      <c r="C51" s="278"/>
      <c r="D51" s="278"/>
      <c r="E51" s="278"/>
      <c r="F51" s="278"/>
      <c r="G51" s="46"/>
      <c r="H51" s="46"/>
    </row>
    <row r="52" spans="1:8" ht="22.5" customHeight="1">
      <c r="A52" s="998"/>
      <c r="B52" s="998"/>
      <c r="C52" s="998"/>
      <c r="D52" s="998"/>
      <c r="E52" s="998"/>
      <c r="F52" s="998"/>
      <c r="G52" s="998"/>
    </row>
    <row r="53" spans="1:8" ht="16.5" customHeight="1">
      <c r="A53" s="706"/>
      <c r="B53" s="274"/>
      <c r="C53" s="274"/>
      <c r="D53" s="274"/>
      <c r="E53" s="274"/>
      <c r="F53" s="274"/>
    </row>
    <row r="54" spans="1:8" s="730" customFormat="1" ht="16.5" customHeight="1">
      <c r="A54" s="706"/>
      <c r="B54" s="274"/>
      <c r="C54" s="274"/>
      <c r="D54" s="274"/>
      <c r="E54" s="274"/>
      <c r="F54" s="274"/>
    </row>
    <row r="55" spans="1:8" s="730" customFormat="1" ht="16.5" customHeight="1">
      <c r="A55" s="706"/>
      <c r="B55" s="274"/>
      <c r="C55" s="274"/>
      <c r="D55" s="274"/>
      <c r="E55" s="274"/>
      <c r="F55" s="274"/>
    </row>
    <row r="56" spans="1:8">
      <c r="A56" s="331"/>
      <c r="B56" s="274"/>
      <c r="C56" s="274"/>
      <c r="D56" s="274"/>
      <c r="E56" s="274"/>
      <c r="F56" s="274"/>
    </row>
    <row r="57" spans="1:8">
      <c r="A57" s="331"/>
      <c r="B57" s="274"/>
      <c r="C57" s="274"/>
      <c r="D57" s="274"/>
      <c r="E57" s="274"/>
      <c r="F57" s="274"/>
    </row>
    <row r="58" spans="1:8">
      <c r="A58" s="331"/>
      <c r="B58" s="274"/>
      <c r="C58" s="274"/>
      <c r="D58" s="274"/>
      <c r="E58" s="274"/>
      <c r="F58" s="274"/>
    </row>
    <row r="59" spans="1:8">
      <c r="A59" s="331"/>
      <c r="B59" s="274"/>
      <c r="C59" s="274"/>
      <c r="D59" s="274"/>
      <c r="E59" s="274"/>
      <c r="F59" s="274"/>
    </row>
    <row r="60" spans="1:8">
      <c r="A60" s="331"/>
      <c r="B60" s="274"/>
      <c r="C60" s="274"/>
      <c r="D60" s="274"/>
      <c r="E60" s="274"/>
      <c r="F60" s="274"/>
    </row>
    <row r="61" spans="1:8">
      <c r="A61" s="331"/>
    </row>
    <row r="62" spans="1:8">
      <c r="A62" s="331"/>
    </row>
    <row r="63" spans="1:8">
      <c r="A63" s="331"/>
    </row>
  </sheetData>
  <mergeCells count="7">
    <mergeCell ref="A52:G52"/>
    <mergeCell ref="A45:G4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Normal="100" zoomScaleSheetLayoutView="100" zoomScalePageLayoutView="160" workbookViewId="0">
      <selection activeCell="N53" sqref="N53"/>
    </sheetView>
  </sheetViews>
  <sheetFormatPr baseColWidth="10" defaultColWidth="9.28515625" defaultRowHeight="9.6"/>
  <cols>
    <col min="1" max="1" width="28.85546875" style="274" customWidth="1"/>
    <col min="2" max="2" width="27.42578125" style="274" customWidth="1"/>
    <col min="3" max="3" width="17.7109375" style="274" customWidth="1"/>
    <col min="4" max="4" width="18" style="274" customWidth="1"/>
    <col min="5" max="5" width="18.85546875" style="274" customWidth="1"/>
    <col min="6" max="6" width="15.140625" style="274" customWidth="1"/>
    <col min="7" max="7" width="9.28515625" style="274"/>
    <col min="8" max="8" width="15.7109375" style="274" customWidth="1"/>
    <col min="9" max="9" width="9.28515625" style="274"/>
    <col min="10" max="11" width="9.28515625" style="274" customWidth="1"/>
    <col min="12" max="16384" width="9.28515625" style="274"/>
  </cols>
  <sheetData>
    <row r="1" spans="1:12" ht="11.25" customHeight="1">
      <c r="A1" s="652" t="s">
        <v>353</v>
      </c>
      <c r="B1" s="653"/>
      <c r="C1" s="653"/>
      <c r="D1" s="653"/>
      <c r="E1" s="653"/>
      <c r="F1" s="653"/>
    </row>
    <row r="2" spans="1:12" s="331" customFormat="1" ht="11.25" customHeight="1">
      <c r="A2" s="1000" t="s">
        <v>250</v>
      </c>
      <c r="B2" s="1003" t="s">
        <v>54</v>
      </c>
      <c r="C2" s="1003" t="s">
        <v>354</v>
      </c>
      <c r="D2" s="1003"/>
      <c r="E2" s="1003"/>
      <c r="F2" s="1006"/>
      <c r="G2" s="439"/>
      <c r="H2" s="439"/>
      <c r="I2" s="439"/>
      <c r="J2" s="439"/>
      <c r="K2" s="439"/>
    </row>
    <row r="3" spans="1:12" s="331" customFormat="1" ht="11.25" customHeight="1">
      <c r="A3" s="1001"/>
      <c r="B3" s="1004"/>
      <c r="C3" s="500" t="str">
        <f>UPPER('1. Resumen'!Q4)&amp;" "&amp;'1. Resumen'!Q5</f>
        <v>JULIO 2020</v>
      </c>
      <c r="D3" s="501" t="str">
        <f>UPPER('1. Resumen'!Q4)&amp;" "&amp;'1. Resumen'!Q5-1</f>
        <v>JULIO 2019</v>
      </c>
      <c r="E3" s="501">
        <v>2020</v>
      </c>
      <c r="F3" s="644" t="s">
        <v>479</v>
      </c>
      <c r="G3" s="440"/>
      <c r="H3" s="440"/>
      <c r="I3" s="440"/>
      <c r="J3" s="440"/>
      <c r="K3" s="440"/>
      <c r="L3" s="439"/>
    </row>
    <row r="4" spans="1:12" s="331" customFormat="1" ht="11.25" customHeight="1">
      <c r="A4" s="1001"/>
      <c r="B4" s="1004"/>
      <c r="C4" s="503">
        <f>+'8. Max Potencia'!D8</f>
        <v>44035.8125</v>
      </c>
      <c r="D4" s="503">
        <f>+'8. Max Potencia'!E8</f>
        <v>43668.854166666664</v>
      </c>
      <c r="E4" s="503">
        <f>+'8. Max Potencia'!G8</f>
        <v>43886.8125</v>
      </c>
      <c r="F4" s="645" t="s">
        <v>351</v>
      </c>
      <c r="G4" s="441"/>
      <c r="H4" s="441"/>
      <c r="I4" s="442"/>
      <c r="J4" s="442"/>
      <c r="K4" s="442"/>
      <c r="L4" s="439"/>
    </row>
    <row r="5" spans="1:12" s="331" customFormat="1" ht="11.25" customHeight="1">
      <c r="A5" s="1002"/>
      <c r="B5" s="1005"/>
      <c r="C5" s="647">
        <f>+'8. Max Potencia'!D9</f>
        <v>44035.8125</v>
      </c>
      <c r="D5" s="647">
        <f>+'8. Max Potencia'!E9</f>
        <v>43668.854166666664</v>
      </c>
      <c r="E5" s="647">
        <f>+'8. Max Potencia'!G9</f>
        <v>43886.8125</v>
      </c>
      <c r="F5" s="648" t="s">
        <v>352</v>
      </c>
      <c r="G5" s="441"/>
      <c r="H5" s="441"/>
      <c r="I5" s="441"/>
      <c r="J5" s="441"/>
      <c r="K5" s="441"/>
      <c r="L5" s="443"/>
    </row>
    <row r="6" spans="1:12" s="331" customFormat="1" ht="9" customHeight="1">
      <c r="A6" s="694" t="s">
        <v>121</v>
      </c>
      <c r="B6" s="436" t="s">
        <v>86</v>
      </c>
      <c r="C6" s="444">
        <v>0</v>
      </c>
      <c r="D6" s="786">
        <v>0</v>
      </c>
      <c r="E6" s="789">
        <v>0</v>
      </c>
      <c r="F6" s="699" t="str">
        <f>+IF(D6=0,"",C6/D6-1)</f>
        <v/>
      </c>
      <c r="G6" s="441"/>
      <c r="H6" s="751"/>
      <c r="I6" s="751"/>
      <c r="J6" s="441"/>
      <c r="K6" s="441"/>
      <c r="L6" s="445"/>
    </row>
    <row r="7" spans="1:12" s="331" customFormat="1" ht="9" customHeight="1">
      <c r="A7" s="676" t="s">
        <v>488</v>
      </c>
      <c r="B7" s="512"/>
      <c r="C7" s="514">
        <v>0</v>
      </c>
      <c r="D7" s="787">
        <v>0</v>
      </c>
      <c r="E7" s="790">
        <v>0</v>
      </c>
      <c r="F7" s="677" t="str">
        <f t="shared" ref="F7:F70" si="0">+IF(D7=0,"",C7/D7-1)</f>
        <v/>
      </c>
      <c r="G7" s="441"/>
      <c r="H7" s="751"/>
      <c r="I7" s="751"/>
      <c r="J7" s="441"/>
      <c r="K7" s="441"/>
      <c r="L7" s="446"/>
    </row>
    <row r="8" spans="1:12" s="331" customFormat="1" ht="9" customHeight="1">
      <c r="A8" s="694" t="s">
        <v>120</v>
      </c>
      <c r="B8" s="436" t="s">
        <v>63</v>
      </c>
      <c r="C8" s="444">
        <v>3.0442100000000001</v>
      </c>
      <c r="D8" s="786">
        <v>3.5552600000000001</v>
      </c>
      <c r="E8" s="789">
        <v>12.31569</v>
      </c>
      <c r="F8" s="700">
        <f t="shared" si="0"/>
        <v>-0.14374476128328162</v>
      </c>
      <c r="G8" s="441"/>
      <c r="H8" s="751"/>
      <c r="I8" s="751"/>
      <c r="J8" s="441"/>
      <c r="K8" s="441"/>
      <c r="L8" s="447"/>
    </row>
    <row r="9" spans="1:12" s="331" customFormat="1" ht="9" customHeight="1">
      <c r="A9" s="676" t="s">
        <v>489</v>
      </c>
      <c r="B9" s="512"/>
      <c r="C9" s="514">
        <v>3.0442100000000001</v>
      </c>
      <c r="D9" s="787">
        <v>3.5552600000000001</v>
      </c>
      <c r="E9" s="790">
        <v>12.31569</v>
      </c>
      <c r="F9" s="677">
        <f t="shared" si="0"/>
        <v>-0.14374476128328162</v>
      </c>
      <c r="G9" s="441"/>
      <c r="H9" s="751"/>
      <c r="I9" s="751"/>
      <c r="J9" s="441"/>
      <c r="K9" s="441"/>
      <c r="L9" s="446"/>
    </row>
    <row r="10" spans="1:12" s="331" customFormat="1" ht="9" customHeight="1">
      <c r="A10" s="674" t="s">
        <v>106</v>
      </c>
      <c r="B10" s="626" t="s">
        <v>83</v>
      </c>
      <c r="C10" s="628">
        <v>0</v>
      </c>
      <c r="D10" s="788">
        <v>14.317920000000001</v>
      </c>
      <c r="E10" s="791">
        <v>0</v>
      </c>
      <c r="F10" s="675">
        <f t="shared" si="0"/>
        <v>-1</v>
      </c>
      <c r="G10" s="441"/>
      <c r="H10" s="751"/>
      <c r="I10" s="751"/>
      <c r="J10" s="441"/>
      <c r="K10" s="441"/>
      <c r="L10" s="446"/>
    </row>
    <row r="11" spans="1:12" s="331" customFormat="1" ht="9" customHeight="1">
      <c r="A11" s="676" t="s">
        <v>490</v>
      </c>
      <c r="B11" s="512"/>
      <c r="C11" s="514">
        <v>0</v>
      </c>
      <c r="D11" s="787">
        <v>14.317920000000001</v>
      </c>
      <c r="E11" s="790">
        <v>0</v>
      </c>
      <c r="F11" s="677">
        <f t="shared" si="0"/>
        <v>-1</v>
      </c>
      <c r="G11" s="441"/>
      <c r="H11" s="751"/>
      <c r="I11" s="751"/>
      <c r="J11" s="441"/>
      <c r="K11" s="441"/>
      <c r="L11" s="446"/>
    </row>
    <row r="12" spans="1:12" s="331" customFormat="1" ht="9" customHeight="1">
      <c r="A12" s="674" t="s">
        <v>418</v>
      </c>
      <c r="B12" s="626" t="s">
        <v>420</v>
      </c>
      <c r="C12" s="628">
        <v>17.384630000000001</v>
      </c>
      <c r="D12" s="788">
        <v>15.855229999999999</v>
      </c>
      <c r="E12" s="791">
        <v>20.564639999999997</v>
      </c>
      <c r="F12" s="675">
        <f t="shared" si="0"/>
        <v>9.6460284713624667E-2</v>
      </c>
      <c r="G12" s="441"/>
      <c r="H12" s="751"/>
      <c r="I12" s="751"/>
      <c r="J12" s="441"/>
      <c r="K12" s="441"/>
      <c r="L12" s="446"/>
    </row>
    <row r="13" spans="1:12" s="331" customFormat="1" ht="9" customHeight="1">
      <c r="A13" s="676" t="s">
        <v>491</v>
      </c>
      <c r="B13" s="512"/>
      <c r="C13" s="514">
        <v>17.384630000000001</v>
      </c>
      <c r="D13" s="787">
        <v>15.855229999999999</v>
      </c>
      <c r="E13" s="790">
        <v>20.564639999999997</v>
      </c>
      <c r="F13" s="677">
        <f t="shared" si="0"/>
        <v>9.6460284713624667E-2</v>
      </c>
      <c r="G13" s="441"/>
      <c r="H13" s="751"/>
      <c r="I13" s="751"/>
      <c r="J13" s="441"/>
      <c r="K13" s="441"/>
      <c r="L13" s="446"/>
    </row>
    <row r="14" spans="1:12" s="331" customFormat="1" ht="9" customHeight="1">
      <c r="A14" s="674" t="s">
        <v>457</v>
      </c>
      <c r="B14" s="626" t="s">
        <v>464</v>
      </c>
      <c r="C14" s="628">
        <v>0</v>
      </c>
      <c r="D14" s="788"/>
      <c r="E14" s="791">
        <v>9.125</v>
      </c>
      <c r="F14" s="675" t="str">
        <f t="shared" si="0"/>
        <v/>
      </c>
      <c r="G14" s="441"/>
      <c r="H14" s="751"/>
      <c r="I14" s="751"/>
      <c r="J14" s="441"/>
      <c r="K14" s="441"/>
      <c r="L14" s="446"/>
    </row>
    <row r="15" spans="1:12" s="331" customFormat="1" ht="9" customHeight="1">
      <c r="A15" s="676" t="s">
        <v>492</v>
      </c>
      <c r="B15" s="512"/>
      <c r="C15" s="514">
        <v>0</v>
      </c>
      <c r="D15" s="787"/>
      <c r="E15" s="790">
        <v>9.125</v>
      </c>
      <c r="F15" s="677" t="str">
        <f t="shared" si="0"/>
        <v/>
      </c>
      <c r="G15" s="441"/>
      <c r="H15" s="751"/>
      <c r="I15" s="751"/>
      <c r="J15" s="441"/>
      <c r="K15" s="441"/>
      <c r="L15" s="446"/>
    </row>
    <row r="16" spans="1:12" s="331" customFormat="1" ht="9" customHeight="1">
      <c r="A16" s="674" t="s">
        <v>94</v>
      </c>
      <c r="B16" s="626" t="s">
        <v>281</v>
      </c>
      <c r="C16" s="628">
        <v>137.56891000000002</v>
      </c>
      <c r="D16" s="788">
        <v>57.046239999999997</v>
      </c>
      <c r="E16" s="791">
        <v>209.33445999999998</v>
      </c>
      <c r="F16" s="675">
        <f t="shared" si="0"/>
        <v>1.4115333455807084</v>
      </c>
      <c r="G16" s="441"/>
      <c r="H16" s="751"/>
      <c r="I16" s="751"/>
      <c r="J16" s="441"/>
      <c r="K16" s="441"/>
      <c r="L16" s="446"/>
    </row>
    <row r="17" spans="1:16" s="331" customFormat="1" ht="9" customHeight="1">
      <c r="A17" s="676" t="s">
        <v>493</v>
      </c>
      <c r="B17" s="512"/>
      <c r="C17" s="514">
        <v>137.56891000000002</v>
      </c>
      <c r="D17" s="787">
        <v>57.046239999999997</v>
      </c>
      <c r="E17" s="790">
        <v>209.33445999999998</v>
      </c>
      <c r="F17" s="677">
        <f t="shared" si="0"/>
        <v>1.4115333455807084</v>
      </c>
      <c r="G17" s="441"/>
      <c r="H17" s="751"/>
      <c r="I17" s="751"/>
      <c r="J17" s="441"/>
      <c r="K17" s="441"/>
      <c r="L17" s="447"/>
    </row>
    <row r="18" spans="1:16" s="331" customFormat="1" ht="9" customHeight="1">
      <c r="A18" s="674" t="s">
        <v>236</v>
      </c>
      <c r="B18" s="626" t="s">
        <v>282</v>
      </c>
      <c r="C18" s="628">
        <v>0</v>
      </c>
      <c r="D18" s="788">
        <v>0</v>
      </c>
      <c r="E18" s="791">
        <v>0</v>
      </c>
      <c r="F18" s="675" t="str">
        <f t="shared" si="0"/>
        <v/>
      </c>
      <c r="G18" s="441"/>
      <c r="H18" s="751"/>
      <c r="I18" s="751"/>
      <c r="J18" s="441"/>
      <c r="K18" s="441"/>
      <c r="L18" s="447"/>
    </row>
    <row r="19" spans="1:16" s="331" customFormat="1" ht="9" customHeight="1">
      <c r="A19" s="676" t="s">
        <v>494</v>
      </c>
      <c r="B19" s="512"/>
      <c r="C19" s="514">
        <v>0</v>
      </c>
      <c r="D19" s="787">
        <v>0</v>
      </c>
      <c r="E19" s="790">
        <v>0</v>
      </c>
      <c r="F19" s="677" t="str">
        <f t="shared" si="0"/>
        <v/>
      </c>
      <c r="G19" s="441"/>
      <c r="H19" s="751"/>
      <c r="I19" s="751"/>
      <c r="J19" s="441"/>
      <c r="K19" s="441"/>
      <c r="L19" s="447"/>
    </row>
    <row r="20" spans="1:16" s="331" customFormat="1" ht="9" customHeight="1">
      <c r="A20" s="674" t="s">
        <v>93</v>
      </c>
      <c r="B20" s="626" t="s">
        <v>283</v>
      </c>
      <c r="C20" s="628">
        <v>102.09798000000001</v>
      </c>
      <c r="D20" s="788">
        <v>74.674710000000005</v>
      </c>
      <c r="E20" s="791">
        <v>152.27247</v>
      </c>
      <c r="F20" s="675">
        <f t="shared" si="0"/>
        <v>0.36723637761700045</v>
      </c>
      <c r="G20" s="441"/>
      <c r="H20" s="751"/>
      <c r="I20" s="751"/>
      <c r="J20" s="441"/>
      <c r="K20" s="441"/>
      <c r="L20" s="441"/>
      <c r="M20" s="441"/>
      <c r="N20" s="441"/>
      <c r="O20" s="441"/>
      <c r="P20" s="441"/>
    </row>
    <row r="21" spans="1:16" s="331" customFormat="1" ht="9" customHeight="1">
      <c r="A21" s="674"/>
      <c r="B21" s="626" t="s">
        <v>284</v>
      </c>
      <c r="C21" s="628">
        <v>13.26831</v>
      </c>
      <c r="D21" s="788">
        <v>13.3194</v>
      </c>
      <c r="E21" s="791">
        <v>42.53781</v>
      </c>
      <c r="F21" s="675">
        <f t="shared" si="0"/>
        <v>-3.8357583674940576E-3</v>
      </c>
      <c r="G21" s="441"/>
      <c r="H21" s="751"/>
      <c r="I21" s="751"/>
      <c r="J21" s="441"/>
      <c r="K21" s="441"/>
      <c r="L21" s="441"/>
      <c r="M21" s="441"/>
      <c r="N21" s="441"/>
      <c r="O21" s="441"/>
      <c r="P21" s="441"/>
    </row>
    <row r="22" spans="1:16" s="331" customFormat="1" ht="9" customHeight="1">
      <c r="A22" s="676" t="s">
        <v>495</v>
      </c>
      <c r="B22" s="512"/>
      <c r="C22" s="514">
        <v>115.36629000000001</v>
      </c>
      <c r="D22" s="787">
        <v>87.994110000000006</v>
      </c>
      <c r="E22" s="790">
        <v>194.81028000000001</v>
      </c>
      <c r="F22" s="677">
        <f t="shared" si="0"/>
        <v>0.31106832036826093</v>
      </c>
      <c r="G22" s="441"/>
      <c r="H22" s="751"/>
      <c r="I22" s="751"/>
      <c r="J22" s="441"/>
      <c r="K22" s="441"/>
      <c r="L22" s="446"/>
    </row>
    <row r="23" spans="1:16" s="331" customFormat="1" ht="9" customHeight="1">
      <c r="A23" s="674" t="s">
        <v>91</v>
      </c>
      <c r="B23" s="626" t="s">
        <v>285</v>
      </c>
      <c r="C23" s="628">
        <v>1.6675200000000001</v>
      </c>
      <c r="D23" s="788">
        <v>1.6822599999999999</v>
      </c>
      <c r="E23" s="791">
        <v>1.5918999999999999</v>
      </c>
      <c r="F23" s="675">
        <f t="shared" si="0"/>
        <v>-8.7620225173277166E-3</v>
      </c>
      <c r="G23" s="441"/>
      <c r="H23" s="751"/>
      <c r="I23" s="751"/>
      <c r="J23" s="441"/>
      <c r="K23" s="441"/>
      <c r="L23" s="446"/>
    </row>
    <row r="24" spans="1:16" s="331" customFormat="1" ht="9" customHeight="1">
      <c r="A24" s="674"/>
      <c r="B24" s="626" t="s">
        <v>286</v>
      </c>
      <c r="C24" s="628">
        <v>0.56425999999999998</v>
      </c>
      <c r="D24" s="788">
        <v>0.57115000000000005</v>
      </c>
      <c r="E24" s="791">
        <v>0.38527999999999996</v>
      </c>
      <c r="F24" s="675">
        <f t="shared" si="0"/>
        <v>-1.2063380898187925E-2</v>
      </c>
      <c r="G24" s="441"/>
      <c r="H24" s="751"/>
      <c r="I24" s="751"/>
      <c r="J24" s="441"/>
      <c r="K24" s="441"/>
      <c r="L24" s="446"/>
    </row>
    <row r="25" spans="1:16" s="331" customFormat="1" ht="9" customHeight="1">
      <c r="A25" s="674"/>
      <c r="B25" s="626" t="s">
        <v>287</v>
      </c>
      <c r="C25" s="628">
        <v>4.6569599999999998</v>
      </c>
      <c r="D25" s="788">
        <v>4.56515</v>
      </c>
      <c r="E25" s="791">
        <v>4.6962299999999999</v>
      </c>
      <c r="F25" s="675">
        <f t="shared" si="0"/>
        <v>2.0111058782296354E-2</v>
      </c>
      <c r="G25" s="441"/>
      <c r="H25" s="751"/>
      <c r="I25" s="751"/>
      <c r="J25" s="441"/>
      <c r="K25" s="441"/>
      <c r="L25" s="446"/>
    </row>
    <row r="26" spans="1:16" s="331" customFormat="1" ht="9" customHeight="1">
      <c r="A26" s="674"/>
      <c r="B26" s="626" t="s">
        <v>288</v>
      </c>
      <c r="C26" s="628">
        <v>12.261479999999999</v>
      </c>
      <c r="D26" s="788">
        <v>13.99952</v>
      </c>
      <c r="E26" s="791">
        <v>15.07926</v>
      </c>
      <c r="F26" s="675">
        <f t="shared" si="0"/>
        <v>-0.12414997085614377</v>
      </c>
      <c r="G26" s="441"/>
      <c r="H26" s="751"/>
      <c r="I26" s="751"/>
      <c r="J26" s="441"/>
      <c r="K26" s="441"/>
      <c r="L26" s="446"/>
    </row>
    <row r="27" spans="1:16" s="331" customFormat="1" ht="9" customHeight="1">
      <c r="A27" s="674"/>
      <c r="B27" s="626" t="s">
        <v>289</v>
      </c>
      <c r="C27" s="628">
        <v>120.83652000000001</v>
      </c>
      <c r="D27" s="788">
        <v>120.85605000000001</v>
      </c>
      <c r="E27" s="791">
        <v>141.92739999999998</v>
      </c>
      <c r="F27" s="675">
        <f t="shared" si="0"/>
        <v>-1.6159720593222904E-4</v>
      </c>
      <c r="G27" s="441"/>
      <c r="H27" s="751"/>
      <c r="I27" s="751"/>
      <c r="J27" s="441"/>
      <c r="K27" s="441"/>
      <c r="L27" s="446"/>
    </row>
    <row r="28" spans="1:16" s="331" customFormat="1" ht="9" customHeight="1">
      <c r="A28" s="674"/>
      <c r="B28" s="626" t="s">
        <v>290</v>
      </c>
      <c r="C28" s="628">
        <v>6.9748799999999997</v>
      </c>
      <c r="D28" s="788">
        <v>8.7896199999999993</v>
      </c>
      <c r="E28" s="791">
        <v>7.5733499999999996</v>
      </c>
      <c r="F28" s="675">
        <f t="shared" si="0"/>
        <v>-0.20646398820426815</v>
      </c>
      <c r="G28" s="441"/>
      <c r="H28" s="751"/>
      <c r="I28" s="751"/>
      <c r="J28" s="441"/>
      <c r="K28" s="441"/>
      <c r="L28" s="446"/>
    </row>
    <row r="29" spans="1:16" s="331" customFormat="1" ht="9" customHeight="1">
      <c r="A29" s="674"/>
      <c r="B29" s="626" t="s">
        <v>291</v>
      </c>
      <c r="C29" s="628">
        <v>0</v>
      </c>
      <c r="D29" s="788">
        <v>0</v>
      </c>
      <c r="E29" s="791">
        <v>0</v>
      </c>
      <c r="F29" s="675" t="str">
        <f t="shared" si="0"/>
        <v/>
      </c>
      <c r="G29" s="441"/>
      <c r="H29" s="751"/>
      <c r="I29" s="751"/>
      <c r="J29" s="441"/>
      <c r="K29" s="441"/>
      <c r="L29" s="448"/>
    </row>
    <row r="30" spans="1:16" s="331" customFormat="1" ht="9" customHeight="1">
      <c r="A30" s="674"/>
      <c r="B30" s="626" t="s">
        <v>292</v>
      </c>
      <c r="C30" s="628">
        <v>0</v>
      </c>
      <c r="D30" s="788">
        <v>0</v>
      </c>
      <c r="E30" s="791">
        <v>0</v>
      </c>
      <c r="F30" s="675" t="str">
        <f t="shared" si="0"/>
        <v/>
      </c>
      <c r="G30" s="441"/>
      <c r="H30" s="751"/>
      <c r="I30" s="751"/>
      <c r="J30" s="441"/>
      <c r="K30" s="441"/>
      <c r="L30" s="446"/>
    </row>
    <row r="31" spans="1:16" s="331" customFormat="1" ht="9" customHeight="1">
      <c r="A31" s="674"/>
      <c r="B31" s="626" t="s">
        <v>293</v>
      </c>
      <c r="C31" s="628">
        <v>0</v>
      </c>
      <c r="D31" s="788">
        <v>0</v>
      </c>
      <c r="E31" s="791">
        <v>0</v>
      </c>
      <c r="F31" s="675" t="str">
        <f t="shared" si="0"/>
        <v/>
      </c>
      <c r="G31" s="441"/>
      <c r="H31" s="751"/>
      <c r="I31" s="751"/>
      <c r="J31" s="441"/>
      <c r="K31" s="441"/>
      <c r="L31" s="446"/>
    </row>
    <row r="32" spans="1:16" s="331" customFormat="1" ht="9" customHeight="1">
      <c r="A32" s="676" t="s">
        <v>496</v>
      </c>
      <c r="B32" s="512"/>
      <c r="C32" s="514">
        <v>146.96162000000001</v>
      </c>
      <c r="D32" s="787">
        <v>150.46375</v>
      </c>
      <c r="E32" s="790">
        <v>171.25341999999998</v>
      </c>
      <c r="F32" s="677">
        <f t="shared" si="0"/>
        <v>-2.3275573020079543E-2</v>
      </c>
      <c r="G32" s="441"/>
      <c r="H32" s="751"/>
      <c r="I32" s="751"/>
      <c r="J32" s="441"/>
      <c r="K32" s="441"/>
      <c r="L32" s="446"/>
    </row>
    <row r="33" spans="1:12" s="331" customFormat="1" ht="9" customHeight="1">
      <c r="A33" s="674" t="s">
        <v>114</v>
      </c>
      <c r="B33" s="626" t="s">
        <v>70</v>
      </c>
      <c r="C33" s="628">
        <v>1.7296</v>
      </c>
      <c r="D33" s="788">
        <v>4.9809799999999997</v>
      </c>
      <c r="E33" s="791">
        <v>5.0030000000000001</v>
      </c>
      <c r="F33" s="675">
        <f t="shared" si="0"/>
        <v>-0.65275909559966117</v>
      </c>
      <c r="G33" s="441"/>
      <c r="H33" s="751"/>
      <c r="I33" s="751"/>
      <c r="J33" s="441"/>
      <c r="K33" s="441"/>
      <c r="L33" s="448"/>
    </row>
    <row r="34" spans="1:12" s="331" customFormat="1" ht="9" customHeight="1">
      <c r="A34" s="676" t="s">
        <v>497</v>
      </c>
      <c r="B34" s="512"/>
      <c r="C34" s="514">
        <v>1.7296</v>
      </c>
      <c r="D34" s="787">
        <v>4.9809799999999997</v>
      </c>
      <c r="E34" s="790">
        <v>5.0030000000000001</v>
      </c>
      <c r="F34" s="677">
        <f t="shared" si="0"/>
        <v>-0.65275909559966117</v>
      </c>
      <c r="G34" s="441"/>
      <c r="H34" s="751"/>
      <c r="I34" s="751"/>
      <c r="J34" s="441"/>
      <c r="K34" s="441"/>
      <c r="L34" s="446"/>
    </row>
    <row r="35" spans="1:12" s="331" customFormat="1" ht="9" customHeight="1">
      <c r="A35" s="674" t="s">
        <v>92</v>
      </c>
      <c r="B35" s="626" t="s">
        <v>294</v>
      </c>
      <c r="C35" s="628">
        <v>117.06838</v>
      </c>
      <c r="D35" s="788">
        <v>126.30718999999999</v>
      </c>
      <c r="E35" s="791">
        <v>163.44429</v>
      </c>
      <c r="F35" s="675">
        <f t="shared" si="0"/>
        <v>-7.3145558855358783E-2</v>
      </c>
      <c r="G35" s="441"/>
      <c r="H35" s="751"/>
      <c r="I35" s="751"/>
      <c r="J35" s="441"/>
      <c r="K35" s="441"/>
      <c r="L35" s="446"/>
    </row>
    <row r="36" spans="1:12" s="331" customFormat="1" ht="9" customHeight="1">
      <c r="A36" s="676" t="s">
        <v>498</v>
      </c>
      <c r="B36" s="512"/>
      <c r="C36" s="514">
        <v>117.06838</v>
      </c>
      <c r="D36" s="787">
        <v>126.30718999999999</v>
      </c>
      <c r="E36" s="790">
        <v>163.44429</v>
      </c>
      <c r="F36" s="677">
        <f t="shared" si="0"/>
        <v>-7.3145558855358783E-2</v>
      </c>
      <c r="G36" s="441"/>
      <c r="H36" s="751"/>
      <c r="I36" s="751"/>
      <c r="J36" s="441"/>
      <c r="K36" s="441"/>
      <c r="L36" s="446"/>
    </row>
    <row r="37" spans="1:12" s="331" customFormat="1" ht="9" customHeight="1">
      <c r="A37" s="674" t="s">
        <v>101</v>
      </c>
      <c r="B37" s="626" t="s">
        <v>295</v>
      </c>
      <c r="C37" s="628">
        <v>7.44</v>
      </c>
      <c r="D37" s="788">
        <v>16.073999999999998</v>
      </c>
      <c r="E37" s="791">
        <v>7.4160000000000004</v>
      </c>
      <c r="F37" s="675">
        <f t="shared" si="0"/>
        <v>-0.53714072415080238</v>
      </c>
      <c r="G37" s="441"/>
      <c r="H37" s="751"/>
      <c r="I37" s="751"/>
      <c r="J37" s="441"/>
      <c r="K37" s="441"/>
      <c r="L37" s="446"/>
    </row>
    <row r="38" spans="1:12" s="331" customFormat="1" ht="9" customHeight="1">
      <c r="A38" s="674"/>
      <c r="B38" s="626" t="s">
        <v>296</v>
      </c>
      <c r="C38" s="628">
        <v>5.97</v>
      </c>
      <c r="D38" s="788">
        <v>9.7859999999999996</v>
      </c>
      <c r="E38" s="791">
        <v>4.2300000000000004</v>
      </c>
      <c r="F38" s="675">
        <f t="shared" si="0"/>
        <v>-0.38994481912936851</v>
      </c>
      <c r="G38" s="441"/>
      <c r="H38" s="751"/>
      <c r="I38" s="751"/>
      <c r="J38" s="441"/>
      <c r="K38" s="441"/>
      <c r="L38" s="446"/>
    </row>
    <row r="39" spans="1:12" s="331" customFormat="1" ht="9" customHeight="1">
      <c r="A39" s="674"/>
      <c r="B39" s="626" t="s">
        <v>297</v>
      </c>
      <c r="C39" s="628">
        <v>0</v>
      </c>
      <c r="D39" s="788">
        <v>0</v>
      </c>
      <c r="E39" s="791">
        <v>0</v>
      </c>
      <c r="F39" s="675" t="str">
        <f t="shared" si="0"/>
        <v/>
      </c>
      <c r="G39" s="441"/>
      <c r="H39" s="751"/>
      <c r="I39" s="751"/>
      <c r="J39" s="441"/>
      <c r="K39" s="441"/>
      <c r="L39" s="446"/>
    </row>
    <row r="40" spans="1:12" s="331" customFormat="1" ht="9" customHeight="1">
      <c r="A40" s="676" t="s">
        <v>499</v>
      </c>
      <c r="B40" s="512"/>
      <c r="C40" s="514">
        <v>13.41</v>
      </c>
      <c r="D40" s="787">
        <v>25.86</v>
      </c>
      <c r="E40" s="790">
        <v>11.646000000000001</v>
      </c>
      <c r="F40" s="677">
        <f t="shared" si="0"/>
        <v>-0.4814385150812065</v>
      </c>
      <c r="G40" s="441"/>
      <c r="H40" s="751"/>
      <c r="I40" s="751"/>
      <c r="J40" s="441"/>
      <c r="K40" s="441"/>
      <c r="L40" s="446"/>
    </row>
    <row r="41" spans="1:12" s="331" customFormat="1" ht="18" customHeight="1">
      <c r="A41" s="678" t="s">
        <v>453</v>
      </c>
      <c r="B41" s="636" t="s">
        <v>75</v>
      </c>
      <c r="C41" s="793">
        <v>0.81805000000000005</v>
      </c>
      <c r="D41" s="794">
        <v>1.728E-2</v>
      </c>
      <c r="E41" s="795">
        <v>0.71074000000000004</v>
      </c>
      <c r="F41" s="796">
        <f t="shared" si="0"/>
        <v>46.340856481481481</v>
      </c>
      <c r="G41" s="441"/>
      <c r="H41" s="751"/>
      <c r="I41" s="751"/>
      <c r="J41" s="441"/>
      <c r="K41" s="441"/>
      <c r="L41" s="446"/>
    </row>
    <row r="42" spans="1:12" s="331" customFormat="1" ht="9" customHeight="1">
      <c r="A42" s="797" t="s">
        <v>500</v>
      </c>
      <c r="B42" s="798"/>
      <c r="C42" s="799">
        <v>0.81805000000000005</v>
      </c>
      <c r="D42" s="800">
        <v>1.728E-2</v>
      </c>
      <c r="E42" s="801">
        <v>0.71074000000000004</v>
      </c>
      <c r="F42" s="802">
        <f t="shared" si="0"/>
        <v>46.340856481481481</v>
      </c>
      <c r="G42" s="441"/>
      <c r="H42" s="751"/>
      <c r="I42" s="751"/>
      <c r="J42" s="441"/>
      <c r="K42" s="441"/>
      <c r="L42" s="446"/>
    </row>
    <row r="43" spans="1:12" s="331" customFormat="1" ht="9" customHeight="1">
      <c r="A43" s="792" t="s">
        <v>115</v>
      </c>
      <c r="B43" s="636" t="s">
        <v>73</v>
      </c>
      <c r="C43" s="793">
        <v>2.0139</v>
      </c>
      <c r="D43" s="794">
        <v>1.8469500000000001</v>
      </c>
      <c r="E43" s="795">
        <v>3.7634700000000003</v>
      </c>
      <c r="F43" s="796">
        <f t="shared" si="0"/>
        <v>9.0392268334280823E-2</v>
      </c>
      <c r="G43" s="441"/>
      <c r="H43" s="751"/>
      <c r="I43" s="751"/>
      <c r="J43" s="441"/>
      <c r="K43" s="441"/>
      <c r="L43" s="446"/>
    </row>
    <row r="44" spans="1:12" s="331" customFormat="1" ht="9" customHeight="1">
      <c r="A44" s="797" t="s">
        <v>501</v>
      </c>
      <c r="B44" s="798"/>
      <c r="C44" s="799">
        <v>2.0139</v>
      </c>
      <c r="D44" s="800">
        <v>1.8469500000000001</v>
      </c>
      <c r="E44" s="801">
        <v>3.7634700000000003</v>
      </c>
      <c r="F44" s="802">
        <f t="shared" si="0"/>
        <v>9.0392268334280823E-2</v>
      </c>
      <c r="G44" s="441"/>
      <c r="H44" s="751"/>
      <c r="I44" s="751"/>
      <c r="J44" s="441"/>
      <c r="K44" s="441"/>
      <c r="L44" s="446"/>
    </row>
    <row r="45" spans="1:12" s="331" customFormat="1" ht="9" customHeight="1">
      <c r="A45" s="674" t="s">
        <v>421</v>
      </c>
      <c r="B45" s="626" t="s">
        <v>424</v>
      </c>
      <c r="C45" s="628">
        <v>6.5736999999999997</v>
      </c>
      <c r="D45" s="788">
        <v>6.9106399999999999</v>
      </c>
      <c r="E45" s="791">
        <v>6.8089000000000004</v>
      </c>
      <c r="F45" s="675">
        <f t="shared" si="0"/>
        <v>-4.8756699813620741E-2</v>
      </c>
      <c r="G45" s="441"/>
      <c r="H45" s="751"/>
      <c r="I45" s="751"/>
      <c r="J45" s="441"/>
      <c r="K45" s="441"/>
      <c r="L45" s="446"/>
    </row>
    <row r="46" spans="1:12" s="331" customFormat="1" ht="9" customHeight="1">
      <c r="A46" s="676" t="s">
        <v>502</v>
      </c>
      <c r="B46" s="512"/>
      <c r="C46" s="514">
        <v>6.5736999999999997</v>
      </c>
      <c r="D46" s="787">
        <v>6.9106399999999999</v>
      </c>
      <c r="E46" s="790">
        <v>6.8089000000000004</v>
      </c>
      <c r="F46" s="677">
        <f t="shared" si="0"/>
        <v>-4.8756699813620741E-2</v>
      </c>
      <c r="G46" s="441"/>
      <c r="H46" s="751"/>
      <c r="I46" s="751"/>
      <c r="J46" s="441"/>
      <c r="K46" s="441"/>
      <c r="L46" s="449"/>
    </row>
    <row r="47" spans="1:12" s="331" customFormat="1" ht="9" customHeight="1">
      <c r="A47" s="674" t="s">
        <v>89</v>
      </c>
      <c r="B47" s="626" t="s">
        <v>298</v>
      </c>
      <c r="C47" s="628">
        <v>633.36479999999995</v>
      </c>
      <c r="D47" s="788">
        <v>645.56399999999996</v>
      </c>
      <c r="E47" s="791">
        <v>608.46960000000001</v>
      </c>
      <c r="F47" s="675">
        <f t="shared" si="0"/>
        <v>-1.889696451474987E-2</v>
      </c>
      <c r="G47" s="441"/>
      <c r="H47" s="751"/>
      <c r="I47" s="751"/>
      <c r="J47" s="441"/>
      <c r="K47" s="441"/>
      <c r="L47" s="446"/>
    </row>
    <row r="48" spans="1:12" s="331" customFormat="1" ht="9" customHeight="1">
      <c r="A48" s="674"/>
      <c r="B48" s="626" t="s">
        <v>299</v>
      </c>
      <c r="C48" s="628">
        <v>213.86687999999998</v>
      </c>
      <c r="D48" s="788">
        <v>211.21727999999999</v>
      </c>
      <c r="E48" s="791">
        <v>199.33823999999998</v>
      </c>
      <c r="F48" s="675">
        <f t="shared" si="0"/>
        <v>1.2544428183148604E-2</v>
      </c>
      <c r="G48" s="441"/>
      <c r="H48" s="751"/>
      <c r="I48" s="751"/>
      <c r="J48" s="441"/>
      <c r="K48" s="441"/>
      <c r="L48" s="446"/>
    </row>
    <row r="49" spans="1:12" s="331" customFormat="1" ht="9" customHeight="1">
      <c r="A49" s="674"/>
      <c r="B49" s="626" t="s">
        <v>300</v>
      </c>
      <c r="C49" s="628">
        <v>0</v>
      </c>
      <c r="D49" s="788">
        <v>0</v>
      </c>
      <c r="E49" s="791">
        <v>0</v>
      </c>
      <c r="F49" s="675" t="str">
        <f t="shared" si="0"/>
        <v/>
      </c>
      <c r="G49" s="441"/>
      <c r="H49" s="751"/>
      <c r="I49" s="751"/>
      <c r="J49" s="441"/>
      <c r="K49" s="441"/>
      <c r="L49" s="446"/>
    </row>
    <row r="50" spans="1:12" s="331" customFormat="1" ht="9" customHeight="1">
      <c r="A50" s="676" t="s">
        <v>503</v>
      </c>
      <c r="B50" s="512"/>
      <c r="C50" s="514">
        <v>847.23167999999987</v>
      </c>
      <c r="D50" s="787">
        <v>856.78127999999992</v>
      </c>
      <c r="E50" s="790">
        <v>807.80783999999994</v>
      </c>
      <c r="F50" s="677">
        <f t="shared" si="0"/>
        <v>-1.1145901787209977E-2</v>
      </c>
      <c r="G50" s="441"/>
      <c r="H50" s="751"/>
      <c r="I50" s="751"/>
      <c r="J50" s="441"/>
      <c r="K50" s="441"/>
      <c r="L50" s="446"/>
    </row>
    <row r="51" spans="1:12" s="331" customFormat="1" ht="9" customHeight="1">
      <c r="A51" s="674" t="s">
        <v>237</v>
      </c>
      <c r="B51" s="626" t="s">
        <v>301</v>
      </c>
      <c r="C51" s="628">
        <v>0</v>
      </c>
      <c r="D51" s="788">
        <v>0</v>
      </c>
      <c r="E51" s="791">
        <v>456.96001999999999</v>
      </c>
      <c r="F51" s="675" t="str">
        <f t="shared" si="0"/>
        <v/>
      </c>
      <c r="G51" s="441"/>
      <c r="H51" s="751"/>
      <c r="I51" s="751"/>
      <c r="J51" s="441"/>
      <c r="K51" s="441"/>
      <c r="L51" s="446"/>
    </row>
    <row r="52" spans="1:12" s="331" customFormat="1" ht="9" customHeight="1">
      <c r="A52" s="674"/>
      <c r="B52" s="626" t="s">
        <v>302</v>
      </c>
      <c r="C52" s="628">
        <v>6.4439500000000001</v>
      </c>
      <c r="D52" s="788">
        <v>6.4285699999999997</v>
      </c>
      <c r="E52" s="791">
        <v>6.4402600000000003</v>
      </c>
      <c r="F52" s="675">
        <f t="shared" si="0"/>
        <v>2.3924449760990285E-3</v>
      </c>
      <c r="G52" s="441"/>
      <c r="H52" s="751"/>
      <c r="I52" s="751"/>
      <c r="J52" s="441"/>
      <c r="K52" s="441"/>
      <c r="L52" s="446"/>
    </row>
    <row r="53" spans="1:12" s="331" customFormat="1" ht="9" customHeight="1">
      <c r="A53" s="676" t="s">
        <v>504</v>
      </c>
      <c r="B53" s="512"/>
      <c r="C53" s="514">
        <v>6.4439500000000001</v>
      </c>
      <c r="D53" s="787">
        <v>6.4285699999999997</v>
      </c>
      <c r="E53" s="790">
        <v>463.40028000000001</v>
      </c>
      <c r="F53" s="677">
        <f t="shared" si="0"/>
        <v>2.3924449760990285E-3</v>
      </c>
      <c r="G53" s="441"/>
      <c r="H53" s="751"/>
      <c r="I53" s="751"/>
      <c r="J53" s="441"/>
      <c r="K53" s="441"/>
      <c r="L53" s="446"/>
    </row>
    <row r="54" spans="1:12" s="331" customFormat="1" ht="9" customHeight="1">
      <c r="A54" s="674" t="s">
        <v>238</v>
      </c>
      <c r="B54" s="626" t="s">
        <v>303</v>
      </c>
      <c r="C54" s="628">
        <v>67.475179999999995</v>
      </c>
      <c r="D54" s="788">
        <v>59.373419999999996</v>
      </c>
      <c r="E54" s="791">
        <v>82.054190000000006</v>
      </c>
      <c r="F54" s="675">
        <f t="shared" si="0"/>
        <v>0.13645432585827133</v>
      </c>
      <c r="G54" s="441"/>
      <c r="H54" s="751"/>
      <c r="I54" s="751"/>
      <c r="J54" s="441"/>
      <c r="K54" s="441"/>
      <c r="L54" s="446"/>
    </row>
    <row r="55" spans="1:12" s="331" customFormat="1" ht="9" customHeight="1">
      <c r="A55" s="676" t="s">
        <v>505</v>
      </c>
      <c r="B55" s="512"/>
      <c r="C55" s="514">
        <v>67.475179999999995</v>
      </c>
      <c r="D55" s="787">
        <v>59.373419999999996</v>
      </c>
      <c r="E55" s="790">
        <v>82.054190000000006</v>
      </c>
      <c r="F55" s="677">
        <f t="shared" si="0"/>
        <v>0.13645432585827133</v>
      </c>
      <c r="G55" s="441"/>
      <c r="H55" s="751"/>
      <c r="I55" s="751"/>
      <c r="J55" s="441"/>
      <c r="K55" s="441"/>
    </row>
    <row r="56" spans="1:12" s="331" customFormat="1" ht="9" customHeight="1">
      <c r="A56" s="674" t="s">
        <v>455</v>
      </c>
      <c r="B56" s="626" t="s">
        <v>65</v>
      </c>
      <c r="C56" s="628">
        <v>1.5409299999999999</v>
      </c>
      <c r="D56" s="788">
        <v>2.25996</v>
      </c>
      <c r="E56" s="791">
        <v>9.5708000000000002</v>
      </c>
      <c r="F56" s="675">
        <f t="shared" si="0"/>
        <v>-0.31816049841590122</v>
      </c>
      <c r="G56" s="441"/>
      <c r="H56" s="751"/>
      <c r="I56" s="751"/>
      <c r="J56" s="441"/>
      <c r="K56" s="441"/>
    </row>
    <row r="57" spans="1:12" s="331" customFormat="1" ht="9" customHeight="1">
      <c r="A57" s="674"/>
      <c r="B57" s="626" t="s">
        <v>64</v>
      </c>
      <c r="C57" s="628">
        <v>1.7858700000000001</v>
      </c>
      <c r="D57" s="788">
        <v>2.6063399999999999</v>
      </c>
      <c r="E57" s="791">
        <v>9.8802299999999992</v>
      </c>
      <c r="F57" s="675">
        <f t="shared" si="0"/>
        <v>-0.31479776237942858</v>
      </c>
      <c r="G57" s="441"/>
      <c r="H57" s="751"/>
      <c r="I57" s="751"/>
      <c r="J57" s="441"/>
      <c r="K57" s="441"/>
    </row>
    <row r="58" spans="1:12" s="331" customFormat="1" ht="9" customHeight="1">
      <c r="A58" s="674"/>
      <c r="B58" s="626" t="s">
        <v>60</v>
      </c>
      <c r="C58" s="628">
        <v>2.75346</v>
      </c>
      <c r="D58" s="788">
        <v>3.6287400000000001</v>
      </c>
      <c r="E58" s="791">
        <v>17.778849999999998</v>
      </c>
      <c r="F58" s="675">
        <f t="shared" si="0"/>
        <v>-0.24120769192612312</v>
      </c>
      <c r="G58" s="441"/>
      <c r="H58" s="751"/>
      <c r="I58" s="751"/>
      <c r="J58" s="441"/>
      <c r="K58" s="441"/>
    </row>
    <row r="59" spans="1:12" s="331" customFormat="1" ht="9" customHeight="1">
      <c r="A59" s="674"/>
      <c r="B59" s="626" t="s">
        <v>57</v>
      </c>
      <c r="C59" s="628">
        <v>4.7169699999999999</v>
      </c>
      <c r="D59" s="788">
        <v>5.10914</v>
      </c>
      <c r="E59" s="791">
        <v>19.972989999999999</v>
      </c>
      <c r="F59" s="675">
        <f t="shared" si="0"/>
        <v>-7.6758515131705174E-2</v>
      </c>
      <c r="G59" s="441"/>
      <c r="H59" s="751"/>
      <c r="I59" s="751"/>
      <c r="J59" s="441"/>
      <c r="K59" s="441"/>
    </row>
    <row r="60" spans="1:12" s="331" customFormat="1" ht="9" customHeight="1">
      <c r="A60" s="674"/>
      <c r="B60" s="626" t="s">
        <v>68</v>
      </c>
      <c r="C60" s="628">
        <v>1.21593</v>
      </c>
      <c r="D60" s="788">
        <v>1.1566799999999999</v>
      </c>
      <c r="E60" s="791">
        <v>5.2609300000000001</v>
      </c>
      <c r="F60" s="675">
        <f t="shared" si="0"/>
        <v>5.1224193381056216E-2</v>
      </c>
      <c r="G60" s="441"/>
      <c r="H60" s="751"/>
      <c r="I60" s="751"/>
      <c r="J60" s="441"/>
      <c r="K60" s="441"/>
    </row>
    <row r="61" spans="1:12" s="331" customFormat="1" ht="9" customHeight="1">
      <c r="A61" s="674"/>
      <c r="B61" s="626" t="s">
        <v>67</v>
      </c>
      <c r="C61" s="628">
        <v>1.4689300000000001</v>
      </c>
      <c r="D61" s="788">
        <v>1.46496</v>
      </c>
      <c r="E61" s="791">
        <v>6.0351100000000004</v>
      </c>
      <c r="F61" s="675">
        <f t="shared" si="0"/>
        <v>2.7099716033203158E-3</v>
      </c>
      <c r="G61" s="441"/>
      <c r="H61" s="751"/>
      <c r="I61" s="751"/>
      <c r="J61" s="441"/>
      <c r="K61" s="441"/>
    </row>
    <row r="62" spans="1:12" s="331" customFormat="1" ht="9" customHeight="1">
      <c r="A62" s="676" t="s">
        <v>506</v>
      </c>
      <c r="B62" s="512"/>
      <c r="C62" s="514">
        <v>13.482089999999999</v>
      </c>
      <c r="D62" s="787">
        <v>16.225819999999999</v>
      </c>
      <c r="E62" s="790">
        <v>68.498909999999995</v>
      </c>
      <c r="F62" s="677">
        <f t="shared" si="0"/>
        <v>-0.16909653872654817</v>
      </c>
      <c r="G62" s="441"/>
      <c r="H62" s="751"/>
      <c r="I62" s="751"/>
      <c r="J62" s="441"/>
      <c r="K62" s="441"/>
    </row>
    <row r="63" spans="1:12" s="331" customFormat="1" ht="9" customHeight="1">
      <c r="A63" s="674" t="s">
        <v>88</v>
      </c>
      <c r="B63" s="626" t="s">
        <v>465</v>
      </c>
      <c r="C63" s="628">
        <v>64.630760000000009</v>
      </c>
      <c r="D63" s="788">
        <v>71.969340000000003</v>
      </c>
      <c r="E63" s="791">
        <v>77.121329999999986</v>
      </c>
      <c r="F63" s="675">
        <f t="shared" si="0"/>
        <v>-0.10196814365672924</v>
      </c>
      <c r="G63" s="441"/>
      <c r="H63" s="751"/>
      <c r="I63" s="751"/>
      <c r="J63" s="441"/>
      <c r="K63" s="441"/>
    </row>
    <row r="64" spans="1:12" s="331" customFormat="1" ht="9" customHeight="1">
      <c r="A64" s="674"/>
      <c r="B64" s="626" t="s">
        <v>304</v>
      </c>
      <c r="C64" s="628">
        <v>26.26568</v>
      </c>
      <c r="D64" s="788">
        <v>27.228859999999997</v>
      </c>
      <c r="E64" s="791">
        <v>29.280889999999999</v>
      </c>
      <c r="F64" s="675">
        <f t="shared" si="0"/>
        <v>-3.5373497090954165E-2</v>
      </c>
      <c r="G64" s="441"/>
      <c r="H64" s="751"/>
      <c r="I64" s="751"/>
      <c r="J64" s="441"/>
      <c r="K64" s="441"/>
    </row>
    <row r="65" spans="1:11" s="331" customFormat="1" ht="9" customHeight="1">
      <c r="A65" s="674"/>
      <c r="B65" s="626" t="s">
        <v>305</v>
      </c>
      <c r="C65" s="628">
        <v>224.47857999999997</v>
      </c>
      <c r="D65" s="788">
        <v>149.65631000000002</v>
      </c>
      <c r="E65" s="791">
        <v>143.52339000000001</v>
      </c>
      <c r="F65" s="675">
        <f t="shared" si="0"/>
        <v>0.49996067656619325</v>
      </c>
      <c r="G65" s="441"/>
      <c r="H65" s="751"/>
      <c r="I65" s="751"/>
      <c r="J65" s="441"/>
      <c r="K65" s="441"/>
    </row>
    <row r="66" spans="1:11" s="331" customFormat="1" ht="9" customHeight="1">
      <c r="A66" s="674"/>
      <c r="B66" s="626" t="s">
        <v>306</v>
      </c>
      <c r="C66" s="628">
        <v>92.739339999999999</v>
      </c>
      <c r="D66" s="788">
        <v>88.808790000000002</v>
      </c>
      <c r="E66" s="791">
        <v>129.2527</v>
      </c>
      <c r="F66" s="675">
        <f t="shared" si="0"/>
        <v>4.4258569450163598E-2</v>
      </c>
      <c r="G66" s="441"/>
      <c r="H66" s="752"/>
      <c r="I66" s="751"/>
      <c r="J66" s="441"/>
      <c r="K66" s="441"/>
    </row>
    <row r="67" spans="1:11" s="331" customFormat="1" ht="9" customHeight="1">
      <c r="A67" s="674"/>
      <c r="B67" s="626" t="s">
        <v>307</v>
      </c>
      <c r="C67" s="628">
        <v>44.924980000000005</v>
      </c>
      <c r="D67" s="788">
        <v>67.080860000000001</v>
      </c>
      <c r="E67" s="791">
        <v>65.20911000000001</v>
      </c>
      <c r="F67" s="675">
        <f t="shared" si="0"/>
        <v>-0.33028616508494368</v>
      </c>
      <c r="G67" s="441"/>
      <c r="H67" s="752"/>
      <c r="I67" s="751"/>
      <c r="J67" s="441"/>
      <c r="K67" s="441"/>
    </row>
    <row r="68" spans="1:11" s="331" customFormat="1" ht="9" customHeight="1">
      <c r="A68" s="674"/>
      <c r="B68" s="626" t="s">
        <v>308</v>
      </c>
      <c r="C68" s="628">
        <v>0</v>
      </c>
      <c r="D68" s="788">
        <v>120.79652</v>
      </c>
      <c r="E68" s="791">
        <v>0</v>
      </c>
      <c r="F68" s="675">
        <f t="shared" si="0"/>
        <v>-1</v>
      </c>
      <c r="G68" s="450"/>
      <c r="H68" s="752"/>
      <c r="I68" s="751"/>
      <c r="J68" s="441"/>
      <c r="K68" s="441"/>
    </row>
    <row r="69" spans="1:11" s="331" customFormat="1" ht="9" customHeight="1">
      <c r="A69" s="674"/>
      <c r="B69" s="626" t="s">
        <v>309</v>
      </c>
      <c r="C69" s="628">
        <v>170.60869</v>
      </c>
      <c r="D69" s="788">
        <v>190.66872000000001</v>
      </c>
      <c r="E69" s="791">
        <v>0</v>
      </c>
      <c r="F69" s="675">
        <f t="shared" si="0"/>
        <v>-0.10520881453444497</v>
      </c>
      <c r="G69" s="450"/>
      <c r="H69" s="752"/>
      <c r="I69" s="751"/>
      <c r="J69" s="441"/>
      <c r="K69" s="441"/>
    </row>
    <row r="70" spans="1:11" s="331" customFormat="1" ht="9" customHeight="1">
      <c r="A70" s="674"/>
      <c r="B70" s="626" t="s">
        <v>310</v>
      </c>
      <c r="C70" s="628">
        <v>465.91863999999998</v>
      </c>
      <c r="D70" s="788">
        <v>452.80091000000004</v>
      </c>
      <c r="E70" s="791">
        <v>206.59643</v>
      </c>
      <c r="F70" s="675">
        <f t="shared" si="0"/>
        <v>2.8970193544884726E-2</v>
      </c>
      <c r="G70" s="450"/>
      <c r="H70" s="752"/>
      <c r="I70" s="751"/>
      <c r="J70" s="441"/>
      <c r="K70" s="441"/>
    </row>
    <row r="71" spans="1:11" s="331" customFormat="1" ht="9" customHeight="1">
      <c r="A71" s="674"/>
      <c r="B71" s="626" t="s">
        <v>416</v>
      </c>
      <c r="C71" s="628">
        <v>0.65590999999999999</v>
      </c>
      <c r="D71" s="788">
        <v>0.66925999999999997</v>
      </c>
      <c r="E71" s="791">
        <v>0.64692000000000005</v>
      </c>
      <c r="F71" s="675">
        <f t="shared" ref="F71:F79" si="1">+IF(D71=0,"",C71/D71-1)</f>
        <v>-1.9947404596121099E-2</v>
      </c>
      <c r="G71" s="450"/>
      <c r="H71" s="751"/>
      <c r="I71" s="751"/>
      <c r="J71" s="441"/>
      <c r="K71" s="441"/>
    </row>
    <row r="72" spans="1:11" s="331" customFormat="1" ht="9" customHeight="1">
      <c r="A72" s="676" t="s">
        <v>507</v>
      </c>
      <c r="B72" s="512"/>
      <c r="C72" s="514">
        <v>1090.2225799999999</v>
      </c>
      <c r="D72" s="787">
        <v>1169.67957</v>
      </c>
      <c r="E72" s="790">
        <v>651.6307700000001</v>
      </c>
      <c r="F72" s="677">
        <f t="shared" si="1"/>
        <v>-6.7930561529770173E-2</v>
      </c>
      <c r="G72" s="450"/>
      <c r="H72" s="751"/>
      <c r="I72" s="751"/>
      <c r="J72" s="441"/>
      <c r="K72" s="441"/>
    </row>
    <row r="73" spans="1:11" s="331" customFormat="1" ht="9" customHeight="1">
      <c r="A73" s="674" t="s">
        <v>96</v>
      </c>
      <c r="B73" s="626" t="s">
        <v>311</v>
      </c>
      <c r="C73" s="628">
        <v>0</v>
      </c>
      <c r="D73" s="788">
        <v>0</v>
      </c>
      <c r="E73" s="791">
        <v>0</v>
      </c>
      <c r="F73" s="675" t="str">
        <f t="shared" si="1"/>
        <v/>
      </c>
      <c r="G73" s="441"/>
      <c r="H73" s="751"/>
      <c r="I73" s="751"/>
      <c r="J73" s="441"/>
      <c r="K73" s="441"/>
    </row>
    <row r="74" spans="1:11" s="331" customFormat="1" ht="9" customHeight="1">
      <c r="A74" s="674"/>
      <c r="B74" s="626" t="s">
        <v>312</v>
      </c>
      <c r="C74" s="628">
        <v>91.021820000000005</v>
      </c>
      <c r="D74" s="788">
        <v>91.333510000000004</v>
      </c>
      <c r="E74" s="791">
        <v>0</v>
      </c>
      <c r="F74" s="675">
        <f t="shared" si="1"/>
        <v>-3.4126576324505775E-3</v>
      </c>
      <c r="G74" s="441"/>
      <c r="H74" s="751"/>
      <c r="I74" s="751"/>
      <c r="J74" s="441"/>
      <c r="K74" s="441"/>
    </row>
    <row r="75" spans="1:11" s="331" customFormat="1" ht="9" customHeight="1">
      <c r="A75" s="674"/>
      <c r="B75" s="626" t="s">
        <v>313</v>
      </c>
      <c r="C75" s="628">
        <v>0</v>
      </c>
      <c r="D75" s="788">
        <v>0</v>
      </c>
      <c r="E75" s="791">
        <v>85.36421</v>
      </c>
      <c r="F75" s="675" t="str">
        <f t="shared" si="1"/>
        <v/>
      </c>
      <c r="G75" s="441"/>
      <c r="H75" s="751"/>
      <c r="I75" s="751"/>
      <c r="J75" s="441"/>
      <c r="K75" s="441"/>
    </row>
    <row r="76" spans="1:11" s="331" customFormat="1" ht="9" customHeight="1">
      <c r="A76" s="676" t="s">
        <v>508</v>
      </c>
      <c r="B76" s="512"/>
      <c r="C76" s="514">
        <v>91.021820000000005</v>
      </c>
      <c r="D76" s="787">
        <v>91.333510000000004</v>
      </c>
      <c r="E76" s="790">
        <v>85.36421</v>
      </c>
      <c r="F76" s="677">
        <f t="shared" si="1"/>
        <v>-3.4126576324505775E-3</v>
      </c>
      <c r="G76" s="451"/>
      <c r="H76" s="751"/>
      <c r="I76" s="751"/>
      <c r="J76" s="441"/>
      <c r="K76" s="441"/>
    </row>
    <row r="77" spans="1:11" s="331" customFormat="1" ht="9" customHeight="1">
      <c r="A77" s="674" t="s">
        <v>98</v>
      </c>
      <c r="B77" s="626" t="s">
        <v>427</v>
      </c>
      <c r="C77" s="628">
        <v>0</v>
      </c>
      <c r="D77" s="788">
        <v>0</v>
      </c>
      <c r="E77" s="791">
        <v>0</v>
      </c>
      <c r="F77" s="675" t="str">
        <f t="shared" si="1"/>
        <v/>
      </c>
      <c r="G77" s="451"/>
      <c r="H77" s="274"/>
      <c r="I77" s="751"/>
      <c r="J77" s="441"/>
      <c r="K77" s="441"/>
    </row>
    <row r="78" spans="1:11" s="331" customFormat="1" ht="9" customHeight="1">
      <c r="A78" s="674"/>
      <c r="B78" s="626" t="s">
        <v>426</v>
      </c>
      <c r="C78" s="628">
        <v>125.65469</v>
      </c>
      <c r="D78" s="788">
        <v>129.72591</v>
      </c>
      <c r="E78" s="791">
        <v>117.34313</v>
      </c>
      <c r="F78" s="675">
        <f t="shared" si="1"/>
        <v>-3.138324487374955E-2</v>
      </c>
      <c r="G78" s="451"/>
      <c r="H78" s="274"/>
      <c r="I78" s="751"/>
      <c r="J78" s="441"/>
      <c r="K78" s="441"/>
    </row>
    <row r="79" spans="1:11" s="331" customFormat="1" ht="9" customHeight="1">
      <c r="A79" s="676" t="s">
        <v>509</v>
      </c>
      <c r="B79" s="512"/>
      <c r="C79" s="514">
        <v>125.65469</v>
      </c>
      <c r="D79" s="787">
        <v>129.72591</v>
      </c>
      <c r="E79" s="790">
        <v>117.34313</v>
      </c>
      <c r="F79" s="677">
        <f t="shared" si="1"/>
        <v>-3.138324487374955E-2</v>
      </c>
      <c r="H79" s="274"/>
      <c r="I79" s="751"/>
      <c r="J79" s="441"/>
      <c r="K79" s="441"/>
    </row>
    <row r="80" spans="1:11" s="331" customFormat="1" ht="10.5" customHeight="1"/>
    <row r="81" s="331" customFormat="1" ht="10.5" customHeight="1"/>
    <row r="82" s="331" customFormat="1" ht="10.5" customHeight="1"/>
    <row r="83" s="331" customFormat="1" ht="10.5" customHeight="1"/>
    <row r="84" s="331" customFormat="1" ht="10.5" customHeight="1"/>
    <row r="85" s="331" customFormat="1" ht="10.5" customHeight="1"/>
    <row r="86" s="331" customFormat="1" ht="10.5" customHeight="1"/>
    <row r="87" s="331" customFormat="1" ht="10.5" customHeight="1"/>
    <row r="88" s="331" customFormat="1" ht="10.5" customHeight="1"/>
    <row r="89" s="331" customFormat="1" ht="10.5" customHeight="1"/>
    <row r="90" s="331" customFormat="1" ht="10.5" customHeight="1"/>
    <row r="91" s="331" customFormat="1" ht="10.5" customHeight="1"/>
    <row r="92" s="331" customFormat="1" ht="10.5" customHeight="1"/>
    <row r="93" s="331" customFormat="1" ht="10.5" customHeight="1"/>
    <row r="94" s="331" customFormat="1" ht="10.5" customHeight="1"/>
    <row r="95" s="331" customFormat="1" ht="10.5" customHeight="1"/>
    <row r="96" s="331" customFormat="1" ht="10.5" customHeight="1"/>
    <row r="97" s="331" customFormat="1" ht="10.5" customHeight="1"/>
    <row r="98" s="331" customFormat="1" ht="10.5" customHeight="1"/>
    <row r="99" s="331" customFormat="1" ht="10.5" customHeight="1"/>
    <row r="100" s="331" customFormat="1" ht="10.5" customHeight="1"/>
    <row r="101" s="331" customFormat="1" ht="10.5" customHeight="1"/>
    <row r="102" s="331" customFormat="1" ht="10.5" customHeight="1"/>
    <row r="103" s="331" customFormat="1" ht="10.5" customHeight="1"/>
    <row r="104" s="331" customFormat="1" ht="10.5" customHeight="1"/>
    <row r="105" s="331" customFormat="1" ht="10.5" customHeight="1"/>
    <row r="106" s="331" customFormat="1" ht="10.5" customHeight="1"/>
    <row r="107" s="331" customFormat="1" ht="10.5" customHeight="1"/>
    <row r="108" s="331" customFormat="1" ht="10.5" customHeight="1"/>
    <row r="109" s="331" customFormat="1" ht="10.5" customHeight="1"/>
    <row r="110" s="331" customFormat="1" ht="10.5" customHeight="1"/>
    <row r="111" s="331" customFormat="1" ht="10.5" customHeight="1"/>
    <row r="112" s="331" customFormat="1" ht="10.5" customHeight="1"/>
    <row r="113" s="331" customFormat="1" ht="10.5" customHeight="1"/>
    <row r="114" s="331" customFormat="1" ht="10.5" customHeight="1"/>
    <row r="115" s="331" customFormat="1" ht="10.5" customHeight="1"/>
    <row r="116" s="331" customFormat="1" ht="10.5" customHeight="1"/>
    <row r="117" s="331" customFormat="1" ht="10.5" customHeight="1"/>
    <row r="118" s="331" customFormat="1" ht="10.5" customHeight="1"/>
    <row r="119" s="331" customFormat="1" ht="10.5" customHeight="1"/>
    <row r="120" s="331" customFormat="1" ht="10.5" customHeight="1"/>
    <row r="121" s="331" customFormat="1" ht="10.5" customHeight="1"/>
    <row r="122" s="331" customFormat="1" ht="10.5" customHeight="1"/>
    <row r="123" s="331" customFormat="1" ht="10.5" customHeight="1"/>
    <row r="124" s="331" customFormat="1" ht="10.5" customHeight="1"/>
    <row r="125" s="331" customFormat="1" ht="10.5" customHeight="1"/>
    <row r="126" s="331" customFormat="1" ht="10.5" customHeight="1"/>
    <row r="127" s="331" customFormat="1" ht="10.5" customHeight="1"/>
    <row r="128" s="331" customFormat="1" ht="10.5" customHeight="1"/>
    <row r="129" s="331" customFormat="1" ht="10.5" customHeight="1"/>
    <row r="130" s="331" customFormat="1" ht="10.5" customHeight="1"/>
    <row r="131" s="331" customFormat="1" ht="10.5" customHeight="1"/>
    <row r="132" s="331" customFormat="1" ht="10.5" customHeight="1"/>
    <row r="133" s="331" customFormat="1" ht="10.5" customHeight="1"/>
    <row r="134" s="331" customFormat="1" ht="10.5" customHeight="1"/>
    <row r="135" s="331" customFormat="1" ht="10.5" customHeight="1"/>
    <row r="136" s="331" customFormat="1" ht="10.5" customHeight="1"/>
    <row r="137" s="331" customFormat="1" ht="10.5" customHeight="1"/>
    <row r="138" s="331" customFormat="1" ht="10.5" customHeight="1"/>
    <row r="139" s="331" customFormat="1" ht="10.5" customHeight="1"/>
    <row r="140" s="331" customFormat="1" ht="10.5" customHeight="1"/>
    <row r="141" s="331" customFormat="1" ht="10.5" customHeight="1"/>
    <row r="142" s="331" customFormat="1" ht="10.5" customHeight="1"/>
    <row r="143" s="331" customFormat="1" ht="10.5" customHeight="1"/>
    <row r="144" s="331" customFormat="1" ht="10.5" customHeight="1"/>
    <row r="145" s="331" customFormat="1" ht="10.5" customHeight="1"/>
    <row r="146" s="331" customFormat="1" ht="10.5" customHeight="1"/>
    <row r="147" s="331" customFormat="1" ht="10.5" customHeight="1"/>
    <row r="148" s="331" customFormat="1" ht="10.5" customHeight="1"/>
    <row r="149" s="331" customFormat="1" ht="10.5" customHeight="1"/>
    <row r="150" s="331" customFormat="1" ht="10.5" customHeight="1"/>
    <row r="151" s="331" customFormat="1" ht="10.5" customHeight="1"/>
    <row r="152" s="331" customFormat="1" ht="10.5" customHeight="1"/>
    <row r="153" s="331" customFormat="1" ht="10.5" customHeight="1"/>
    <row r="154" s="331" customFormat="1" ht="10.5" customHeight="1"/>
    <row r="155" s="331" customFormat="1" ht="10.5" customHeight="1"/>
    <row r="156" s="331" customFormat="1" ht="10.5" customHeight="1"/>
    <row r="157" s="331" customFormat="1" ht="10.5" customHeight="1"/>
    <row r="158" s="331" customFormat="1" ht="10.5" customHeight="1"/>
    <row r="159" s="331" customFormat="1" ht="10.5" customHeight="1"/>
    <row r="160" s="331" customFormat="1" ht="10.5" customHeight="1"/>
    <row r="161" s="331" customFormat="1" ht="10.5" customHeight="1"/>
    <row r="162" s="331" customFormat="1" ht="10.5" customHeight="1"/>
    <row r="163" s="331" customFormat="1" ht="10.5" customHeight="1"/>
    <row r="164" s="331" customFormat="1" ht="10.5" customHeight="1"/>
    <row r="165" s="331" customFormat="1" ht="10.5" customHeight="1"/>
    <row r="166" s="331" customFormat="1" ht="10.5" customHeight="1"/>
    <row r="167" s="331" customFormat="1" ht="10.5" customHeight="1"/>
    <row r="168" s="331" customFormat="1" ht="10.5" customHeight="1"/>
    <row r="169" s="331" customFormat="1" ht="7.8"/>
    <row r="170" s="331" customFormat="1" ht="7.8"/>
    <row r="171" s="331" customFormat="1" ht="7.8"/>
    <row r="172" s="331" customFormat="1" ht="7.8"/>
    <row r="173" s="331" customFormat="1" ht="7.8"/>
    <row r="174" s="331" customFormat="1" ht="7.8"/>
    <row r="175" s="331" customFormat="1" ht="7.8"/>
    <row r="176" s="331" customFormat="1" ht="7.8"/>
    <row r="177" s="331" customFormat="1" ht="7.8"/>
    <row r="178" s="331" customFormat="1" ht="7.8"/>
    <row r="179" s="331" customFormat="1" ht="7.8"/>
    <row r="180" s="331" customFormat="1" ht="7.8"/>
    <row r="181" s="331" customFormat="1" ht="7.8"/>
    <row r="182" s="331" customFormat="1" ht="7.8"/>
    <row r="183" s="331" customFormat="1" ht="7.8"/>
    <row r="184" s="331" customFormat="1" ht="7.8"/>
    <row r="185" s="331" customFormat="1" ht="7.8"/>
    <row r="186" s="331" customFormat="1" ht="7.8"/>
    <row r="187" s="331" customFormat="1" ht="7.8"/>
    <row r="188" s="331" customFormat="1" ht="7.8"/>
    <row r="189" s="331" customFormat="1" ht="7.8"/>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 Julio 2020
INFSGI-MES-07-2020
13/08/2020
Versión: 01</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3"/>
  <sheetViews>
    <sheetView showGridLines="0" view="pageBreakPreview" zoomScaleNormal="100" zoomScaleSheetLayoutView="100" zoomScalePageLayoutView="160" workbookViewId="0">
      <selection activeCell="N53" sqref="N53"/>
    </sheetView>
  </sheetViews>
  <sheetFormatPr baseColWidth="10" defaultColWidth="9.28515625" defaultRowHeight="9.6"/>
  <cols>
    <col min="1" max="1" width="28.7109375" style="274" customWidth="1"/>
    <col min="2" max="2" width="22.140625" style="274" customWidth="1"/>
    <col min="3" max="4" width="17.7109375" style="274" customWidth="1"/>
    <col min="5" max="5" width="15.140625" style="274" customWidth="1"/>
    <col min="6" max="6" width="13.28515625" style="274" customWidth="1"/>
    <col min="7" max="7" width="6.28515625" style="274" customWidth="1"/>
    <col min="8" max="16384" width="9.28515625" style="274"/>
  </cols>
  <sheetData>
    <row r="1" spans="1:11" s="331" customFormat="1" ht="11.25" customHeight="1">
      <c r="A1" s="1007" t="s">
        <v>250</v>
      </c>
      <c r="B1" s="1009" t="s">
        <v>54</v>
      </c>
      <c r="C1" s="1009" t="s">
        <v>354</v>
      </c>
      <c r="D1" s="1009"/>
      <c r="E1" s="1009"/>
      <c r="F1" s="1011"/>
      <c r="G1" s="439"/>
    </row>
    <row r="2" spans="1:11" s="331" customFormat="1" ht="11.25" customHeight="1">
      <c r="A2" s="1001"/>
      <c r="B2" s="1004"/>
      <c r="C2" s="500" t="str">
        <f>UPPER('1. Resumen'!Q4)&amp;" "&amp;'1. Resumen'!Q5</f>
        <v>JULIO 2020</v>
      </c>
      <c r="D2" s="501" t="str">
        <f>UPPER('1. Resumen'!Q4)&amp;" "&amp;'1. Resumen'!Q5-1</f>
        <v>JULIO 2019</v>
      </c>
      <c r="E2" s="502" t="str">
        <f>UPPER('1. Resumen'!Q4)&amp;" "&amp;'1. Resumen'!Q5</f>
        <v>JULIO 2020</v>
      </c>
      <c r="F2" s="644" t="s">
        <v>479</v>
      </c>
      <c r="G2" s="440"/>
      <c r="H2" s="439"/>
    </row>
    <row r="3" spans="1:11" s="331" customFormat="1" ht="11.25" customHeight="1">
      <c r="A3" s="1001"/>
      <c r="B3" s="1004"/>
      <c r="C3" s="503">
        <f>'21. ANEXOII-1'!C4</f>
        <v>44035.8125</v>
      </c>
      <c r="D3" s="503">
        <f>'21. ANEXOII-1'!D4</f>
        <v>43668.854166666664</v>
      </c>
      <c r="E3" s="503">
        <f>'21. ANEXOII-1'!E4</f>
        <v>43886.8125</v>
      </c>
      <c r="F3" s="645" t="s">
        <v>351</v>
      </c>
      <c r="G3" s="441"/>
      <c r="H3" s="439"/>
    </row>
    <row r="4" spans="1:11" s="331" customFormat="1" ht="9" customHeight="1">
      <c r="A4" s="1008"/>
      <c r="B4" s="1010"/>
      <c r="C4" s="504">
        <f>+'8. Max Potencia'!D9</f>
        <v>44035.8125</v>
      </c>
      <c r="D4" s="504">
        <f>+'8. Max Potencia'!E9</f>
        <v>43668.854166666664</v>
      </c>
      <c r="E4" s="504">
        <f>+'21. ANEXOII-1'!E5</f>
        <v>43886.8125</v>
      </c>
      <c r="F4" s="646" t="s">
        <v>352</v>
      </c>
      <c r="G4" s="441"/>
      <c r="H4" s="443"/>
    </row>
    <row r="5" spans="1:11" s="331" customFormat="1" ht="9" customHeight="1">
      <c r="A5" s="674" t="s">
        <v>97</v>
      </c>
      <c r="B5" s="626" t="s">
        <v>77</v>
      </c>
      <c r="C5" s="628">
        <v>73.413529999999994</v>
      </c>
      <c r="D5" s="628">
        <v>45.289520000000003</v>
      </c>
      <c r="E5" s="791">
        <v>55.955019999999998</v>
      </c>
      <c r="F5" s="675">
        <f t="shared" ref="F5:F72" si="0">+IF(D5=0,"",C5/D5-1)</f>
        <v>0.62098273507866697</v>
      </c>
      <c r="J5" s="530"/>
      <c r="K5" s="530"/>
    </row>
    <row r="6" spans="1:11" s="331" customFormat="1" ht="9" customHeight="1">
      <c r="A6" s="674"/>
      <c r="B6" s="626" t="s">
        <v>79</v>
      </c>
      <c r="C6" s="628">
        <v>25.85942</v>
      </c>
      <c r="D6" s="628">
        <v>15.79379</v>
      </c>
      <c r="E6" s="791">
        <v>8.1275399999999998</v>
      </c>
      <c r="F6" s="675">
        <f t="shared" si="0"/>
        <v>0.6373156791371799</v>
      </c>
      <c r="J6" s="530"/>
      <c r="K6" s="530"/>
    </row>
    <row r="7" spans="1:11" s="331" customFormat="1" ht="9" customHeight="1">
      <c r="A7" s="676" t="s">
        <v>510</v>
      </c>
      <c r="B7" s="512"/>
      <c r="C7" s="514">
        <v>99.272949999999994</v>
      </c>
      <c r="D7" s="514">
        <v>61.083310000000004</v>
      </c>
      <c r="E7" s="790">
        <v>64.082560000000001</v>
      </c>
      <c r="F7" s="677">
        <f t="shared" si="0"/>
        <v>0.62520580498993894</v>
      </c>
      <c r="J7" s="530"/>
      <c r="K7" s="530"/>
    </row>
    <row r="8" spans="1:11" s="331" customFormat="1" ht="9" customHeight="1">
      <c r="A8" s="674" t="s">
        <v>87</v>
      </c>
      <c r="B8" s="626" t="s">
        <v>314</v>
      </c>
      <c r="C8" s="628">
        <v>84.841499999999996</v>
      </c>
      <c r="D8" s="628">
        <v>30.131360000000001</v>
      </c>
      <c r="E8" s="791">
        <v>110.29473</v>
      </c>
      <c r="F8" s="675">
        <f t="shared" si="0"/>
        <v>1.8157208967666909</v>
      </c>
      <c r="K8" s="530"/>
    </row>
    <row r="9" spans="1:11" s="331" customFormat="1" ht="9" customHeight="1">
      <c r="A9" s="674"/>
      <c r="B9" s="626" t="s">
        <v>315</v>
      </c>
      <c r="C9" s="628">
        <v>85.877579999999995</v>
      </c>
      <c r="D9" s="628">
        <v>71.345159999999993</v>
      </c>
      <c r="E9" s="791">
        <v>130.75458</v>
      </c>
      <c r="F9" s="675">
        <f t="shared" si="0"/>
        <v>0.20369174306988724</v>
      </c>
      <c r="K9" s="530"/>
    </row>
    <row r="10" spans="1:11" s="331" customFormat="1" ht="9" customHeight="1">
      <c r="A10" s="674"/>
      <c r="B10" s="626" t="s">
        <v>316</v>
      </c>
      <c r="C10" s="628">
        <v>512.38499000000002</v>
      </c>
      <c r="D10" s="628">
        <v>748.13227000000006</v>
      </c>
      <c r="E10" s="791">
        <v>723.90604000000008</v>
      </c>
      <c r="F10" s="675">
        <f t="shared" si="0"/>
        <v>-0.31511443825301111</v>
      </c>
      <c r="K10" s="530"/>
    </row>
    <row r="11" spans="1:11" s="331" customFormat="1" ht="9" customHeight="1">
      <c r="A11" s="674"/>
      <c r="B11" s="626" t="s">
        <v>317</v>
      </c>
      <c r="C11" s="628">
        <v>102.86733000000001</v>
      </c>
      <c r="D11" s="628">
        <v>67.94538</v>
      </c>
      <c r="E11" s="791">
        <v>0</v>
      </c>
      <c r="F11" s="675">
        <f t="shared" si="0"/>
        <v>0.51397092782467335</v>
      </c>
      <c r="J11" s="530"/>
      <c r="K11" s="530"/>
    </row>
    <row r="12" spans="1:11" s="331" customFormat="1" ht="9" customHeight="1">
      <c r="A12" s="674"/>
      <c r="B12" s="626" t="s">
        <v>318</v>
      </c>
      <c r="C12" s="628">
        <v>0</v>
      </c>
      <c r="D12" s="628">
        <v>0</v>
      </c>
      <c r="E12" s="791">
        <v>0</v>
      </c>
      <c r="F12" s="675" t="str">
        <f t="shared" si="0"/>
        <v/>
      </c>
      <c r="J12" s="530"/>
      <c r="K12" s="530"/>
    </row>
    <row r="13" spans="1:11" s="331" customFormat="1" ht="9" customHeight="1">
      <c r="A13" s="674"/>
      <c r="B13" s="626" t="s">
        <v>319</v>
      </c>
      <c r="C13" s="628">
        <v>0</v>
      </c>
      <c r="D13" s="628">
        <v>0</v>
      </c>
      <c r="E13" s="791">
        <v>0</v>
      </c>
      <c r="F13" s="675" t="str">
        <f t="shared" si="0"/>
        <v/>
      </c>
      <c r="J13" s="530"/>
      <c r="K13" s="530"/>
    </row>
    <row r="14" spans="1:11" s="331" customFormat="1" ht="9" customHeight="1">
      <c r="A14" s="674"/>
      <c r="B14" s="626" t="s">
        <v>320</v>
      </c>
      <c r="C14" s="628">
        <v>0</v>
      </c>
      <c r="D14" s="628">
        <v>0</v>
      </c>
      <c r="E14" s="791">
        <v>0</v>
      </c>
      <c r="F14" s="675" t="str">
        <f t="shared" si="0"/>
        <v/>
      </c>
      <c r="J14" s="530"/>
      <c r="K14" s="530"/>
    </row>
    <row r="15" spans="1:11" s="331" customFormat="1" ht="9" customHeight="1">
      <c r="A15" s="674"/>
      <c r="B15" s="626" t="s">
        <v>428</v>
      </c>
      <c r="C15" s="628">
        <v>0</v>
      </c>
      <c r="D15" s="628">
        <v>0</v>
      </c>
      <c r="E15" s="791">
        <v>0</v>
      </c>
      <c r="F15" s="675" t="str">
        <f t="shared" si="0"/>
        <v/>
      </c>
      <c r="J15" s="530"/>
      <c r="K15" s="530"/>
    </row>
    <row r="16" spans="1:11" s="331" customFormat="1" ht="9" customHeight="1">
      <c r="A16" s="676" t="s">
        <v>511</v>
      </c>
      <c r="B16" s="512"/>
      <c r="C16" s="514">
        <v>785.97140000000002</v>
      </c>
      <c r="D16" s="514">
        <v>917.55417</v>
      </c>
      <c r="E16" s="790">
        <v>964.95535000000007</v>
      </c>
      <c r="F16" s="677">
        <f t="shared" si="0"/>
        <v>-0.14340599640019069</v>
      </c>
      <c r="J16" s="530"/>
      <c r="K16" s="530"/>
    </row>
    <row r="17" spans="1:11" s="331" customFormat="1" ht="9" customHeight="1">
      <c r="A17" s="674" t="s">
        <v>239</v>
      </c>
      <c r="B17" s="626" t="s">
        <v>321</v>
      </c>
      <c r="C17" s="628">
        <v>544.87508000000003</v>
      </c>
      <c r="D17" s="628">
        <v>545.92955000000006</v>
      </c>
      <c r="E17" s="791">
        <v>269.12878000000001</v>
      </c>
      <c r="F17" s="675">
        <f t="shared" si="0"/>
        <v>-1.9315129580365076E-3</v>
      </c>
      <c r="J17" s="530"/>
      <c r="K17" s="530"/>
    </row>
    <row r="18" spans="1:11" s="331" customFormat="1" ht="9" customHeight="1">
      <c r="A18" s="676" t="s">
        <v>512</v>
      </c>
      <c r="B18" s="512"/>
      <c r="C18" s="514">
        <v>544.87508000000003</v>
      </c>
      <c r="D18" s="514">
        <v>545.92955000000006</v>
      </c>
      <c r="E18" s="790">
        <v>269.12878000000001</v>
      </c>
      <c r="F18" s="677">
        <f t="shared" si="0"/>
        <v>-1.9315129580365076E-3</v>
      </c>
      <c r="J18" s="530"/>
      <c r="K18" s="530"/>
    </row>
    <row r="19" spans="1:11" s="331" customFormat="1" ht="9" customHeight="1">
      <c r="A19" s="674" t="s">
        <v>458</v>
      </c>
      <c r="B19" s="626" t="s">
        <v>463</v>
      </c>
      <c r="C19" s="628">
        <v>4.6867700000000001</v>
      </c>
      <c r="D19" s="628"/>
      <c r="E19" s="791">
        <v>8.2661899999999999</v>
      </c>
      <c r="F19" s="675" t="str">
        <f t="shared" si="0"/>
        <v/>
      </c>
      <c r="J19" s="530"/>
      <c r="K19" s="530"/>
    </row>
    <row r="20" spans="1:11" s="331" customFormat="1" ht="9" customHeight="1">
      <c r="A20" s="674"/>
      <c r="B20" s="626" t="s">
        <v>459</v>
      </c>
      <c r="C20" s="628">
        <v>0</v>
      </c>
      <c r="D20" s="628"/>
      <c r="E20" s="791">
        <v>0</v>
      </c>
      <c r="F20" s="675"/>
      <c r="J20" s="530"/>
      <c r="K20" s="530"/>
    </row>
    <row r="21" spans="1:11" s="331" customFormat="1" ht="9" customHeight="1">
      <c r="A21" s="676" t="s">
        <v>513</v>
      </c>
      <c r="B21" s="512"/>
      <c r="C21" s="514">
        <v>4.6867700000000001</v>
      </c>
      <c r="D21" s="514"/>
      <c r="E21" s="790">
        <v>8.2661899999999999</v>
      </c>
      <c r="F21" s="677"/>
      <c r="J21" s="530"/>
      <c r="K21" s="530"/>
    </row>
    <row r="22" spans="1:11" s="331" customFormat="1" ht="9" customHeight="1">
      <c r="A22" s="674" t="s">
        <v>108</v>
      </c>
      <c r="B22" s="626" t="s">
        <v>66</v>
      </c>
      <c r="C22" s="628">
        <v>7.5459100000000001</v>
      </c>
      <c r="D22" s="628">
        <v>7.1529999999999996</v>
      </c>
      <c r="E22" s="791">
        <v>0</v>
      </c>
      <c r="F22" s="675"/>
      <c r="J22" s="530"/>
      <c r="K22" s="530"/>
    </row>
    <row r="23" spans="1:11" s="331" customFormat="1" ht="9" customHeight="1">
      <c r="A23" s="674"/>
      <c r="B23" s="626" t="s">
        <v>415</v>
      </c>
      <c r="C23" s="628">
        <v>3.4037299999999999</v>
      </c>
      <c r="D23" s="628">
        <v>4.1207000000000003</v>
      </c>
      <c r="E23" s="791">
        <v>20.355240000000002</v>
      </c>
      <c r="F23" s="675">
        <f t="shared" si="0"/>
        <v>-0.17399228286456192</v>
      </c>
      <c r="J23" s="530"/>
      <c r="K23" s="530"/>
    </row>
    <row r="24" spans="1:11" s="331" customFormat="1" ht="9" customHeight="1">
      <c r="A24" s="674"/>
      <c r="B24" s="626" t="s">
        <v>413</v>
      </c>
      <c r="C24" s="628">
        <v>5.1661200000000003</v>
      </c>
      <c r="D24" s="628">
        <v>5.5244999999999997</v>
      </c>
      <c r="E24" s="791">
        <v>20.30152</v>
      </c>
      <c r="F24" s="675">
        <f t="shared" si="0"/>
        <v>-6.4871029052402829E-2</v>
      </c>
      <c r="J24" s="530"/>
      <c r="K24" s="530"/>
    </row>
    <row r="25" spans="1:11" s="331" customFormat="1" ht="9" customHeight="1">
      <c r="A25" s="674"/>
      <c r="B25" s="626" t="s">
        <v>414</v>
      </c>
      <c r="C25" s="628">
        <v>5.02597</v>
      </c>
      <c r="D25" s="628">
        <v>5.5652399999999993</v>
      </c>
      <c r="E25" s="791">
        <v>19.837339999999998</v>
      </c>
      <c r="F25" s="675">
        <f t="shared" si="0"/>
        <v>-9.6899684470031722E-2</v>
      </c>
      <c r="J25" s="530"/>
      <c r="K25" s="530"/>
    </row>
    <row r="26" spans="1:11" s="331" customFormat="1" ht="9" customHeight="1">
      <c r="A26" s="676" t="s">
        <v>514</v>
      </c>
      <c r="B26" s="512"/>
      <c r="C26" s="514">
        <v>21.141730000000003</v>
      </c>
      <c r="D26" s="514">
        <v>22.363440000000001</v>
      </c>
      <c r="E26" s="790">
        <v>60.494100000000003</v>
      </c>
      <c r="F26" s="677">
        <f t="shared" si="0"/>
        <v>-5.4629788619282138E-2</v>
      </c>
      <c r="J26" s="530"/>
      <c r="K26" s="530"/>
    </row>
    <row r="27" spans="1:11" s="331" customFormat="1" ht="9" customHeight="1">
      <c r="A27" s="674" t="s">
        <v>111</v>
      </c>
      <c r="B27" s="626" t="s">
        <v>233</v>
      </c>
      <c r="C27" s="628">
        <v>0</v>
      </c>
      <c r="D27" s="628">
        <v>0</v>
      </c>
      <c r="E27" s="791">
        <v>0</v>
      </c>
      <c r="F27" s="675" t="str">
        <f t="shared" si="0"/>
        <v/>
      </c>
      <c r="J27" s="530"/>
      <c r="K27" s="530"/>
    </row>
    <row r="28" spans="1:11" s="331" customFormat="1" ht="9" customHeight="1">
      <c r="A28" s="676" t="s">
        <v>515</v>
      </c>
      <c r="B28" s="512"/>
      <c r="C28" s="514">
        <v>0</v>
      </c>
      <c r="D28" s="514">
        <v>0</v>
      </c>
      <c r="E28" s="790">
        <v>0</v>
      </c>
      <c r="F28" s="677" t="str">
        <f t="shared" si="0"/>
        <v/>
      </c>
      <c r="J28" s="530"/>
      <c r="K28" s="530"/>
    </row>
    <row r="29" spans="1:11" s="331" customFormat="1" ht="9" customHeight="1">
      <c r="A29" s="674" t="s">
        <v>112</v>
      </c>
      <c r="B29" s="626" t="s">
        <v>82</v>
      </c>
      <c r="C29" s="628">
        <v>0</v>
      </c>
      <c r="D29" s="628">
        <v>0</v>
      </c>
      <c r="E29" s="791">
        <v>0</v>
      </c>
      <c r="F29" s="675" t="str">
        <f t="shared" si="0"/>
        <v/>
      </c>
      <c r="J29" s="530"/>
      <c r="K29" s="530"/>
    </row>
    <row r="30" spans="1:11" s="331" customFormat="1" ht="9" customHeight="1">
      <c r="A30" s="676" t="s">
        <v>516</v>
      </c>
      <c r="B30" s="512"/>
      <c r="C30" s="514">
        <v>0</v>
      </c>
      <c r="D30" s="514">
        <v>0</v>
      </c>
      <c r="E30" s="790">
        <v>0</v>
      </c>
      <c r="F30" s="677" t="str">
        <f t="shared" si="0"/>
        <v/>
      </c>
      <c r="J30" s="530"/>
      <c r="K30" s="530"/>
    </row>
    <row r="31" spans="1:11" s="331" customFormat="1" ht="9" customHeight="1">
      <c r="A31" s="674" t="s">
        <v>116</v>
      </c>
      <c r="B31" s="626" t="s">
        <v>74</v>
      </c>
      <c r="C31" s="628">
        <v>3.6</v>
      </c>
      <c r="D31" s="628">
        <v>3.6</v>
      </c>
      <c r="E31" s="791">
        <v>2</v>
      </c>
      <c r="F31" s="675">
        <f t="shared" si="0"/>
        <v>0</v>
      </c>
      <c r="J31" s="530"/>
      <c r="K31" s="530"/>
    </row>
    <row r="32" spans="1:11" s="331" customFormat="1" ht="9" customHeight="1">
      <c r="A32" s="676" t="s">
        <v>517</v>
      </c>
      <c r="B32" s="512"/>
      <c r="C32" s="514">
        <v>3.6</v>
      </c>
      <c r="D32" s="514">
        <v>3.6</v>
      </c>
      <c r="E32" s="790">
        <v>2</v>
      </c>
      <c r="F32" s="677">
        <f t="shared" si="0"/>
        <v>0</v>
      </c>
      <c r="J32" s="530"/>
      <c r="K32" s="530"/>
    </row>
    <row r="33" spans="1:11" s="331" customFormat="1" ht="9" customHeight="1">
      <c r="A33" s="674" t="s">
        <v>103</v>
      </c>
      <c r="B33" s="626" t="s">
        <v>322</v>
      </c>
      <c r="C33" s="628">
        <v>16.170090000000002</v>
      </c>
      <c r="D33" s="628">
        <v>18.527999999999999</v>
      </c>
      <c r="E33" s="791">
        <v>19.528590000000001</v>
      </c>
      <c r="F33" s="675">
        <f t="shared" si="0"/>
        <v>-0.12726198186528481</v>
      </c>
      <c r="J33" s="530"/>
      <c r="K33" s="530"/>
    </row>
    <row r="34" spans="1:11" s="331" customFormat="1" ht="9" customHeight="1">
      <c r="A34" s="676" t="s">
        <v>518</v>
      </c>
      <c r="B34" s="512"/>
      <c r="C34" s="514">
        <v>16.170090000000002</v>
      </c>
      <c r="D34" s="514">
        <v>18.527999999999999</v>
      </c>
      <c r="E34" s="790">
        <v>19.528590000000001</v>
      </c>
      <c r="F34" s="677">
        <f t="shared" si="0"/>
        <v>-0.12726198186528481</v>
      </c>
      <c r="J34" s="530"/>
      <c r="K34" s="530"/>
    </row>
    <row r="35" spans="1:11" s="331" customFormat="1" ht="18.75" customHeight="1">
      <c r="A35" s="678" t="s">
        <v>425</v>
      </c>
      <c r="B35" s="636" t="s">
        <v>323</v>
      </c>
      <c r="C35" s="793">
        <v>12.229009999999999</v>
      </c>
      <c r="D35" s="793">
        <v>13.182869999999999</v>
      </c>
      <c r="E35" s="795">
        <v>19.038879999999999</v>
      </c>
      <c r="F35" s="796">
        <f t="shared" si="0"/>
        <v>-7.2356019592091925E-2</v>
      </c>
      <c r="J35" s="530"/>
      <c r="K35" s="530"/>
    </row>
    <row r="36" spans="1:11" s="331" customFormat="1" ht="9" customHeight="1">
      <c r="A36" s="676" t="s">
        <v>519</v>
      </c>
      <c r="B36" s="512"/>
      <c r="C36" s="514">
        <v>12.229009999999999</v>
      </c>
      <c r="D36" s="514">
        <v>13.182869999999999</v>
      </c>
      <c r="E36" s="790">
        <v>19.038879999999999</v>
      </c>
      <c r="F36" s="677">
        <f t="shared" si="0"/>
        <v>-7.2356019592091925E-2</v>
      </c>
      <c r="J36" s="530"/>
      <c r="K36" s="530"/>
    </row>
    <row r="37" spans="1:11" s="331" customFormat="1" ht="9" customHeight="1">
      <c r="A37" s="674" t="s">
        <v>240</v>
      </c>
      <c r="B37" s="626" t="s">
        <v>59</v>
      </c>
      <c r="C37" s="628">
        <v>13.62419</v>
      </c>
      <c r="D37" s="628">
        <v>14.84337</v>
      </c>
      <c r="E37" s="791">
        <v>19.104150000000001</v>
      </c>
      <c r="F37" s="675">
        <f t="shared" si="0"/>
        <v>-8.2136334269104605E-2</v>
      </c>
      <c r="J37" s="530"/>
      <c r="K37" s="530"/>
    </row>
    <row r="38" spans="1:11" s="331" customFormat="1" ht="9" customHeight="1">
      <c r="A38" s="676" t="s">
        <v>520</v>
      </c>
      <c r="B38" s="512"/>
      <c r="C38" s="514">
        <v>13.62419</v>
      </c>
      <c r="D38" s="514">
        <v>14.84337</v>
      </c>
      <c r="E38" s="790">
        <v>19.104150000000001</v>
      </c>
      <c r="F38" s="677">
        <f t="shared" si="0"/>
        <v>-8.2136334269104605E-2</v>
      </c>
      <c r="J38" s="530"/>
      <c r="K38" s="530"/>
    </row>
    <row r="39" spans="1:11" s="331" customFormat="1" ht="9" customHeight="1">
      <c r="A39" s="674" t="s">
        <v>412</v>
      </c>
      <c r="B39" s="626" t="s">
        <v>466</v>
      </c>
      <c r="C39" s="628">
        <v>0</v>
      </c>
      <c r="D39" s="628">
        <v>0</v>
      </c>
      <c r="E39" s="791">
        <v>0.72899999999999998</v>
      </c>
      <c r="F39" s="675" t="str">
        <f t="shared" si="0"/>
        <v/>
      </c>
      <c r="J39" s="530"/>
      <c r="K39" s="530"/>
    </row>
    <row r="40" spans="1:11" s="331" customFormat="1" ht="9" customHeight="1">
      <c r="A40" s="676" t="s">
        <v>521</v>
      </c>
      <c r="B40" s="512"/>
      <c r="C40" s="514">
        <v>0</v>
      </c>
      <c r="D40" s="514">
        <v>0</v>
      </c>
      <c r="E40" s="790">
        <v>0.72899999999999998</v>
      </c>
      <c r="F40" s="677" t="str">
        <f t="shared" si="0"/>
        <v/>
      </c>
      <c r="J40" s="530"/>
      <c r="K40" s="530"/>
    </row>
    <row r="41" spans="1:11" s="331" customFormat="1" ht="9" customHeight="1">
      <c r="A41" s="674" t="s">
        <v>430</v>
      </c>
      <c r="B41" s="626" t="s">
        <v>434</v>
      </c>
      <c r="C41" s="628">
        <v>60.02216</v>
      </c>
      <c r="D41" s="628">
        <v>65.870020000000011</v>
      </c>
      <c r="E41" s="791">
        <v>90.813810000000004</v>
      </c>
      <c r="F41" s="675">
        <f t="shared" si="0"/>
        <v>-8.8778779784794537E-2</v>
      </c>
      <c r="J41" s="530"/>
      <c r="K41" s="530"/>
    </row>
    <row r="42" spans="1:11" s="331" customFormat="1" ht="9" customHeight="1">
      <c r="A42" s="676" t="s">
        <v>522</v>
      </c>
      <c r="B42" s="512"/>
      <c r="C42" s="514">
        <v>60.02216</v>
      </c>
      <c r="D42" s="514">
        <v>65.870020000000011</v>
      </c>
      <c r="E42" s="790">
        <v>90.813810000000004</v>
      </c>
      <c r="F42" s="677">
        <f t="shared" si="0"/>
        <v>-8.8778779784794537E-2</v>
      </c>
      <c r="J42" s="530"/>
      <c r="K42" s="530"/>
    </row>
    <row r="43" spans="1:11" s="331" customFormat="1" ht="21" customHeight="1">
      <c r="A43" s="678" t="s">
        <v>487</v>
      </c>
      <c r="B43" s="636" t="s">
        <v>674</v>
      </c>
      <c r="C43" s="628">
        <v>4.21774</v>
      </c>
      <c r="D43" s="628"/>
      <c r="E43" s="791"/>
      <c r="F43" s="675" t="str">
        <f t="shared" si="0"/>
        <v/>
      </c>
      <c r="J43" s="530"/>
      <c r="K43" s="530"/>
    </row>
    <row r="44" spans="1:11" s="331" customFormat="1" ht="9" customHeight="1">
      <c r="A44" s="676" t="s">
        <v>523</v>
      </c>
      <c r="B44" s="512"/>
      <c r="C44" s="514">
        <v>4.21774</v>
      </c>
      <c r="D44" s="514"/>
      <c r="E44" s="790"/>
      <c r="F44" s="677" t="str">
        <f t="shared" si="0"/>
        <v/>
      </c>
      <c r="J44" s="530"/>
      <c r="K44" s="530"/>
    </row>
    <row r="45" spans="1:11" s="331" customFormat="1" ht="9" customHeight="1">
      <c r="A45" s="674" t="s">
        <v>118</v>
      </c>
      <c r="B45" s="626" t="s">
        <v>324</v>
      </c>
      <c r="C45" s="628">
        <v>0</v>
      </c>
      <c r="D45" s="628">
        <v>0</v>
      </c>
      <c r="E45" s="791">
        <v>0</v>
      </c>
      <c r="F45" s="675" t="str">
        <f t="shared" si="0"/>
        <v/>
      </c>
      <c r="J45" s="530"/>
      <c r="K45" s="530"/>
    </row>
    <row r="46" spans="1:11" s="331" customFormat="1" ht="9" customHeight="1">
      <c r="A46" s="674"/>
      <c r="B46" s="626" t="s">
        <v>325</v>
      </c>
      <c r="C46" s="628">
        <v>0</v>
      </c>
      <c r="D46" s="628">
        <v>0</v>
      </c>
      <c r="E46" s="791">
        <v>0</v>
      </c>
      <c r="F46" s="675" t="str">
        <f t="shared" si="0"/>
        <v/>
      </c>
      <c r="J46" s="530"/>
      <c r="K46" s="530"/>
    </row>
    <row r="47" spans="1:11" s="331" customFormat="1" ht="9" customHeight="1">
      <c r="A47" s="676" t="s">
        <v>524</v>
      </c>
      <c r="B47" s="512"/>
      <c r="C47" s="514">
        <v>0</v>
      </c>
      <c r="D47" s="514">
        <v>0</v>
      </c>
      <c r="E47" s="790">
        <v>0</v>
      </c>
      <c r="F47" s="677" t="str">
        <f t="shared" si="0"/>
        <v/>
      </c>
      <c r="J47" s="530"/>
      <c r="K47" s="530"/>
    </row>
    <row r="48" spans="1:11" s="331" customFormat="1" ht="9" customHeight="1">
      <c r="A48" s="674" t="s">
        <v>410</v>
      </c>
      <c r="B48" s="626" t="s">
        <v>326</v>
      </c>
      <c r="C48" s="628">
        <v>810.09456</v>
      </c>
      <c r="D48" s="628">
        <v>748.61750000000006</v>
      </c>
      <c r="E48" s="791">
        <v>490.61233999999996</v>
      </c>
      <c r="F48" s="675">
        <f t="shared" si="0"/>
        <v>8.2120789321649568E-2</v>
      </c>
      <c r="J48" s="530"/>
      <c r="K48" s="530"/>
    </row>
    <row r="49" spans="1:11" s="331" customFormat="1" ht="9" customHeight="1">
      <c r="A49" s="674"/>
      <c r="B49" s="626" t="s">
        <v>327</v>
      </c>
      <c r="C49" s="628">
        <v>185.22155000000001</v>
      </c>
      <c r="D49" s="628">
        <v>0</v>
      </c>
      <c r="E49" s="791">
        <v>154.80788000000001</v>
      </c>
      <c r="F49" s="675" t="str">
        <f t="shared" si="0"/>
        <v/>
      </c>
      <c r="J49" s="530"/>
      <c r="K49" s="530"/>
    </row>
    <row r="50" spans="1:11" s="331" customFormat="1" ht="9" customHeight="1">
      <c r="A50" s="674"/>
      <c r="B50" s="626" t="s">
        <v>432</v>
      </c>
      <c r="C50" s="628">
        <v>263.20416</v>
      </c>
      <c r="D50" s="628">
        <v>300.40413999999998</v>
      </c>
      <c r="E50" s="791">
        <v>539.21326999999997</v>
      </c>
      <c r="F50" s="675">
        <f t="shared" si="0"/>
        <v>-0.1238331136182077</v>
      </c>
      <c r="J50" s="530"/>
      <c r="K50" s="530"/>
    </row>
    <row r="51" spans="1:11" s="331" customFormat="1" ht="9" customHeight="1">
      <c r="A51" s="674"/>
      <c r="B51" s="626" t="s">
        <v>328</v>
      </c>
      <c r="C51" s="628">
        <v>4.0278900000000002</v>
      </c>
      <c r="D51" s="628">
        <v>3.8484600000000002</v>
      </c>
      <c r="E51" s="791">
        <v>10.12462</v>
      </c>
      <c r="F51" s="675">
        <f t="shared" si="0"/>
        <v>4.6623844342931875E-2</v>
      </c>
      <c r="J51" s="530"/>
      <c r="K51" s="530"/>
    </row>
    <row r="52" spans="1:11" s="331" customFormat="1" ht="9" customHeight="1">
      <c r="A52" s="676" t="s">
        <v>525</v>
      </c>
      <c r="B52" s="512"/>
      <c r="C52" s="514">
        <v>1262.5481600000001</v>
      </c>
      <c r="D52" s="514">
        <v>1052.8700999999999</v>
      </c>
      <c r="E52" s="790">
        <v>1194.75811</v>
      </c>
      <c r="F52" s="677">
        <f t="shared" si="0"/>
        <v>0.19914903082536028</v>
      </c>
      <c r="J52" s="530"/>
      <c r="K52" s="530"/>
    </row>
    <row r="53" spans="1:11" s="331" customFormat="1" ht="9" customHeight="1">
      <c r="A53" s="674" t="s">
        <v>117</v>
      </c>
      <c r="B53" s="626" t="s">
        <v>72</v>
      </c>
      <c r="C53" s="628">
        <v>0.83913000000000004</v>
      </c>
      <c r="D53" s="628">
        <v>1.7833999999999999</v>
      </c>
      <c r="E53" s="791">
        <v>3.3192300000000001</v>
      </c>
      <c r="F53" s="675">
        <f t="shared" si="0"/>
        <v>-0.52947740271391719</v>
      </c>
      <c r="J53" s="530"/>
      <c r="K53" s="530"/>
    </row>
    <row r="54" spans="1:11" s="331" customFormat="1" ht="9" customHeight="1">
      <c r="A54" s="676" t="s">
        <v>526</v>
      </c>
      <c r="B54" s="512"/>
      <c r="C54" s="514">
        <v>0.83913000000000004</v>
      </c>
      <c r="D54" s="514">
        <v>1.7833999999999999</v>
      </c>
      <c r="E54" s="790">
        <v>3.3192300000000001</v>
      </c>
      <c r="F54" s="677">
        <f t="shared" si="0"/>
        <v>-0.52947740271391719</v>
      </c>
      <c r="J54" s="530"/>
      <c r="K54" s="530"/>
    </row>
    <row r="55" spans="1:11" s="331" customFormat="1" ht="9" customHeight="1">
      <c r="A55" s="674" t="s">
        <v>110</v>
      </c>
      <c r="B55" s="626" t="s">
        <v>81</v>
      </c>
      <c r="C55" s="628">
        <v>0</v>
      </c>
      <c r="D55" s="628">
        <v>0</v>
      </c>
      <c r="E55" s="791">
        <v>0</v>
      </c>
      <c r="F55" s="675" t="str">
        <f t="shared" si="0"/>
        <v/>
      </c>
      <c r="J55" s="530"/>
      <c r="K55" s="530"/>
    </row>
    <row r="56" spans="1:11" s="331" customFormat="1" ht="9" customHeight="1">
      <c r="A56" s="676" t="s">
        <v>527</v>
      </c>
      <c r="B56" s="512"/>
      <c r="C56" s="514">
        <v>0</v>
      </c>
      <c r="D56" s="514">
        <v>0</v>
      </c>
      <c r="E56" s="790">
        <v>0</v>
      </c>
      <c r="F56" s="677" t="str">
        <f t="shared" si="0"/>
        <v/>
      </c>
      <c r="J56" s="530"/>
      <c r="K56" s="530"/>
    </row>
    <row r="57" spans="1:11" s="331" customFormat="1" ht="9" customHeight="1">
      <c r="A57" s="674" t="s">
        <v>241</v>
      </c>
      <c r="B57" s="626" t="s">
        <v>71</v>
      </c>
      <c r="C57" s="628">
        <v>5.3951200000000004</v>
      </c>
      <c r="D57" s="628">
        <v>4.7795199999999998</v>
      </c>
      <c r="E57" s="791">
        <v>4.2940100000000001</v>
      </c>
      <c r="F57" s="675">
        <f t="shared" si="0"/>
        <v>0.12879954472415656</v>
      </c>
      <c r="J57" s="530"/>
      <c r="K57" s="530"/>
    </row>
    <row r="58" spans="1:11" s="331" customFormat="1" ht="9" customHeight="1">
      <c r="A58" s="674"/>
      <c r="B58" s="626" t="s">
        <v>329</v>
      </c>
      <c r="C58" s="628">
        <v>72.120919999999998</v>
      </c>
      <c r="D58" s="628">
        <v>73.312610000000006</v>
      </c>
      <c r="E58" s="791">
        <v>250.73476000000002</v>
      </c>
      <c r="F58" s="675">
        <f t="shared" si="0"/>
        <v>-1.6254911672084926E-2</v>
      </c>
      <c r="J58" s="530"/>
      <c r="K58" s="530"/>
    </row>
    <row r="59" spans="1:11" s="331" customFormat="1" ht="9" customHeight="1">
      <c r="A59" s="674"/>
      <c r="B59" s="626" t="s">
        <v>330</v>
      </c>
      <c r="C59" s="628">
        <v>69.586209999999994</v>
      </c>
      <c r="D59" s="628">
        <v>61.033029999999997</v>
      </c>
      <c r="E59" s="791">
        <v>76.953440000000001</v>
      </c>
      <c r="F59" s="675">
        <f t="shared" si="0"/>
        <v>0.1401401831106861</v>
      </c>
      <c r="J59" s="530"/>
      <c r="K59" s="530"/>
    </row>
    <row r="60" spans="1:11" s="331" customFormat="1" ht="9" customHeight="1">
      <c r="A60" s="674"/>
      <c r="B60" s="626" t="s">
        <v>62</v>
      </c>
      <c r="C60" s="628">
        <v>9.9249799999999997</v>
      </c>
      <c r="D60" s="628">
        <v>8.4718</v>
      </c>
      <c r="E60" s="791">
        <v>9.9297299999999993</v>
      </c>
      <c r="F60" s="675">
        <f t="shared" si="0"/>
        <v>0.17153143369767943</v>
      </c>
      <c r="J60" s="530"/>
      <c r="K60" s="530"/>
    </row>
    <row r="61" spans="1:11" s="331" customFormat="1" ht="9" customHeight="1">
      <c r="A61" s="676" t="s">
        <v>528</v>
      </c>
      <c r="B61" s="512"/>
      <c r="C61" s="514">
        <v>157.02723</v>
      </c>
      <c r="D61" s="514">
        <v>147.59696</v>
      </c>
      <c r="E61" s="790">
        <v>341.91194000000002</v>
      </c>
      <c r="F61" s="677">
        <f t="shared" si="0"/>
        <v>6.3892034090675009E-2</v>
      </c>
      <c r="J61" s="530"/>
      <c r="K61" s="530"/>
    </row>
    <row r="62" spans="1:11" s="331" customFormat="1" ht="9" customHeight="1">
      <c r="A62" s="674" t="s">
        <v>242</v>
      </c>
      <c r="B62" s="626" t="s">
        <v>78</v>
      </c>
      <c r="C62" s="628">
        <v>31.946929999999998</v>
      </c>
      <c r="D62" s="628">
        <v>30.807130000000001</v>
      </c>
      <c r="E62" s="791">
        <v>18.001149999999999</v>
      </c>
      <c r="F62" s="675">
        <f t="shared" si="0"/>
        <v>3.6997928726239637E-2</v>
      </c>
      <c r="J62" s="530"/>
      <c r="K62" s="530"/>
    </row>
    <row r="63" spans="1:11" s="331" customFormat="1" ht="9" customHeight="1">
      <c r="A63" s="676" t="s">
        <v>529</v>
      </c>
      <c r="B63" s="512"/>
      <c r="C63" s="514">
        <v>31.946929999999998</v>
      </c>
      <c r="D63" s="514">
        <v>30.807130000000001</v>
      </c>
      <c r="E63" s="790">
        <v>18.001149999999999</v>
      </c>
      <c r="F63" s="677">
        <f t="shared" si="0"/>
        <v>3.6997928726239637E-2</v>
      </c>
      <c r="J63" s="530"/>
      <c r="K63" s="530"/>
    </row>
    <row r="64" spans="1:11" s="331" customFormat="1" ht="9" customHeight="1">
      <c r="A64" s="674" t="s">
        <v>99</v>
      </c>
      <c r="B64" s="626" t="s">
        <v>76</v>
      </c>
      <c r="C64" s="628">
        <v>91.666669999999996</v>
      </c>
      <c r="D64" s="628">
        <v>87.321700000000007</v>
      </c>
      <c r="E64" s="791">
        <v>55.79851</v>
      </c>
      <c r="F64" s="675">
        <f t="shared" si="0"/>
        <v>4.9758192980667859E-2</v>
      </c>
      <c r="J64" s="530"/>
      <c r="K64" s="530"/>
    </row>
    <row r="65" spans="1:11" s="331" customFormat="1" ht="9" customHeight="1">
      <c r="A65" s="676" t="s">
        <v>530</v>
      </c>
      <c r="B65" s="512"/>
      <c r="C65" s="514">
        <v>91.666669999999996</v>
      </c>
      <c r="D65" s="514">
        <v>87.321700000000007</v>
      </c>
      <c r="E65" s="790">
        <v>55.79851</v>
      </c>
      <c r="F65" s="677">
        <f t="shared" si="0"/>
        <v>4.9758192980667859E-2</v>
      </c>
      <c r="J65" s="530"/>
      <c r="K65" s="530"/>
    </row>
    <row r="66" spans="1:11" s="331" customFormat="1" ht="9" customHeight="1">
      <c r="A66" s="674" t="s">
        <v>107</v>
      </c>
      <c r="B66" s="626" t="s">
        <v>232</v>
      </c>
      <c r="C66" s="628">
        <v>0</v>
      </c>
      <c r="D66" s="628">
        <v>0</v>
      </c>
      <c r="E66" s="791">
        <v>0</v>
      </c>
      <c r="F66" s="675" t="str">
        <f t="shared" si="0"/>
        <v/>
      </c>
      <c r="J66" s="530"/>
      <c r="K66" s="530"/>
    </row>
    <row r="67" spans="1:11" s="331" customFormat="1" ht="9" customHeight="1">
      <c r="A67" s="676" t="s">
        <v>531</v>
      </c>
      <c r="B67" s="512"/>
      <c r="C67" s="514">
        <v>0</v>
      </c>
      <c r="D67" s="514">
        <v>0</v>
      </c>
      <c r="E67" s="790">
        <v>0</v>
      </c>
      <c r="F67" s="677" t="str">
        <f t="shared" si="0"/>
        <v/>
      </c>
      <c r="J67" s="530"/>
      <c r="K67" s="530"/>
    </row>
    <row r="68" spans="1:11" s="331" customFormat="1" ht="9" customHeight="1">
      <c r="A68" s="674" t="s">
        <v>411</v>
      </c>
      <c r="B68" s="626" t="s">
        <v>85</v>
      </c>
      <c r="C68" s="628">
        <v>1.19889</v>
      </c>
      <c r="D68" s="628">
        <v>2.9972000000000003</v>
      </c>
      <c r="E68" s="791">
        <v>2.5987999999999998</v>
      </c>
      <c r="F68" s="675">
        <f t="shared" si="0"/>
        <v>-0.59999666355264925</v>
      </c>
      <c r="J68" s="530"/>
      <c r="K68" s="530"/>
    </row>
    <row r="69" spans="1:11" s="331" customFormat="1" ht="9" customHeight="1">
      <c r="A69" s="674"/>
      <c r="B69" s="626" t="s">
        <v>84</v>
      </c>
      <c r="C69" s="628">
        <v>3.0137999999999998</v>
      </c>
      <c r="D69" s="628">
        <v>2.4050099999999999</v>
      </c>
      <c r="E69" s="791">
        <v>3.3125</v>
      </c>
      <c r="F69" s="675">
        <f t="shared" si="0"/>
        <v>0.2531340826025672</v>
      </c>
      <c r="J69" s="530"/>
      <c r="K69" s="530"/>
    </row>
    <row r="70" spans="1:11" s="331" customFormat="1" ht="9" customHeight="1">
      <c r="A70" s="674"/>
      <c r="B70" s="626" t="s">
        <v>429</v>
      </c>
      <c r="C70" s="628">
        <v>0</v>
      </c>
      <c r="D70" s="628">
        <v>2.39059</v>
      </c>
      <c r="E70" s="791">
        <v>2.403</v>
      </c>
      <c r="F70" s="675">
        <f t="shared" si="0"/>
        <v>-1</v>
      </c>
      <c r="J70" s="530"/>
      <c r="K70" s="530"/>
    </row>
    <row r="71" spans="1:11" s="331" customFormat="1" ht="9" customHeight="1">
      <c r="A71" s="674"/>
      <c r="B71" s="626" t="s">
        <v>673</v>
      </c>
      <c r="C71" s="628">
        <v>2.4010500000000001</v>
      </c>
      <c r="D71" s="628"/>
      <c r="E71" s="791"/>
      <c r="F71" s="675" t="str">
        <f t="shared" si="0"/>
        <v/>
      </c>
      <c r="J71" s="530"/>
      <c r="K71" s="530"/>
    </row>
    <row r="72" spans="1:11" s="331" customFormat="1" ht="10.5" customHeight="1">
      <c r="A72" s="676" t="s">
        <v>532</v>
      </c>
      <c r="B72" s="512"/>
      <c r="C72" s="514">
        <v>6.61374</v>
      </c>
      <c r="D72" s="514">
        <v>7.7927999999999997</v>
      </c>
      <c r="E72" s="790">
        <v>8.3142999999999994</v>
      </c>
      <c r="F72" s="677">
        <f t="shared" si="0"/>
        <v>-0.1513012011087157</v>
      </c>
    </row>
    <row r="73" spans="1:11" s="331" customFormat="1" ht="10.5" customHeight="1"/>
    <row r="74" spans="1:11" s="331" customFormat="1" ht="10.5" customHeight="1"/>
    <row r="75" spans="1:11" s="331" customFormat="1" ht="10.5" customHeight="1"/>
    <row r="76" spans="1:11" s="331" customFormat="1" ht="10.5" customHeight="1"/>
    <row r="77" spans="1:11" s="331" customFormat="1" ht="10.5" customHeight="1"/>
    <row r="78" spans="1:11" s="331" customFormat="1" ht="10.5" customHeight="1"/>
    <row r="79" spans="1:11" s="331" customFormat="1" ht="10.5" customHeight="1"/>
    <row r="80" spans="1:11" s="331" customFormat="1" ht="10.5" customHeight="1"/>
    <row r="81" s="331" customFormat="1" ht="7.8"/>
    <row r="82" s="331" customFormat="1" ht="7.8"/>
    <row r="83" s="331" customFormat="1" ht="7.8"/>
    <row r="84" s="331" customFormat="1" ht="7.8"/>
    <row r="85" s="331" customFormat="1" ht="7.8"/>
    <row r="86" s="331" customFormat="1" ht="7.8"/>
    <row r="87" s="331" customFormat="1" ht="7.8"/>
    <row r="88" s="331" customFormat="1" ht="7.8"/>
    <row r="89" s="331" customFormat="1" ht="7.8"/>
    <row r="90" s="331" customFormat="1" ht="7.8"/>
    <row r="91" s="331" customFormat="1" ht="7.8"/>
    <row r="92" s="331" customFormat="1" ht="7.8"/>
    <row r="93" s="331" customFormat="1" ht="7.8"/>
    <row r="94" s="331" customFormat="1" ht="7.8"/>
    <row r="95" s="331" customFormat="1" ht="7.8"/>
    <row r="96" s="331" customFormat="1" ht="7.8"/>
    <row r="97" s="331" customFormat="1" ht="7.8"/>
    <row r="98" s="331" customFormat="1" ht="7.8"/>
    <row r="99" s="331" customFormat="1" ht="7.8"/>
    <row r="100" s="331" customFormat="1" ht="7.8"/>
    <row r="101" s="331" customFormat="1" ht="7.8"/>
    <row r="102" s="331" customFormat="1" ht="7.8"/>
    <row r="103" s="331" customFormat="1" ht="7.8"/>
    <row r="104" s="331" customFormat="1" ht="7.8"/>
    <row r="105" s="331" customFormat="1" ht="7.8"/>
    <row r="106" s="331" customFormat="1" ht="7.8"/>
    <row r="107" s="331" customFormat="1" ht="7.8"/>
    <row r="108" s="331" customFormat="1" ht="7.8"/>
    <row r="109" s="331" customFormat="1" ht="7.8"/>
    <row r="110" s="331" customFormat="1" ht="7.8"/>
    <row r="111" s="331" customFormat="1" ht="7.8"/>
    <row r="112" s="331" customFormat="1" ht="7.8"/>
    <row r="113" s="331" customFormat="1" ht="7.8"/>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Julio 2020
INFSGI-MES-07-2020
13/08/2020
Versión: 01</oddHeader>
    <oddFooter>&amp;L&amp;7COES, 2020&amp;C22&amp;R&amp;7Dirección Ejecutiva
Sub Dirección de Gestión de Información</oddFooter>
  </headerFooter>
  <rowBreaks count="1" manualBreakCount="1">
    <brk id="72"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4"/>
  <sheetViews>
    <sheetView showGridLines="0" view="pageBreakPreview" topLeftCell="A26" zoomScaleNormal="100" zoomScaleSheetLayoutView="100" zoomScalePageLayoutView="140" workbookViewId="0">
      <selection activeCell="K43" sqref="K43"/>
    </sheetView>
  </sheetViews>
  <sheetFormatPr baseColWidth="10" defaultColWidth="9.28515625" defaultRowHeight="9.6"/>
  <cols>
    <col min="1" max="1" width="27" style="274" customWidth="1"/>
    <col min="2" max="2" width="19.42578125" style="274" customWidth="1"/>
    <col min="3" max="3" width="16.42578125" style="274" customWidth="1"/>
    <col min="4" max="4" width="17.7109375" style="274" customWidth="1"/>
    <col min="5" max="5" width="15.140625" style="274" customWidth="1"/>
    <col min="6" max="6" width="12.85546875" style="274" customWidth="1"/>
    <col min="7" max="16384" width="9.28515625" style="274"/>
  </cols>
  <sheetData>
    <row r="1" spans="1:6" s="331" customFormat="1" ht="11.25" customHeight="1">
      <c r="A1" s="1007" t="s">
        <v>250</v>
      </c>
      <c r="B1" s="1009" t="s">
        <v>54</v>
      </c>
      <c r="C1" s="1009" t="s">
        <v>354</v>
      </c>
      <c r="D1" s="1009"/>
      <c r="E1" s="1009"/>
      <c r="F1" s="1011"/>
    </row>
    <row r="2" spans="1:6" s="331" customFormat="1" ht="11.25" customHeight="1">
      <c r="A2" s="1001"/>
      <c r="B2" s="1004"/>
      <c r="C2" s="500" t="str">
        <f>UPPER('1. Resumen'!Q4)&amp;" "&amp;'1. Resumen'!Q5</f>
        <v>JULIO 2020</v>
      </c>
      <c r="D2" s="501" t="str">
        <f>UPPER('1. Resumen'!Q4)&amp;" "&amp;'1. Resumen'!Q5-1</f>
        <v>JULIO 2019</v>
      </c>
      <c r="E2" s="502" t="str">
        <f>UPPER('1. Resumen'!Q4)&amp;" "&amp;'1. Resumen'!Q5</f>
        <v>JULIO 2020</v>
      </c>
      <c r="F2" s="644" t="s">
        <v>436</v>
      </c>
    </row>
    <row r="3" spans="1:6" s="331" customFormat="1" ht="11.25" customHeight="1">
      <c r="A3" s="1001"/>
      <c r="B3" s="1004"/>
      <c r="C3" s="503">
        <f>'21. ANEXOII-1'!C4</f>
        <v>44035.8125</v>
      </c>
      <c r="D3" s="503">
        <f>'21. ANEXOII-1'!D4</f>
        <v>43668.854166666664</v>
      </c>
      <c r="E3" s="503">
        <f>'21. ANEXOII-1'!E4</f>
        <v>43886.8125</v>
      </c>
      <c r="F3" s="645" t="s">
        <v>351</v>
      </c>
    </row>
    <row r="4" spans="1:6" s="331" customFormat="1" ht="11.25" customHeight="1">
      <c r="A4" s="1008"/>
      <c r="B4" s="1010"/>
      <c r="C4" s="504">
        <f>+'8. Max Potencia'!D9</f>
        <v>44035.8125</v>
      </c>
      <c r="D4" s="504">
        <f>+'8. Max Potencia'!E9</f>
        <v>43668.854166666664</v>
      </c>
      <c r="E4" s="504">
        <f>+'22. ANEXOII-2'!E4</f>
        <v>43886.8125</v>
      </c>
      <c r="F4" s="646" t="s">
        <v>352</v>
      </c>
    </row>
    <row r="5" spans="1:6" s="331" customFormat="1" ht="10.5" customHeight="1">
      <c r="A5" s="674" t="s">
        <v>243</v>
      </c>
      <c r="B5" s="626" t="s">
        <v>331</v>
      </c>
      <c r="C5" s="628">
        <v>0</v>
      </c>
      <c r="D5" s="628">
        <v>0</v>
      </c>
      <c r="E5" s="791">
        <v>0</v>
      </c>
      <c r="F5" s="675" t="str">
        <f t="shared" ref="F5:F44" si="0">+IF(D5=0,"",C5/D5-1)</f>
        <v/>
      </c>
    </row>
    <row r="6" spans="1:6" s="331" customFormat="1" ht="10.5" customHeight="1">
      <c r="A6" s="676" t="s">
        <v>533</v>
      </c>
      <c r="B6" s="512"/>
      <c r="C6" s="514">
        <v>0</v>
      </c>
      <c r="D6" s="514">
        <v>0</v>
      </c>
      <c r="E6" s="790">
        <v>0</v>
      </c>
      <c r="F6" s="677" t="str">
        <f t="shared" si="0"/>
        <v/>
      </c>
    </row>
    <row r="7" spans="1:6" s="331" customFormat="1" ht="10.5" customHeight="1">
      <c r="A7" s="674" t="s">
        <v>446</v>
      </c>
      <c r="B7" s="626" t="s">
        <v>460</v>
      </c>
      <c r="C7" s="628">
        <v>9.7921300000000002</v>
      </c>
      <c r="D7" s="628">
        <v>12.18479</v>
      </c>
      <c r="E7" s="791">
        <v>19.940269999999998</v>
      </c>
      <c r="F7" s="675">
        <f t="shared" si="0"/>
        <v>-0.19636448391806505</v>
      </c>
    </row>
    <row r="8" spans="1:6" s="331" customFormat="1" ht="10.5" customHeight="1">
      <c r="A8" s="676" t="s">
        <v>534</v>
      </c>
      <c r="B8" s="512"/>
      <c r="C8" s="514">
        <v>9.7921300000000002</v>
      </c>
      <c r="D8" s="514">
        <v>12.18479</v>
      </c>
      <c r="E8" s="790">
        <v>19.940269999999998</v>
      </c>
      <c r="F8" s="677">
        <f t="shared" si="0"/>
        <v>-0.19636448391806505</v>
      </c>
    </row>
    <row r="9" spans="1:6" s="331" customFormat="1" ht="10.5" customHeight="1">
      <c r="A9" s="674" t="s">
        <v>104</v>
      </c>
      <c r="B9" s="626" t="s">
        <v>61</v>
      </c>
      <c r="C9" s="628">
        <v>7.8823400000000001</v>
      </c>
      <c r="D9" s="628">
        <v>4.5350599999999996</v>
      </c>
      <c r="E9" s="791">
        <v>8.8928200000000004</v>
      </c>
      <c r="F9" s="675">
        <f t="shared" si="0"/>
        <v>0.73808946298395184</v>
      </c>
    </row>
    <row r="10" spans="1:6" s="331" customFormat="1" ht="10.5" customHeight="1">
      <c r="A10" s="676" t="s">
        <v>535</v>
      </c>
      <c r="B10" s="512"/>
      <c r="C10" s="514">
        <v>7.8823400000000001</v>
      </c>
      <c r="D10" s="514">
        <v>4.5350599999999996</v>
      </c>
      <c r="E10" s="790">
        <v>8.8928200000000004</v>
      </c>
      <c r="F10" s="677">
        <f t="shared" si="0"/>
        <v>0.73808946298395184</v>
      </c>
    </row>
    <row r="11" spans="1:6" s="331" customFormat="1" ht="10.5" customHeight="1">
      <c r="A11" s="674" t="s">
        <v>244</v>
      </c>
      <c r="B11" s="626" t="s">
        <v>332</v>
      </c>
      <c r="C11" s="628">
        <v>0</v>
      </c>
      <c r="D11" s="628">
        <v>0</v>
      </c>
      <c r="E11" s="791">
        <v>0</v>
      </c>
      <c r="F11" s="675" t="str">
        <f t="shared" si="0"/>
        <v/>
      </c>
    </row>
    <row r="12" spans="1:6" s="331" customFormat="1" ht="10.5" customHeight="1">
      <c r="A12" s="676" t="s">
        <v>536</v>
      </c>
      <c r="B12" s="512"/>
      <c r="C12" s="514">
        <v>0</v>
      </c>
      <c r="D12" s="514">
        <v>0</v>
      </c>
      <c r="E12" s="790">
        <v>0</v>
      </c>
      <c r="F12" s="677" t="str">
        <f t="shared" si="0"/>
        <v/>
      </c>
    </row>
    <row r="13" spans="1:6" s="331" customFormat="1" ht="10.5" customHeight="1">
      <c r="A13" s="674" t="s">
        <v>95</v>
      </c>
      <c r="B13" s="626" t="s">
        <v>333</v>
      </c>
      <c r="C13" s="628">
        <v>78.888030000000001</v>
      </c>
      <c r="D13" s="628">
        <v>99.512879999999996</v>
      </c>
      <c r="E13" s="791">
        <v>110.13262</v>
      </c>
      <c r="F13" s="675">
        <f t="shared" si="0"/>
        <v>-0.20725809563545938</v>
      </c>
    </row>
    <row r="14" spans="1:6" s="331" customFormat="1" ht="10.5" customHeight="1">
      <c r="A14" s="676" t="s">
        <v>537</v>
      </c>
      <c r="B14" s="512"/>
      <c r="C14" s="514">
        <v>78.888030000000001</v>
      </c>
      <c r="D14" s="514">
        <v>99.512879999999996</v>
      </c>
      <c r="E14" s="790">
        <v>110.13262</v>
      </c>
      <c r="F14" s="677">
        <f t="shared" si="0"/>
        <v>-0.20725809563545938</v>
      </c>
    </row>
    <row r="15" spans="1:6" s="331" customFormat="1" ht="10.5" customHeight="1">
      <c r="A15" s="674" t="s">
        <v>431</v>
      </c>
      <c r="B15" s="626" t="s">
        <v>467</v>
      </c>
      <c r="C15" s="628">
        <v>0</v>
      </c>
      <c r="D15" s="628">
        <v>6.8680000000000003</v>
      </c>
      <c r="E15" s="791">
        <v>8.3719999999999999</v>
      </c>
      <c r="F15" s="675">
        <f t="shared" si="0"/>
        <v>-1</v>
      </c>
    </row>
    <row r="16" spans="1:6" s="331" customFormat="1" ht="10.5" customHeight="1">
      <c r="A16" s="676" t="s">
        <v>538</v>
      </c>
      <c r="B16" s="512"/>
      <c r="C16" s="514">
        <v>0</v>
      </c>
      <c r="D16" s="514">
        <v>6.8680000000000003</v>
      </c>
      <c r="E16" s="790">
        <v>8.3719999999999999</v>
      </c>
      <c r="F16" s="677">
        <f t="shared" si="0"/>
        <v>-1</v>
      </c>
    </row>
    <row r="17" spans="1:6" s="331" customFormat="1" ht="10.5" customHeight="1">
      <c r="A17" s="674" t="s">
        <v>402</v>
      </c>
      <c r="B17" s="626" t="s">
        <v>406</v>
      </c>
      <c r="C17" s="628">
        <v>20.144839999999999</v>
      </c>
      <c r="D17" s="628">
        <v>20.00085</v>
      </c>
      <c r="E17" s="791">
        <v>20.120570000000001</v>
      </c>
      <c r="F17" s="675">
        <f t="shared" si="0"/>
        <v>7.1991940342535088E-3</v>
      </c>
    </row>
    <row r="18" spans="1:6" s="331" customFormat="1" ht="10.5" customHeight="1">
      <c r="A18" s="676" t="s">
        <v>539</v>
      </c>
      <c r="B18" s="512"/>
      <c r="C18" s="514">
        <v>20.144839999999999</v>
      </c>
      <c r="D18" s="514">
        <v>20.00085</v>
      </c>
      <c r="E18" s="790">
        <v>20.120570000000001</v>
      </c>
      <c r="F18" s="677">
        <f t="shared" si="0"/>
        <v>7.1991940342535088E-3</v>
      </c>
    </row>
    <row r="19" spans="1:6" s="331" customFormat="1" ht="10.5" customHeight="1">
      <c r="A19" s="674" t="s">
        <v>102</v>
      </c>
      <c r="B19" s="626" t="s">
        <v>334</v>
      </c>
      <c r="C19" s="628">
        <v>0</v>
      </c>
      <c r="D19" s="628">
        <v>28.627479999999998</v>
      </c>
      <c r="E19" s="791">
        <v>26.558800000000002</v>
      </c>
      <c r="F19" s="675">
        <f t="shared" si="0"/>
        <v>-1</v>
      </c>
    </row>
    <row r="20" spans="1:6" s="331" customFormat="1" ht="10.5" customHeight="1">
      <c r="A20" s="676" t="s">
        <v>540</v>
      </c>
      <c r="B20" s="512"/>
      <c r="C20" s="514">
        <v>0</v>
      </c>
      <c r="D20" s="514">
        <v>28.627479999999998</v>
      </c>
      <c r="E20" s="790">
        <v>26.558800000000002</v>
      </c>
      <c r="F20" s="677">
        <f t="shared" si="0"/>
        <v>-1</v>
      </c>
    </row>
    <row r="21" spans="1:6" s="331" customFormat="1" ht="10.5" customHeight="1">
      <c r="A21" s="674" t="s">
        <v>119</v>
      </c>
      <c r="B21" s="626" t="s">
        <v>335</v>
      </c>
      <c r="C21" s="628">
        <v>0</v>
      </c>
      <c r="D21" s="628">
        <v>0</v>
      </c>
      <c r="E21" s="791">
        <v>0</v>
      </c>
      <c r="F21" s="675" t="str">
        <f t="shared" si="0"/>
        <v/>
      </c>
    </row>
    <row r="22" spans="1:6" s="331" customFormat="1" ht="10.5" customHeight="1">
      <c r="A22" s="676" t="s">
        <v>541</v>
      </c>
      <c r="B22" s="512"/>
      <c r="C22" s="514">
        <v>0</v>
      </c>
      <c r="D22" s="514">
        <v>0</v>
      </c>
      <c r="E22" s="790">
        <v>0</v>
      </c>
      <c r="F22" s="677" t="str">
        <f t="shared" si="0"/>
        <v/>
      </c>
    </row>
    <row r="23" spans="1:6" s="331" customFormat="1" ht="10.5" customHeight="1">
      <c r="A23" s="674" t="s">
        <v>113</v>
      </c>
      <c r="B23" s="626" t="s">
        <v>461</v>
      </c>
      <c r="C23" s="628">
        <v>15.74328</v>
      </c>
      <c r="D23" s="628">
        <v>17.549710000000001</v>
      </c>
      <c r="E23" s="791">
        <v>19.958759999999998</v>
      </c>
      <c r="F23" s="675">
        <f t="shared" si="0"/>
        <v>-0.1029321852042</v>
      </c>
    </row>
    <row r="24" spans="1:6" s="331" customFormat="1" ht="10.5" customHeight="1">
      <c r="A24" s="674"/>
      <c r="B24" s="626" t="s">
        <v>69</v>
      </c>
      <c r="C24" s="628">
        <v>5.69618</v>
      </c>
      <c r="D24" s="628">
        <v>6.0938600000000003</v>
      </c>
      <c r="E24" s="791">
        <v>8.2235600000000009</v>
      </c>
      <c r="F24" s="675">
        <f t="shared" si="0"/>
        <v>-6.5259129681351391E-2</v>
      </c>
    </row>
    <row r="25" spans="1:6" s="331" customFormat="1" ht="10.5" customHeight="1">
      <c r="A25" s="676" t="s">
        <v>542</v>
      </c>
      <c r="B25" s="512"/>
      <c r="C25" s="514">
        <v>21.43946</v>
      </c>
      <c r="D25" s="514">
        <v>23.64357</v>
      </c>
      <c r="E25" s="790">
        <v>28.182319999999997</v>
      </c>
      <c r="F25" s="677">
        <f t="shared" si="0"/>
        <v>-9.3222385621122394E-2</v>
      </c>
    </row>
    <row r="26" spans="1:6" s="331" customFormat="1" ht="10.5" customHeight="1">
      <c r="A26" s="674" t="s">
        <v>90</v>
      </c>
      <c r="B26" s="626" t="s">
        <v>336</v>
      </c>
      <c r="C26" s="628">
        <v>22.07826</v>
      </c>
      <c r="D26" s="628">
        <v>25.227650000000001</v>
      </c>
      <c r="E26" s="791">
        <v>42.757599999999996</v>
      </c>
      <c r="F26" s="675">
        <f t="shared" si="0"/>
        <v>-0.12483881772578898</v>
      </c>
    </row>
    <row r="27" spans="1:6" s="331" customFormat="1" ht="10.5" customHeight="1">
      <c r="A27" s="674"/>
      <c r="B27" s="626" t="s">
        <v>337</v>
      </c>
      <c r="C27" s="628">
        <v>89.898060000000001</v>
      </c>
      <c r="D27" s="628">
        <v>50.109699999999997</v>
      </c>
      <c r="E27" s="791">
        <v>163.52692999999999</v>
      </c>
      <c r="F27" s="675"/>
    </row>
    <row r="28" spans="1:6" s="331" customFormat="1" ht="10.5" customHeight="1">
      <c r="A28" s="674"/>
      <c r="B28" s="626" t="s">
        <v>338</v>
      </c>
      <c r="C28" s="628">
        <v>12.934810000000001</v>
      </c>
      <c r="D28" s="628">
        <v>16.724540000000001</v>
      </c>
      <c r="E28" s="791">
        <v>23.855930000000001</v>
      </c>
      <c r="F28" s="675"/>
    </row>
    <row r="29" spans="1:6" s="331" customFormat="1" ht="10.5" customHeight="1">
      <c r="A29" s="674"/>
      <c r="B29" s="626" t="s">
        <v>339</v>
      </c>
      <c r="C29" s="628">
        <v>0</v>
      </c>
      <c r="D29" s="628">
        <v>0.2117</v>
      </c>
      <c r="E29" s="791">
        <v>0.22234999999999999</v>
      </c>
      <c r="F29" s="675"/>
    </row>
    <row r="30" spans="1:6" s="331" customFormat="1" ht="10.5" customHeight="1">
      <c r="A30" s="674"/>
      <c r="B30" s="626" t="s">
        <v>340</v>
      </c>
      <c r="C30" s="628">
        <v>43.89922</v>
      </c>
      <c r="D30" s="628">
        <v>32.896340000000002</v>
      </c>
      <c r="E30" s="791">
        <v>45.267490000000002</v>
      </c>
      <c r="F30" s="675"/>
    </row>
    <row r="31" spans="1:6" s="331" customFormat="1" ht="10.5" customHeight="1">
      <c r="A31" s="674"/>
      <c r="B31" s="626" t="s">
        <v>341</v>
      </c>
      <c r="C31" s="628">
        <v>3.3329399999999998</v>
      </c>
      <c r="D31" s="628">
        <v>3.0323199999999999</v>
      </c>
      <c r="E31" s="791">
        <v>3.8410700000000002</v>
      </c>
      <c r="F31" s="675"/>
    </row>
    <row r="32" spans="1:6" s="331" customFormat="1" ht="10.5" customHeight="1">
      <c r="A32" s="674"/>
      <c r="B32" s="626" t="s">
        <v>342</v>
      </c>
      <c r="C32" s="628">
        <v>6.52644</v>
      </c>
      <c r="D32" s="628">
        <v>7.0225200000000001</v>
      </c>
      <c r="E32" s="791">
        <v>8.3933999999999997</v>
      </c>
      <c r="F32" s="675">
        <f t="shared" si="0"/>
        <v>-7.0641308248321155E-2</v>
      </c>
    </row>
    <row r="33" spans="1:6" s="331" customFormat="1" ht="10.5" customHeight="1">
      <c r="A33" s="674"/>
      <c r="B33" s="626" t="s">
        <v>343</v>
      </c>
      <c r="C33" s="628">
        <v>3.6297999999999999</v>
      </c>
      <c r="D33" s="628">
        <v>3.2359299999999998</v>
      </c>
      <c r="E33" s="791">
        <v>0</v>
      </c>
      <c r="F33" s="675">
        <f t="shared" si="0"/>
        <v>0.12171771330034953</v>
      </c>
    </row>
    <row r="34" spans="1:6" s="331" customFormat="1" ht="10.5" customHeight="1">
      <c r="A34" s="674"/>
      <c r="B34" s="626" t="s">
        <v>344</v>
      </c>
      <c r="C34" s="628">
        <v>1.40107</v>
      </c>
      <c r="D34" s="628">
        <v>1.1404300000000001</v>
      </c>
      <c r="E34" s="791">
        <v>0.86190999999999995</v>
      </c>
      <c r="F34" s="675">
        <f t="shared" si="0"/>
        <v>0.22854537323641089</v>
      </c>
    </row>
    <row r="35" spans="1:6" s="331" customFormat="1" ht="10.5" customHeight="1">
      <c r="A35" s="674"/>
      <c r="B35" s="626" t="s">
        <v>345</v>
      </c>
      <c r="C35" s="628">
        <v>0</v>
      </c>
      <c r="D35" s="628">
        <v>0.41205999999999998</v>
      </c>
      <c r="E35" s="791">
        <v>0.28194000000000002</v>
      </c>
      <c r="F35" s="675">
        <f t="shared" si="0"/>
        <v>-1</v>
      </c>
    </row>
    <row r="36" spans="1:6" s="331" customFormat="1" ht="10.5" customHeight="1">
      <c r="A36" s="674"/>
      <c r="B36" s="626" t="s">
        <v>346</v>
      </c>
      <c r="C36" s="628">
        <v>0</v>
      </c>
      <c r="D36" s="628">
        <v>0.31918000000000002</v>
      </c>
      <c r="E36" s="791">
        <v>0.23855999999999999</v>
      </c>
      <c r="F36" s="675">
        <f t="shared" si="0"/>
        <v>-1</v>
      </c>
    </row>
    <row r="37" spans="1:6" s="331" customFormat="1" ht="10.5" customHeight="1">
      <c r="A37" s="674"/>
      <c r="B37" s="626" t="s">
        <v>347</v>
      </c>
      <c r="C37" s="628">
        <v>95.489149999999995</v>
      </c>
      <c r="D37" s="628">
        <v>85.428699999999992</v>
      </c>
      <c r="E37" s="791">
        <v>105.60454</v>
      </c>
      <c r="F37" s="675">
        <f t="shared" si="0"/>
        <v>0.117764287645721</v>
      </c>
    </row>
    <row r="38" spans="1:6" s="331" customFormat="1" ht="10.5" customHeight="1">
      <c r="A38" s="676" t="s">
        <v>543</v>
      </c>
      <c r="B38" s="512"/>
      <c r="C38" s="514">
        <v>279.18975</v>
      </c>
      <c r="D38" s="514">
        <v>225.76106999999996</v>
      </c>
      <c r="E38" s="790">
        <v>394.85172</v>
      </c>
      <c r="F38" s="677">
        <f t="shared" si="0"/>
        <v>0.23666028868484745</v>
      </c>
    </row>
    <row r="39" spans="1:6" s="331" customFormat="1" ht="10.5" customHeight="1">
      <c r="A39" s="674" t="s">
        <v>109</v>
      </c>
      <c r="B39" s="626" t="s">
        <v>231</v>
      </c>
      <c r="C39" s="628">
        <v>0</v>
      </c>
      <c r="D39" s="628">
        <v>0</v>
      </c>
      <c r="E39" s="791">
        <v>0</v>
      </c>
      <c r="F39" s="675" t="str">
        <f t="shared" si="0"/>
        <v/>
      </c>
    </row>
    <row r="40" spans="1:6" s="331" customFormat="1" ht="10.5" customHeight="1">
      <c r="A40" s="676" t="s">
        <v>544</v>
      </c>
      <c r="B40" s="512"/>
      <c r="C40" s="514">
        <v>0</v>
      </c>
      <c r="D40" s="514">
        <v>0</v>
      </c>
      <c r="E40" s="790">
        <v>0</v>
      </c>
      <c r="F40" s="677" t="str">
        <f t="shared" si="0"/>
        <v/>
      </c>
    </row>
    <row r="41" spans="1:6" s="331" customFormat="1" ht="10.5" customHeight="1">
      <c r="A41" s="674" t="s">
        <v>100</v>
      </c>
      <c r="B41" s="626" t="s">
        <v>433</v>
      </c>
      <c r="C41" s="628">
        <v>0</v>
      </c>
      <c r="D41" s="628">
        <v>287.88475</v>
      </c>
      <c r="E41" s="791">
        <v>283.12439000000001</v>
      </c>
      <c r="F41" s="675">
        <f t="shared" si="0"/>
        <v>-1</v>
      </c>
    </row>
    <row r="42" spans="1:6" s="331" customFormat="1" ht="10.5" customHeight="1">
      <c r="A42" s="676" t="s">
        <v>545</v>
      </c>
      <c r="B42" s="512"/>
      <c r="C42" s="514">
        <v>0</v>
      </c>
      <c r="D42" s="514">
        <v>287.88475</v>
      </c>
      <c r="E42" s="790">
        <v>283.12439000000001</v>
      </c>
      <c r="F42" s="677">
        <f t="shared" si="0"/>
        <v>-1</v>
      </c>
    </row>
    <row r="43" spans="1:6" s="331" customFormat="1" ht="10.5" customHeight="1">
      <c r="A43" s="674" t="s">
        <v>105</v>
      </c>
      <c r="B43" s="626" t="s">
        <v>348</v>
      </c>
      <c r="C43" s="628">
        <v>0</v>
      </c>
      <c r="D43" s="628">
        <v>167.28831</v>
      </c>
      <c r="E43" s="791">
        <v>0</v>
      </c>
      <c r="F43" s="675">
        <f t="shared" si="0"/>
        <v>-1</v>
      </c>
    </row>
    <row r="44" spans="1:6" s="331" customFormat="1" ht="10.5" customHeight="1">
      <c r="A44" s="676" t="s">
        <v>546</v>
      </c>
      <c r="B44" s="512"/>
      <c r="C44" s="514">
        <v>0</v>
      </c>
      <c r="D44" s="514">
        <v>167.28831</v>
      </c>
      <c r="E44" s="790">
        <v>0</v>
      </c>
      <c r="F44" s="677">
        <f t="shared" si="0"/>
        <v>-1</v>
      </c>
    </row>
    <row r="45" spans="1:6" s="331" customFormat="1" ht="10.5" customHeight="1">
      <c r="A45" s="674"/>
      <c r="B45" s="626"/>
      <c r="C45" s="628"/>
      <c r="D45" s="803"/>
      <c r="E45" s="803"/>
      <c r="F45" s="804"/>
    </row>
    <row r="46" spans="1:6" s="411" customFormat="1" ht="12" customHeight="1">
      <c r="A46" s="497" t="s">
        <v>404</v>
      </c>
      <c r="B46" s="507"/>
      <c r="C46" s="620">
        <v>6337.2608100000007</v>
      </c>
      <c r="D46" s="496">
        <v>6692.1372100000062</v>
      </c>
      <c r="E46" s="496">
        <v>7125.2993800000013</v>
      </c>
      <c r="F46" s="649">
        <f>+IF(D46=0,"",C46/D46-1)</f>
        <v>-5.3028858922634869E-2</v>
      </c>
    </row>
    <row r="47" spans="1:6" s="411" customFormat="1" ht="12" customHeight="1">
      <c r="A47" s="507" t="s">
        <v>349</v>
      </c>
      <c r="B47" s="497"/>
      <c r="C47" s="496">
        <f>+'8. Max Potencia'!D16</f>
        <v>45.825920000000004</v>
      </c>
      <c r="D47" s="496">
        <f>+'8. Max Potencia'!E16</f>
        <v>47.143999999999998</v>
      </c>
      <c r="E47" s="499">
        <v>0</v>
      </c>
      <c r="F47" s="650">
        <v>0</v>
      </c>
    </row>
    <row r="48" spans="1:6" s="411" customFormat="1" ht="12" customHeight="1">
      <c r="A48" s="651" t="s">
        <v>350</v>
      </c>
      <c r="B48" s="651"/>
      <c r="C48" s="496">
        <v>0</v>
      </c>
      <c r="D48" s="496">
        <v>0</v>
      </c>
      <c r="E48" s="499">
        <v>0</v>
      </c>
      <c r="F48" s="650">
        <v>0</v>
      </c>
    </row>
    <row r="49" spans="1:7" ht="12" customHeight="1">
      <c r="A49" s="753" t="s">
        <v>454</v>
      </c>
      <c r="B49" s="651"/>
      <c r="C49" s="496">
        <f>+C46+C47</f>
        <v>6383.0867300000009</v>
      </c>
      <c r="D49" s="496">
        <v>6793.7682599999998</v>
      </c>
      <c r="E49" s="496">
        <v>7125.2993800000013</v>
      </c>
      <c r="F49" s="649">
        <f>+IF(D49=0,"",C49/D49-1)</f>
        <v>-6.0449740745204483E-2</v>
      </c>
    </row>
    <row r="50" spans="1:7" ht="12" customHeight="1">
      <c r="A50" s="626"/>
      <c r="B50" s="629"/>
      <c r="C50" s="629"/>
      <c r="D50" s="629"/>
      <c r="E50" s="629"/>
      <c r="F50" s="629"/>
    </row>
    <row r="51" spans="1:7" ht="27.75" customHeight="1">
      <c r="A51" s="999" t="s">
        <v>480</v>
      </c>
      <c r="B51" s="999"/>
      <c r="C51" s="999"/>
      <c r="D51" s="999"/>
      <c r="E51" s="999"/>
      <c r="F51" s="999"/>
    </row>
    <row r="52" spans="1:7" ht="15" customHeight="1">
      <c r="A52" s="1012"/>
      <c r="B52" s="1012"/>
      <c r="C52" s="1012"/>
      <c r="D52" s="1012"/>
      <c r="E52" s="1012"/>
      <c r="F52" s="1012"/>
      <c r="G52" s="706"/>
    </row>
    <row r="53" spans="1:7" ht="15" customHeight="1">
      <c r="A53" s="706" t="s">
        <v>672</v>
      </c>
      <c r="B53" s="706"/>
      <c r="C53" s="706"/>
      <c r="D53" s="706"/>
      <c r="E53" s="706"/>
      <c r="F53" s="706"/>
      <c r="G53" s="706"/>
    </row>
    <row r="54" spans="1:7" ht="15" customHeight="1">
      <c r="A54" s="706" t="s">
        <v>689</v>
      </c>
      <c r="B54" s="706"/>
      <c r="C54" s="706"/>
      <c r="D54" s="706"/>
      <c r="E54" s="706"/>
      <c r="F54" s="706"/>
      <c r="G54" s="706"/>
    </row>
    <row r="55" spans="1:7" ht="15" customHeight="1">
      <c r="A55" s="1012"/>
      <c r="B55" s="1012"/>
      <c r="C55" s="1012"/>
      <c r="D55" s="1012"/>
      <c r="E55" s="1012"/>
      <c r="F55" s="1012"/>
      <c r="G55" s="706"/>
    </row>
    <row r="56" spans="1:7" ht="15" customHeight="1">
      <c r="A56" s="1012"/>
      <c r="B56" s="1012"/>
      <c r="C56" s="1012"/>
      <c r="D56" s="1012"/>
      <c r="E56" s="1012"/>
      <c r="F56" s="1012"/>
      <c r="G56" s="46"/>
    </row>
    <row r="57" spans="1:7" ht="15" customHeight="1">
      <c r="A57" s="1012"/>
      <c r="B57" s="1012"/>
      <c r="C57" s="1012"/>
      <c r="D57" s="1012"/>
      <c r="E57" s="1012"/>
      <c r="F57" s="1012"/>
      <c r="G57" s="46"/>
    </row>
    <row r="58" spans="1:7" ht="22.5" customHeight="1">
      <c r="A58" s="998"/>
      <c r="B58" s="998"/>
      <c r="C58" s="998"/>
      <c r="D58" s="998"/>
      <c r="E58" s="998"/>
      <c r="F58" s="998"/>
      <c r="G58" s="763"/>
    </row>
    <row r="59" spans="1:7" ht="15.75" customHeight="1">
      <c r="A59" s="1012"/>
      <c r="B59" s="1012"/>
      <c r="C59" s="1012"/>
      <c r="D59" s="1012"/>
      <c r="E59" s="1012"/>
      <c r="F59" s="1012"/>
      <c r="G59" s="730"/>
    </row>
    <row r="60" spans="1:7" ht="12" customHeight="1">
      <c r="A60" s="1012"/>
      <c r="B60" s="1012"/>
      <c r="C60" s="1012"/>
      <c r="D60" s="1012"/>
      <c r="E60" s="1012"/>
      <c r="F60" s="1012"/>
      <c r="G60" s="730"/>
    </row>
    <row r="61" spans="1:7" ht="12" customHeight="1">
      <c r="A61" s="1012"/>
      <c r="B61" s="1012"/>
      <c r="C61" s="1012"/>
      <c r="D61" s="1012"/>
      <c r="E61" s="1012"/>
      <c r="F61" s="1012"/>
      <c r="G61" s="730"/>
    </row>
    <row r="62" spans="1:7" ht="12" customHeight="1">
      <c r="A62" s="331"/>
      <c r="G62" s="730"/>
    </row>
    <row r="63" spans="1:7" ht="12" customHeight="1">
      <c r="A63" s="331"/>
    </row>
    <row r="64" spans="1:7" ht="12" customHeight="1">
      <c r="A64" s="331"/>
    </row>
  </sheetData>
  <mergeCells count="12">
    <mergeCell ref="A59:F59"/>
    <mergeCell ref="A60:F60"/>
    <mergeCell ref="A61:F61"/>
    <mergeCell ref="A1:A4"/>
    <mergeCell ref="B1:B4"/>
    <mergeCell ref="C1:F1"/>
    <mergeCell ref="A51:F51"/>
    <mergeCell ref="A58:F58"/>
    <mergeCell ref="A52:F52"/>
    <mergeCell ref="A55:F55"/>
    <mergeCell ref="A56:F56"/>
    <mergeCell ref="A57:F5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3"/>
  <sheetViews>
    <sheetView showGridLines="0" view="pageBreakPreview" zoomScale="115" zoomScaleNormal="100" zoomScaleSheetLayoutView="115" zoomScalePageLayoutView="145" workbookViewId="0">
      <selection activeCell="N53" sqref="N53"/>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0"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7" t="s">
        <v>362</v>
      </c>
      <c r="B3" s="275"/>
    </row>
    <row r="4" spans="1:13" ht="11.25" customHeight="1">
      <c r="B4" s="275"/>
    </row>
    <row r="5" spans="1:13" ht="11.25" customHeight="1">
      <c r="A5" s="276" t="s">
        <v>409</v>
      </c>
      <c r="C5" s="834">
        <v>6383.08673</v>
      </c>
    </row>
    <row r="6" spans="1:13" ht="11.25" customHeight="1">
      <c r="A6" s="276" t="s">
        <v>363</v>
      </c>
      <c r="C6" s="834" t="s">
        <v>662</v>
      </c>
    </row>
    <row r="7" spans="1:13" ht="11.25" customHeight="1">
      <c r="A7" s="276" t="s">
        <v>364</v>
      </c>
      <c r="C7" s="834" t="s">
        <v>450</v>
      </c>
    </row>
    <row r="8" spans="1:13" ht="11.25" customHeight="1"/>
    <row r="9" spans="1:13" ht="14.25" customHeight="1">
      <c r="A9" s="1013" t="s">
        <v>355</v>
      </c>
      <c r="B9" s="1014" t="s">
        <v>356</v>
      </c>
      <c r="C9" s="1014"/>
      <c r="D9" s="1014"/>
      <c r="E9" s="1014"/>
      <c r="F9" s="1014"/>
      <c r="G9" s="1014" t="s">
        <v>357</v>
      </c>
      <c r="H9" s="1014"/>
      <c r="I9" s="1014"/>
      <c r="J9" s="1014"/>
      <c r="K9" s="1014"/>
    </row>
    <row r="10" spans="1:13" ht="26.25" customHeight="1">
      <c r="A10" s="1013"/>
      <c r="B10" s="505" t="s">
        <v>358</v>
      </c>
      <c r="C10" s="505" t="s">
        <v>199</v>
      </c>
      <c r="D10" s="505" t="s">
        <v>349</v>
      </c>
      <c r="E10" s="505" t="s">
        <v>350</v>
      </c>
      <c r="F10" s="506" t="s">
        <v>361</v>
      </c>
      <c r="G10" s="505" t="s">
        <v>358</v>
      </c>
      <c r="H10" s="505" t="s">
        <v>199</v>
      </c>
      <c r="I10" s="505" t="s">
        <v>349</v>
      </c>
      <c r="J10" s="505" t="s">
        <v>350</v>
      </c>
      <c r="K10" s="506" t="s">
        <v>361</v>
      </c>
      <c r="L10" s="36"/>
      <c r="M10" s="46"/>
    </row>
    <row r="11" spans="1:13" ht="11.25" customHeight="1">
      <c r="A11" s="1013"/>
      <c r="B11" s="505" t="s">
        <v>359</v>
      </c>
      <c r="C11" s="505" t="s">
        <v>360</v>
      </c>
      <c r="D11" s="505" t="s">
        <v>360</v>
      </c>
      <c r="E11" s="505" t="s">
        <v>360</v>
      </c>
      <c r="F11" s="505" t="s">
        <v>360</v>
      </c>
      <c r="G11" s="505" t="s">
        <v>359</v>
      </c>
      <c r="H11" s="505" t="s">
        <v>360</v>
      </c>
      <c r="I11" s="505" t="s">
        <v>360</v>
      </c>
      <c r="J11" s="505" t="s">
        <v>360</v>
      </c>
      <c r="K11" s="505" t="s">
        <v>360</v>
      </c>
      <c r="L11" s="36"/>
      <c r="M11" s="46"/>
    </row>
    <row r="12" spans="1:13" ht="11.25" customHeight="1">
      <c r="A12" s="878" t="s">
        <v>635</v>
      </c>
      <c r="B12" s="881" t="s">
        <v>486</v>
      </c>
      <c r="C12" s="879">
        <v>6096.5491400000001</v>
      </c>
      <c r="D12" s="879">
        <v>39.264000000000003</v>
      </c>
      <c r="E12" s="879">
        <v>0</v>
      </c>
      <c r="F12" s="879">
        <v>6135.8131400000002</v>
      </c>
      <c r="G12" s="881" t="s">
        <v>483</v>
      </c>
      <c r="H12" s="879">
        <v>6173.9628300000004</v>
      </c>
      <c r="I12" s="879">
        <v>37.896000000000001</v>
      </c>
      <c r="J12" s="879">
        <v>0</v>
      </c>
      <c r="K12" s="879">
        <v>6211.8588300000001</v>
      </c>
      <c r="L12" s="205"/>
      <c r="M12" s="46"/>
    </row>
    <row r="13" spans="1:13" ht="11.25" customHeight="1">
      <c r="A13" s="878" t="s">
        <v>636</v>
      </c>
      <c r="B13" s="881" t="s">
        <v>548</v>
      </c>
      <c r="C13" s="879">
        <v>6016.5962499999996</v>
      </c>
      <c r="D13" s="879">
        <v>36.232320000000001</v>
      </c>
      <c r="E13" s="879">
        <v>0</v>
      </c>
      <c r="F13" s="879">
        <v>6052.8285699999997</v>
      </c>
      <c r="G13" s="881" t="s">
        <v>483</v>
      </c>
      <c r="H13" s="879">
        <v>6119.3180599999996</v>
      </c>
      <c r="I13" s="879">
        <v>38.830359999999999</v>
      </c>
      <c r="J13" s="879">
        <v>0</v>
      </c>
      <c r="K13" s="879">
        <v>6158.1484200000004</v>
      </c>
      <c r="L13" s="5"/>
    </row>
    <row r="14" spans="1:13" ht="11.25" customHeight="1">
      <c r="A14" s="878" t="s">
        <v>637</v>
      </c>
      <c r="B14" s="881" t="s">
        <v>638</v>
      </c>
      <c r="C14" s="879">
        <v>6004.8975600000003</v>
      </c>
      <c r="D14" s="879">
        <v>33.844000000000001</v>
      </c>
      <c r="E14" s="879">
        <v>0</v>
      </c>
      <c r="F14" s="879">
        <v>6038.7415600000004</v>
      </c>
      <c r="G14" s="881" t="s">
        <v>483</v>
      </c>
      <c r="H14" s="879">
        <v>6170.5461800000003</v>
      </c>
      <c r="I14" s="879">
        <v>39.887999999999998</v>
      </c>
      <c r="J14" s="879">
        <v>0</v>
      </c>
      <c r="K14" s="879">
        <v>6210.4341800000002</v>
      </c>
      <c r="L14" s="15"/>
    </row>
    <row r="15" spans="1:13" ht="11.25" customHeight="1">
      <c r="A15" s="878" t="s">
        <v>639</v>
      </c>
      <c r="B15" s="881" t="s">
        <v>547</v>
      </c>
      <c r="C15" s="879">
        <v>5835.6705499999998</v>
      </c>
      <c r="D15" s="879">
        <v>33.1</v>
      </c>
      <c r="E15" s="879">
        <v>0</v>
      </c>
      <c r="F15" s="879">
        <v>5868.7705500000002</v>
      </c>
      <c r="G15" s="881" t="s">
        <v>640</v>
      </c>
      <c r="H15" s="879">
        <v>5991.5256399999998</v>
      </c>
      <c r="I15" s="879">
        <v>37.216000000000001</v>
      </c>
      <c r="J15" s="879">
        <v>0</v>
      </c>
      <c r="K15" s="879">
        <v>6028.7416400000002</v>
      </c>
      <c r="L15" s="12"/>
    </row>
    <row r="16" spans="1:13" ht="11.25" customHeight="1">
      <c r="A16" s="878" t="s">
        <v>641</v>
      </c>
      <c r="B16" s="881" t="s">
        <v>486</v>
      </c>
      <c r="C16" s="879">
        <v>5327.3737899999996</v>
      </c>
      <c r="D16" s="879">
        <v>31.408000000000001</v>
      </c>
      <c r="E16" s="879">
        <v>0</v>
      </c>
      <c r="F16" s="879">
        <v>5358.78179</v>
      </c>
      <c r="G16" s="881" t="s">
        <v>450</v>
      </c>
      <c r="H16" s="879">
        <v>5935.3065100000003</v>
      </c>
      <c r="I16" s="879">
        <v>40.92</v>
      </c>
      <c r="J16" s="879">
        <v>0</v>
      </c>
      <c r="K16" s="879">
        <v>5976.2265100000004</v>
      </c>
      <c r="L16" s="22"/>
    </row>
    <row r="17" spans="1:12" ht="11.25" customHeight="1">
      <c r="A17" s="878" t="s">
        <v>642</v>
      </c>
      <c r="B17" s="881" t="s">
        <v>547</v>
      </c>
      <c r="C17" s="879">
        <v>6046.1472400000002</v>
      </c>
      <c r="D17" s="879">
        <v>32.397959999999998</v>
      </c>
      <c r="E17" s="879">
        <v>0</v>
      </c>
      <c r="F17" s="879">
        <v>6078.5451999999996</v>
      </c>
      <c r="G17" s="881" t="s">
        <v>450</v>
      </c>
      <c r="H17" s="879">
        <v>6130.8869599999998</v>
      </c>
      <c r="I17" s="879">
        <v>43.041679999999999</v>
      </c>
      <c r="J17" s="879">
        <v>0</v>
      </c>
      <c r="K17" s="879">
        <v>6173.9286400000001</v>
      </c>
      <c r="L17" s="22"/>
    </row>
    <row r="18" spans="1:12" ht="11.25" customHeight="1">
      <c r="A18" s="878" t="s">
        <v>643</v>
      </c>
      <c r="B18" s="881" t="s">
        <v>552</v>
      </c>
      <c r="C18" s="879">
        <v>5991.6347699999997</v>
      </c>
      <c r="D18" s="879">
        <v>32.608359999999998</v>
      </c>
      <c r="E18" s="879">
        <v>0</v>
      </c>
      <c r="F18" s="879">
        <v>6024.2431299999998</v>
      </c>
      <c r="G18" s="881" t="s">
        <v>450</v>
      </c>
      <c r="H18" s="879">
        <v>6131.0867699999999</v>
      </c>
      <c r="I18" s="879">
        <v>43.529319999999998</v>
      </c>
      <c r="J18" s="879">
        <v>0</v>
      </c>
      <c r="K18" s="879">
        <v>6174.6160900000004</v>
      </c>
      <c r="L18" s="22"/>
    </row>
    <row r="19" spans="1:12" ht="11.25" customHeight="1">
      <c r="A19" s="878" t="s">
        <v>644</v>
      </c>
      <c r="B19" s="881" t="s">
        <v>547</v>
      </c>
      <c r="C19" s="879">
        <v>6040.2563799999998</v>
      </c>
      <c r="D19" s="879">
        <v>34.550840000000001</v>
      </c>
      <c r="E19" s="879">
        <v>0</v>
      </c>
      <c r="F19" s="879">
        <v>6074.8072199999997</v>
      </c>
      <c r="G19" s="881" t="s">
        <v>484</v>
      </c>
      <c r="H19" s="879">
        <v>6153.30015</v>
      </c>
      <c r="I19" s="879">
        <v>44.395919999999997</v>
      </c>
      <c r="J19" s="879">
        <v>0</v>
      </c>
      <c r="K19" s="879">
        <v>6197.69607</v>
      </c>
      <c r="L19" s="22"/>
    </row>
    <row r="20" spans="1:12" ht="11.25" customHeight="1">
      <c r="A20" s="878" t="s">
        <v>645</v>
      </c>
      <c r="B20" s="881" t="s">
        <v>638</v>
      </c>
      <c r="C20" s="879">
        <v>6024.0561699999998</v>
      </c>
      <c r="D20" s="879">
        <v>0</v>
      </c>
      <c r="E20" s="879">
        <v>0</v>
      </c>
      <c r="F20" s="879">
        <v>6024.0561699999998</v>
      </c>
      <c r="G20" s="881" t="s">
        <v>483</v>
      </c>
      <c r="H20" s="879">
        <v>6160.8544099999999</v>
      </c>
      <c r="I20" s="879">
        <v>0</v>
      </c>
      <c r="J20" s="879">
        <v>0</v>
      </c>
      <c r="K20" s="879">
        <v>6160.8544099999999</v>
      </c>
      <c r="L20" s="24"/>
    </row>
    <row r="21" spans="1:12" ht="11.25" customHeight="1">
      <c r="A21" s="878" t="s">
        <v>646</v>
      </c>
      <c r="B21" s="881" t="s">
        <v>547</v>
      </c>
      <c r="C21" s="879">
        <v>5939.2165000000005</v>
      </c>
      <c r="D21" s="879">
        <v>0</v>
      </c>
      <c r="E21" s="879">
        <v>0</v>
      </c>
      <c r="F21" s="879">
        <v>5939.2165000000005</v>
      </c>
      <c r="G21" s="881" t="s">
        <v>483</v>
      </c>
      <c r="H21" s="879">
        <v>6146.7058800000004</v>
      </c>
      <c r="I21" s="879">
        <v>0</v>
      </c>
      <c r="J21" s="879">
        <v>0</v>
      </c>
      <c r="K21" s="879">
        <v>6146.7058800000004</v>
      </c>
      <c r="L21" s="22"/>
    </row>
    <row r="22" spans="1:12" ht="11.25" customHeight="1">
      <c r="A22" s="878" t="s">
        <v>647</v>
      </c>
      <c r="B22" s="881" t="s">
        <v>547</v>
      </c>
      <c r="C22" s="879">
        <v>5869.6894700000003</v>
      </c>
      <c r="D22" s="879">
        <v>0</v>
      </c>
      <c r="E22" s="879">
        <v>0</v>
      </c>
      <c r="F22" s="879">
        <v>5869.6894700000003</v>
      </c>
      <c r="G22" s="881" t="s">
        <v>484</v>
      </c>
      <c r="H22" s="879">
        <v>6051.9577399999998</v>
      </c>
      <c r="I22" s="879">
        <v>0</v>
      </c>
      <c r="J22" s="879">
        <v>0</v>
      </c>
      <c r="K22" s="879">
        <v>6051.9577399999998</v>
      </c>
      <c r="L22" s="22"/>
    </row>
    <row r="23" spans="1:12" ht="11.25" customHeight="1">
      <c r="A23" s="878" t="s">
        <v>648</v>
      </c>
      <c r="B23" s="881" t="s">
        <v>551</v>
      </c>
      <c r="C23" s="879">
        <v>5271.1609900000003</v>
      </c>
      <c r="D23" s="879">
        <v>0</v>
      </c>
      <c r="E23" s="879">
        <v>0</v>
      </c>
      <c r="F23" s="879">
        <v>5271.1609900000003</v>
      </c>
      <c r="G23" s="881" t="s">
        <v>649</v>
      </c>
      <c r="H23" s="879">
        <v>5852.5256600000002</v>
      </c>
      <c r="I23" s="879">
        <v>0</v>
      </c>
      <c r="J23" s="879">
        <v>0</v>
      </c>
      <c r="K23" s="879">
        <v>5852.5256600000002</v>
      </c>
      <c r="L23" s="22"/>
    </row>
    <row r="24" spans="1:12" ht="11.25" customHeight="1">
      <c r="A24" s="878" t="s">
        <v>650</v>
      </c>
      <c r="B24" s="881" t="s">
        <v>651</v>
      </c>
      <c r="C24" s="879">
        <v>5969.2933899999998</v>
      </c>
      <c r="D24" s="879">
        <v>0</v>
      </c>
      <c r="E24" s="879">
        <v>0</v>
      </c>
      <c r="F24" s="879">
        <v>5969.2933899999998</v>
      </c>
      <c r="G24" s="881" t="s">
        <v>483</v>
      </c>
      <c r="H24" s="879">
        <v>6218.7283600000001</v>
      </c>
      <c r="I24" s="879">
        <v>0</v>
      </c>
      <c r="J24" s="879">
        <v>0</v>
      </c>
      <c r="K24" s="879">
        <v>6218.7283600000001</v>
      </c>
      <c r="L24" s="22"/>
    </row>
    <row r="25" spans="1:12" ht="11.25" customHeight="1">
      <c r="A25" s="878" t="s">
        <v>652</v>
      </c>
      <c r="B25" s="881" t="s">
        <v>651</v>
      </c>
      <c r="C25" s="879">
        <v>6069.0806700000003</v>
      </c>
      <c r="D25" s="879">
        <v>39.55836</v>
      </c>
      <c r="E25" s="879">
        <v>0</v>
      </c>
      <c r="F25" s="879">
        <v>6108.6390300000003</v>
      </c>
      <c r="G25" s="881" t="s">
        <v>484</v>
      </c>
      <c r="H25" s="879">
        <v>6105.4161700000004</v>
      </c>
      <c r="I25" s="879">
        <v>39.60528</v>
      </c>
      <c r="J25" s="879">
        <v>0</v>
      </c>
      <c r="K25" s="879">
        <v>6145.0214500000002</v>
      </c>
      <c r="L25" s="22"/>
    </row>
    <row r="26" spans="1:12" ht="11.25" customHeight="1">
      <c r="A26" s="878" t="s">
        <v>653</v>
      </c>
      <c r="B26" s="881" t="s">
        <v>548</v>
      </c>
      <c r="C26" s="879">
        <v>6174.0736900000002</v>
      </c>
      <c r="D26" s="879">
        <v>39.590600000000002</v>
      </c>
      <c r="E26" s="879">
        <v>0</v>
      </c>
      <c r="F26" s="879">
        <v>6213.6642899999997</v>
      </c>
      <c r="G26" s="881" t="s">
        <v>484</v>
      </c>
      <c r="H26" s="879">
        <v>6182.8253400000003</v>
      </c>
      <c r="I26" s="879">
        <v>39.719720000000002</v>
      </c>
      <c r="J26" s="879">
        <v>0</v>
      </c>
      <c r="K26" s="879">
        <v>6222.5450600000004</v>
      </c>
      <c r="L26" s="22"/>
    </row>
    <row r="27" spans="1:12" ht="11.25" customHeight="1">
      <c r="A27" s="878" t="s">
        <v>654</v>
      </c>
      <c r="B27" s="881" t="s">
        <v>547</v>
      </c>
      <c r="C27" s="879">
        <v>6149.1809899999998</v>
      </c>
      <c r="D27" s="879">
        <v>0</v>
      </c>
      <c r="E27" s="879">
        <v>0</v>
      </c>
      <c r="F27" s="879">
        <v>6149.1809899999998</v>
      </c>
      <c r="G27" s="881" t="s">
        <v>483</v>
      </c>
      <c r="H27" s="879">
        <v>6277.8233200000004</v>
      </c>
      <c r="I27" s="879">
        <v>0</v>
      </c>
      <c r="J27" s="879">
        <v>0</v>
      </c>
      <c r="K27" s="879">
        <v>6277.8233200000004</v>
      </c>
      <c r="L27" s="22"/>
    </row>
    <row r="28" spans="1:12" ht="11.25" customHeight="1">
      <c r="A28" s="878" t="s">
        <v>655</v>
      </c>
      <c r="B28" s="881" t="s">
        <v>485</v>
      </c>
      <c r="C28" s="879">
        <v>6176.5901899999999</v>
      </c>
      <c r="D28" s="879">
        <v>0</v>
      </c>
      <c r="E28" s="879">
        <v>0</v>
      </c>
      <c r="F28" s="879">
        <v>6176.5901899999999</v>
      </c>
      <c r="G28" s="881" t="s">
        <v>451</v>
      </c>
      <c r="H28" s="879">
        <v>6275.4795800000002</v>
      </c>
      <c r="I28" s="879">
        <v>0</v>
      </c>
      <c r="J28" s="879">
        <v>0</v>
      </c>
      <c r="K28" s="879">
        <v>6275.4795800000002</v>
      </c>
      <c r="L28" s="30"/>
    </row>
    <row r="29" spans="1:12" ht="11.25" customHeight="1">
      <c r="A29" s="878" t="s">
        <v>656</v>
      </c>
      <c r="B29" s="881" t="s">
        <v>548</v>
      </c>
      <c r="C29" s="879">
        <v>5989.2626799999998</v>
      </c>
      <c r="D29" s="879">
        <v>0</v>
      </c>
      <c r="E29" s="879">
        <v>0</v>
      </c>
      <c r="F29" s="879">
        <v>5989.2626799999998</v>
      </c>
      <c r="G29" s="881" t="s">
        <v>657</v>
      </c>
      <c r="H29" s="879">
        <v>6102.9055500000004</v>
      </c>
      <c r="I29" s="879">
        <v>0</v>
      </c>
      <c r="J29" s="879">
        <v>0</v>
      </c>
      <c r="K29" s="879">
        <v>6102.9055500000004</v>
      </c>
      <c r="L29" s="22"/>
    </row>
    <row r="30" spans="1:12" ht="11.25" customHeight="1">
      <c r="A30" s="878" t="s">
        <v>658</v>
      </c>
      <c r="B30" s="881" t="s">
        <v>551</v>
      </c>
      <c r="C30" s="879">
        <v>5409.6936699999997</v>
      </c>
      <c r="D30" s="879">
        <v>0</v>
      </c>
      <c r="E30" s="879">
        <v>0</v>
      </c>
      <c r="F30" s="879">
        <v>5409.6936699999997</v>
      </c>
      <c r="G30" s="881" t="s">
        <v>649</v>
      </c>
      <c r="H30" s="879">
        <v>5924.3381600000002</v>
      </c>
      <c r="I30" s="879">
        <v>0</v>
      </c>
      <c r="J30" s="879">
        <v>0</v>
      </c>
      <c r="K30" s="879">
        <v>5924.3381600000002</v>
      </c>
      <c r="L30" s="22"/>
    </row>
    <row r="31" spans="1:12" ht="11.25" customHeight="1">
      <c r="A31" s="878" t="s">
        <v>659</v>
      </c>
      <c r="B31" s="881" t="s">
        <v>651</v>
      </c>
      <c r="C31" s="879">
        <v>6135.2636700000003</v>
      </c>
      <c r="D31" s="879">
        <v>33.533479999999997</v>
      </c>
      <c r="E31" s="879">
        <v>0</v>
      </c>
      <c r="F31" s="879">
        <v>6168.7971500000003</v>
      </c>
      <c r="G31" s="881" t="s">
        <v>484</v>
      </c>
      <c r="H31" s="879">
        <v>6189.2337699999998</v>
      </c>
      <c r="I31" s="879">
        <v>43.199559999999998</v>
      </c>
      <c r="J31" s="879">
        <v>0</v>
      </c>
      <c r="K31" s="879">
        <v>6232.4333299999998</v>
      </c>
      <c r="L31" s="15"/>
    </row>
    <row r="32" spans="1:12" ht="11.25" customHeight="1">
      <c r="A32" s="878" t="s">
        <v>660</v>
      </c>
      <c r="B32" s="881" t="s">
        <v>547</v>
      </c>
      <c r="C32" s="879">
        <v>6188.3179</v>
      </c>
      <c r="D32" s="879">
        <v>34.978879999999997</v>
      </c>
      <c r="E32" s="879">
        <v>0</v>
      </c>
      <c r="F32" s="879">
        <v>6223.2967799999997</v>
      </c>
      <c r="G32" s="881" t="s">
        <v>483</v>
      </c>
      <c r="H32" s="879">
        <v>6285.6789099999996</v>
      </c>
      <c r="I32" s="879">
        <v>45.33972</v>
      </c>
      <c r="J32" s="879">
        <v>0</v>
      </c>
      <c r="K32" s="879">
        <v>6331.0186299999996</v>
      </c>
      <c r="L32" s="16"/>
    </row>
    <row r="33" spans="1:12" ht="11.25" customHeight="1">
      <c r="A33" s="878" t="s">
        <v>661</v>
      </c>
      <c r="B33" s="882" t="s">
        <v>552</v>
      </c>
      <c r="C33" s="880">
        <v>6285.2685600000004</v>
      </c>
      <c r="D33" s="880">
        <v>35.278959999999998</v>
      </c>
      <c r="E33" s="880">
        <v>0</v>
      </c>
      <c r="F33" s="880">
        <v>6320.5475200000001</v>
      </c>
      <c r="G33" s="881" t="s">
        <v>484</v>
      </c>
      <c r="H33" s="879">
        <v>6319.9187899999997</v>
      </c>
      <c r="I33" s="879">
        <v>45.632840000000002</v>
      </c>
      <c r="J33" s="879">
        <v>0</v>
      </c>
      <c r="K33" s="879">
        <v>6365.5516299999999</v>
      </c>
      <c r="L33" s="15"/>
    </row>
    <row r="34" spans="1:12" s="730" customFormat="1" ht="11.25" customHeight="1">
      <c r="A34" s="878" t="s">
        <v>662</v>
      </c>
      <c r="B34" s="881" t="s">
        <v>549</v>
      </c>
      <c r="C34" s="879">
        <v>6244.7511400000003</v>
      </c>
      <c r="D34" s="879">
        <v>35.790999999999997</v>
      </c>
      <c r="E34" s="879">
        <v>0</v>
      </c>
      <c r="F34" s="879">
        <v>6280.5421399999996</v>
      </c>
      <c r="G34" s="882" t="s">
        <v>450</v>
      </c>
      <c r="H34" s="880">
        <v>6337.2608099999998</v>
      </c>
      <c r="I34" s="880">
        <v>45.825920000000004</v>
      </c>
      <c r="J34" s="880">
        <v>0</v>
      </c>
      <c r="K34" s="880">
        <v>6383.08673</v>
      </c>
      <c r="L34" s="15"/>
    </row>
    <row r="35" spans="1:12" ht="11.25" customHeight="1">
      <c r="A35" s="878" t="s">
        <v>663</v>
      </c>
      <c r="B35" s="881" t="s">
        <v>638</v>
      </c>
      <c r="C35" s="879">
        <v>6203.2784700000002</v>
      </c>
      <c r="D35" s="879">
        <v>33.861400000000003</v>
      </c>
      <c r="E35" s="879">
        <v>0</v>
      </c>
      <c r="F35" s="879">
        <v>6237.13987</v>
      </c>
      <c r="G35" s="881" t="s">
        <v>484</v>
      </c>
      <c r="H35" s="879">
        <v>6228.2272999999996</v>
      </c>
      <c r="I35" s="879">
        <v>43.42004</v>
      </c>
      <c r="J35" s="879">
        <v>0</v>
      </c>
      <c r="K35" s="879">
        <v>6271.6473400000004</v>
      </c>
      <c r="L35" s="15"/>
    </row>
    <row r="36" spans="1:12" ht="11.25" customHeight="1">
      <c r="A36" s="878" t="s">
        <v>664</v>
      </c>
      <c r="B36" s="881" t="s">
        <v>651</v>
      </c>
      <c r="C36" s="879">
        <v>6126.0660200000002</v>
      </c>
      <c r="D36" s="879">
        <v>35.07076</v>
      </c>
      <c r="E36" s="879">
        <v>0</v>
      </c>
      <c r="F36" s="879">
        <v>6161.1367799999998</v>
      </c>
      <c r="G36" s="881" t="s">
        <v>484</v>
      </c>
      <c r="H36" s="879">
        <v>6133.0170699999999</v>
      </c>
      <c r="I36" s="879">
        <v>40.953400000000002</v>
      </c>
      <c r="J36" s="879">
        <v>0</v>
      </c>
      <c r="K36" s="879">
        <v>6173.9704700000002</v>
      </c>
      <c r="L36" s="22"/>
    </row>
    <row r="37" spans="1:12" ht="11.25" customHeight="1">
      <c r="A37" s="878" t="s">
        <v>665</v>
      </c>
      <c r="B37" s="881" t="s">
        <v>666</v>
      </c>
      <c r="C37" s="879">
        <v>5410.9132600000003</v>
      </c>
      <c r="D37" s="879">
        <v>0</v>
      </c>
      <c r="E37" s="879">
        <v>0</v>
      </c>
      <c r="F37" s="879">
        <v>5410.9132600000003</v>
      </c>
      <c r="G37" s="881" t="s">
        <v>649</v>
      </c>
      <c r="H37" s="879">
        <v>5946.5115599999999</v>
      </c>
      <c r="I37" s="879">
        <v>0</v>
      </c>
      <c r="J37" s="879">
        <v>0</v>
      </c>
      <c r="K37" s="879">
        <v>5946.5115599999999</v>
      </c>
      <c r="L37" s="22"/>
    </row>
    <row r="38" spans="1:12" ht="11.25" customHeight="1">
      <c r="A38" s="878" t="s">
        <v>667</v>
      </c>
      <c r="B38" s="881" t="s">
        <v>547</v>
      </c>
      <c r="C38" s="879">
        <v>6000.7145600000003</v>
      </c>
      <c r="D38" s="879">
        <v>36.293759999999999</v>
      </c>
      <c r="E38" s="879">
        <v>0</v>
      </c>
      <c r="F38" s="879">
        <v>6037.0083199999999</v>
      </c>
      <c r="G38" s="881" t="s">
        <v>550</v>
      </c>
      <c r="H38" s="879">
        <v>6019.8458199999995</v>
      </c>
      <c r="I38" s="879">
        <v>36.702080000000002</v>
      </c>
      <c r="J38" s="879">
        <v>0</v>
      </c>
      <c r="K38" s="879">
        <v>6056.5478999999996</v>
      </c>
      <c r="L38" s="22"/>
    </row>
    <row r="39" spans="1:12" ht="11.25" customHeight="1">
      <c r="A39" s="878" t="s">
        <v>668</v>
      </c>
      <c r="B39" s="881" t="s">
        <v>547</v>
      </c>
      <c r="C39" s="879">
        <v>5683.0002699999995</v>
      </c>
      <c r="D39" s="879">
        <v>0</v>
      </c>
      <c r="E39" s="879">
        <v>0</v>
      </c>
      <c r="F39" s="879">
        <v>5683.0002699999995</v>
      </c>
      <c r="G39" s="881" t="s">
        <v>649</v>
      </c>
      <c r="H39" s="879">
        <v>6073.4999299999999</v>
      </c>
      <c r="I39" s="879">
        <v>0</v>
      </c>
      <c r="J39" s="879">
        <v>0</v>
      </c>
      <c r="K39" s="879">
        <v>6073.4999299999999</v>
      </c>
      <c r="L39" s="22"/>
    </row>
    <row r="40" spans="1:12" ht="11.25" customHeight="1">
      <c r="A40" s="878" t="s">
        <v>669</v>
      </c>
      <c r="B40" s="881" t="s">
        <v>651</v>
      </c>
      <c r="C40" s="879">
        <v>6121.1612100000002</v>
      </c>
      <c r="D40" s="879">
        <v>0</v>
      </c>
      <c r="E40" s="879">
        <v>0</v>
      </c>
      <c r="F40" s="879">
        <v>6121.1612100000002</v>
      </c>
      <c r="G40" s="881" t="s">
        <v>484</v>
      </c>
      <c r="H40" s="879">
        <v>6178.2961999999998</v>
      </c>
      <c r="I40" s="879">
        <v>0</v>
      </c>
      <c r="J40" s="879">
        <v>0</v>
      </c>
      <c r="K40" s="879">
        <v>6178.2961999999998</v>
      </c>
      <c r="L40" s="22"/>
    </row>
    <row r="41" spans="1:12" ht="11.25" customHeight="1">
      <c r="A41" s="878" t="s">
        <v>670</v>
      </c>
      <c r="B41" s="881" t="s">
        <v>547</v>
      </c>
      <c r="C41" s="879">
        <v>6197.1569499999996</v>
      </c>
      <c r="D41" s="879">
        <v>0</v>
      </c>
      <c r="E41" s="879">
        <v>0</v>
      </c>
      <c r="F41" s="879">
        <v>6197.1569499999996</v>
      </c>
      <c r="G41" s="881" t="s">
        <v>483</v>
      </c>
      <c r="H41" s="879">
        <v>6274.1457</v>
      </c>
      <c r="I41" s="879">
        <v>0</v>
      </c>
      <c r="J41" s="879">
        <v>0</v>
      </c>
      <c r="K41" s="879">
        <v>6274.1457</v>
      </c>
      <c r="L41" s="22"/>
    </row>
    <row r="42" spans="1:12" s="730" customFormat="1" ht="11.25" customHeight="1">
      <c r="A42" s="878" t="s">
        <v>671</v>
      </c>
      <c r="B42" s="881" t="s">
        <v>638</v>
      </c>
      <c r="C42" s="879">
        <v>6217.5549700000001</v>
      </c>
      <c r="D42" s="879">
        <v>0</v>
      </c>
      <c r="E42" s="879">
        <v>0</v>
      </c>
      <c r="F42" s="879">
        <v>6217.5549700000001</v>
      </c>
      <c r="G42" s="881" t="s">
        <v>450</v>
      </c>
      <c r="H42" s="879">
        <v>6196.3515900000002</v>
      </c>
      <c r="I42" s="879">
        <v>0</v>
      </c>
      <c r="J42" s="879">
        <v>0</v>
      </c>
      <c r="K42" s="879">
        <v>6196.3515900000002</v>
      </c>
      <c r="L42" s="22"/>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8"/>
    </row>
    <row r="47" spans="1:12" ht="11.25" customHeight="1">
      <c r="A47" s="196"/>
      <c r="B47" s="196"/>
      <c r="C47" s="196"/>
      <c r="D47" s="196"/>
      <c r="E47" s="196"/>
      <c r="F47" s="196"/>
      <c r="G47" s="196"/>
      <c r="H47" s="196"/>
      <c r="I47" s="196"/>
      <c r="J47" s="196"/>
      <c r="K47" s="198"/>
    </row>
    <row r="48" spans="1:12" ht="13.2">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96"/>
      <c r="C51" s="196"/>
      <c r="D51" s="196"/>
      <c r="E51" s="196"/>
      <c r="F51" s="196"/>
      <c r="G51" s="196"/>
      <c r="H51" s="196"/>
      <c r="I51" s="196"/>
      <c r="J51" s="196"/>
      <c r="K51" s="198"/>
    </row>
    <row r="52" spans="1:11" ht="13.2">
      <c r="A52" s="196"/>
      <c r="B52" s="196"/>
      <c r="C52" s="196"/>
      <c r="D52" s="196"/>
      <c r="E52" s="196"/>
      <c r="F52" s="196"/>
      <c r="G52" s="196"/>
      <c r="H52" s="196"/>
      <c r="I52" s="196"/>
      <c r="J52" s="196"/>
      <c r="K52" s="198"/>
    </row>
    <row r="53" spans="1:11" ht="13.2">
      <c r="A53" s="196"/>
      <c r="B53" s="111"/>
      <c r="C53" s="111"/>
      <c r="D53" s="111"/>
      <c r="E53" s="111"/>
      <c r="F53" s="111"/>
      <c r="G53" s="111"/>
      <c r="H53" s="111"/>
      <c r="I53" s="111"/>
      <c r="J53" s="111"/>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11"/>
      <c r="C56" s="111"/>
      <c r="D56" s="111"/>
      <c r="E56" s="111"/>
      <c r="F56" s="111"/>
      <c r="G56" s="111"/>
      <c r="H56" s="111"/>
      <c r="I56" s="111"/>
      <c r="J56" s="111"/>
      <c r="K56" s="198"/>
    </row>
    <row r="57" spans="1:11" ht="13.2">
      <c r="A57" s="196"/>
      <c r="B57" s="111"/>
      <c r="C57" s="111"/>
      <c r="D57" s="111"/>
      <c r="E57" s="111"/>
      <c r="F57" s="111"/>
      <c r="G57" s="111"/>
      <c r="H57" s="111"/>
      <c r="I57" s="111"/>
      <c r="J57" s="111"/>
      <c r="K57" s="198"/>
    </row>
    <row r="58" spans="1:11" ht="13.2">
      <c r="A58" s="196"/>
      <c r="B58" s="197"/>
      <c r="C58" s="197"/>
      <c r="D58" s="197"/>
      <c r="E58" s="197"/>
      <c r="F58" s="197"/>
      <c r="G58" s="197"/>
      <c r="H58" s="197"/>
      <c r="I58" s="197"/>
      <c r="J58" s="197"/>
      <c r="K58" s="198"/>
    </row>
    <row r="59" spans="1:11" ht="13.2">
      <c r="A59" s="196"/>
      <c r="B59" s="197"/>
      <c r="C59" s="197"/>
      <c r="D59" s="197"/>
      <c r="E59" s="197"/>
      <c r="F59" s="197"/>
      <c r="G59" s="197"/>
      <c r="H59" s="197"/>
      <c r="I59" s="197"/>
      <c r="J59" s="197"/>
      <c r="K59" s="198"/>
    </row>
    <row r="60" spans="1:11" ht="13.2">
      <c r="A60" s="196"/>
      <c r="B60" s="200"/>
      <c r="C60" s="198"/>
      <c r="D60" s="198"/>
      <c r="E60" s="198"/>
      <c r="F60" s="198"/>
      <c r="G60" s="197"/>
      <c r="H60" s="197"/>
      <c r="I60" s="197"/>
      <c r="J60" s="197"/>
      <c r="K60" s="198"/>
    </row>
    <row r="61" spans="1:11" ht="13.2">
      <c r="A61" s="201"/>
      <c r="B61" s="202"/>
      <c r="C61" s="202"/>
      <c r="D61" s="202"/>
      <c r="E61" s="202"/>
      <c r="F61" s="202"/>
      <c r="G61" s="202"/>
      <c r="H61" s="197"/>
      <c r="I61" s="197"/>
      <c r="J61" s="197"/>
      <c r="K61" s="198"/>
    </row>
    <row r="62" spans="1:11" ht="13.2">
      <c r="A62" s="201"/>
      <c r="B62" s="202"/>
      <c r="C62" s="202"/>
      <c r="D62" s="202"/>
      <c r="E62" s="202"/>
      <c r="F62" s="202"/>
      <c r="G62" s="202"/>
      <c r="H62" s="197"/>
      <c r="I62" s="197"/>
      <c r="J62" s="197"/>
      <c r="K62" s="197"/>
    </row>
    <row r="63" spans="1:11" ht="13.2">
      <c r="A63" s="201"/>
      <c r="B63" s="202"/>
      <c r="C63" s="202"/>
      <c r="D63" s="202"/>
      <c r="E63" s="202"/>
      <c r="F63" s="202"/>
      <c r="G63" s="202"/>
      <c r="H63" s="197"/>
      <c r="I63" s="197"/>
      <c r="J63" s="197"/>
      <c r="K63"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3"/>
  <sheetViews>
    <sheetView showGridLines="0" view="pageBreakPreview" topLeftCell="A4" zoomScale="110" zoomScaleNormal="100" zoomScaleSheetLayoutView="110" workbookViewId="0">
      <selection activeCell="N53" sqref="N53"/>
    </sheetView>
  </sheetViews>
  <sheetFormatPr baseColWidth="10" defaultColWidth="9.28515625" defaultRowHeight="9.6"/>
  <cols>
    <col min="1" max="1" width="16.140625" style="808" customWidth="1"/>
    <col min="2" max="2" width="19.7109375" style="808" customWidth="1"/>
    <col min="3" max="3" width="12.85546875" style="808" bestFit="1" customWidth="1"/>
    <col min="4" max="4" width="57.42578125" style="808" customWidth="1"/>
    <col min="5" max="5" width="12.42578125" style="808" customWidth="1"/>
    <col min="6" max="6" width="10.42578125" style="808" customWidth="1"/>
    <col min="7" max="8" width="9.28515625" style="808" customWidth="1"/>
    <col min="9" max="16384" width="9.28515625" style="808"/>
  </cols>
  <sheetData>
    <row r="1" spans="1:9" ht="11.25" customHeight="1">
      <c r="A1" s="806" t="s">
        <v>365</v>
      </c>
      <c r="B1" s="807"/>
      <c r="C1" s="807"/>
      <c r="D1" s="807"/>
      <c r="E1" s="807"/>
      <c r="F1" s="807"/>
    </row>
    <row r="2" spans="1:9" ht="30" customHeight="1">
      <c r="A2" s="809" t="s">
        <v>250</v>
      </c>
      <c r="B2" s="810" t="s">
        <v>366</v>
      </c>
      <c r="C2" s="809" t="s">
        <v>355</v>
      </c>
      <c r="D2" s="811" t="s">
        <v>367</v>
      </c>
      <c r="E2" s="812" t="s">
        <v>368</v>
      </c>
      <c r="F2" s="812" t="s">
        <v>369</v>
      </c>
      <c r="G2" s="813"/>
      <c r="H2" s="814"/>
      <c r="I2" s="815"/>
    </row>
    <row r="3" spans="1:9" ht="84.75" customHeight="1">
      <c r="A3" s="818" t="s">
        <v>582</v>
      </c>
      <c r="B3" s="818" t="s">
        <v>583</v>
      </c>
      <c r="C3" s="816">
        <v>44016.276388888888</v>
      </c>
      <c r="D3" s="817" t="s">
        <v>584</v>
      </c>
      <c r="E3" s="818">
        <v>7.24</v>
      </c>
      <c r="F3" s="818" t="s">
        <v>456</v>
      </c>
      <c r="H3" s="813"/>
      <c r="I3" s="815"/>
    </row>
    <row r="4" spans="1:9" ht="57.75" customHeight="1">
      <c r="A4" s="818" t="s">
        <v>585</v>
      </c>
      <c r="B4" s="818" t="s">
        <v>586</v>
      </c>
      <c r="C4" s="816">
        <v>44016.855555555558</v>
      </c>
      <c r="D4" s="817" t="s">
        <v>587</v>
      </c>
      <c r="E4" s="818">
        <v>1.7</v>
      </c>
      <c r="F4" s="818" t="s">
        <v>456</v>
      </c>
      <c r="G4" s="819"/>
      <c r="H4" s="819"/>
      <c r="I4" s="820"/>
    </row>
    <row r="5" spans="1:9" ht="51.75" customHeight="1">
      <c r="A5" s="818" t="s">
        <v>588</v>
      </c>
      <c r="B5" s="818" t="s">
        <v>589</v>
      </c>
      <c r="C5" s="816">
        <v>44017.82916666667</v>
      </c>
      <c r="D5" s="817" t="s">
        <v>590</v>
      </c>
      <c r="E5" s="818" t="s">
        <v>456</v>
      </c>
      <c r="F5" s="818">
        <v>42.2</v>
      </c>
      <c r="G5" s="819"/>
      <c r="H5" s="819"/>
      <c r="I5" s="821"/>
    </row>
    <row r="6" spans="1:9" ht="51.75" customHeight="1">
      <c r="A6" s="818" t="s">
        <v>591</v>
      </c>
      <c r="B6" s="818" t="s">
        <v>592</v>
      </c>
      <c r="C6" s="816">
        <v>44018.60833333333</v>
      </c>
      <c r="D6" s="817" t="s">
        <v>593</v>
      </c>
      <c r="E6" s="818">
        <v>1.72</v>
      </c>
      <c r="F6" s="818" t="s">
        <v>456</v>
      </c>
      <c r="G6" s="819"/>
      <c r="H6" s="819"/>
      <c r="I6" s="822"/>
    </row>
    <row r="7" spans="1:9" ht="75" customHeight="1">
      <c r="A7" s="818" t="s">
        <v>594</v>
      </c>
      <c r="B7" s="818" t="s">
        <v>595</v>
      </c>
      <c r="C7" s="816">
        <v>44018.92291666667</v>
      </c>
      <c r="D7" s="817" t="s">
        <v>596</v>
      </c>
      <c r="E7" s="818">
        <v>27.28</v>
      </c>
      <c r="F7" s="818" t="s">
        <v>456</v>
      </c>
      <c r="G7" s="819"/>
      <c r="H7" s="819"/>
      <c r="I7" s="823"/>
    </row>
    <row r="8" spans="1:9" ht="71.25" customHeight="1">
      <c r="A8" s="818" t="s">
        <v>597</v>
      </c>
      <c r="B8" s="818" t="s">
        <v>598</v>
      </c>
      <c r="C8" s="816">
        <v>44019.244444444441</v>
      </c>
      <c r="D8" s="817" t="s">
        <v>599</v>
      </c>
      <c r="E8" s="818">
        <v>4.4000000000000004</v>
      </c>
      <c r="F8" s="818" t="s">
        <v>456</v>
      </c>
      <c r="G8" s="819"/>
      <c r="H8" s="819"/>
      <c r="I8" s="822"/>
    </row>
    <row r="9" spans="1:9" ht="47.25" customHeight="1">
      <c r="A9" s="818" t="s">
        <v>582</v>
      </c>
      <c r="B9" s="818" t="s">
        <v>600</v>
      </c>
      <c r="C9" s="816">
        <v>44020.582638888889</v>
      </c>
      <c r="D9" s="817" t="s">
        <v>601</v>
      </c>
      <c r="E9" s="825">
        <v>13.68</v>
      </c>
      <c r="F9" s="825" t="s">
        <v>456</v>
      </c>
      <c r="G9" s="819"/>
      <c r="H9" s="819"/>
      <c r="I9" s="822"/>
    </row>
    <row r="10" spans="1:9" ht="74.25" customHeight="1">
      <c r="A10" s="818" t="s">
        <v>602</v>
      </c>
      <c r="B10" s="818" t="s">
        <v>603</v>
      </c>
      <c r="C10" s="816">
        <v>44022.347222222219</v>
      </c>
      <c r="D10" s="817" t="s">
        <v>604</v>
      </c>
      <c r="E10" s="825">
        <v>33.799999999999997</v>
      </c>
      <c r="F10" s="825" t="s">
        <v>456</v>
      </c>
    </row>
    <row r="11" spans="1:9" ht="72" customHeight="1">
      <c r="A11" s="818" t="s">
        <v>602</v>
      </c>
      <c r="B11" s="818" t="s">
        <v>605</v>
      </c>
      <c r="C11" s="816">
        <v>44025.965277777781</v>
      </c>
      <c r="D11" s="817" t="s">
        <v>606</v>
      </c>
      <c r="E11" s="818">
        <v>8.74</v>
      </c>
      <c r="F11" s="818" t="s">
        <v>456</v>
      </c>
    </row>
    <row r="12" spans="1:9" ht="59.25" customHeight="1">
      <c r="A12" s="818" t="s">
        <v>582</v>
      </c>
      <c r="B12" s="818" t="s">
        <v>607</v>
      </c>
      <c r="C12" s="816">
        <v>44026.008333333331</v>
      </c>
      <c r="D12" s="817" t="s">
        <v>608</v>
      </c>
      <c r="E12" s="818">
        <v>6.2</v>
      </c>
      <c r="F12" s="818">
        <v>4</v>
      </c>
    </row>
    <row r="13" spans="1:9" ht="59.25" customHeight="1">
      <c r="A13" s="818" t="s">
        <v>582</v>
      </c>
      <c r="B13" s="818" t="s">
        <v>583</v>
      </c>
      <c r="C13" s="816">
        <v>44026.189583333333</v>
      </c>
      <c r="D13" s="817" t="s">
        <v>609</v>
      </c>
      <c r="E13" s="818">
        <v>10</v>
      </c>
      <c r="F13" s="818" t="s">
        <v>456</v>
      </c>
    </row>
    <row r="14" spans="1:9" ht="70.5" customHeight="1">
      <c r="A14" s="818" t="s">
        <v>582</v>
      </c>
      <c r="B14" s="818" t="s">
        <v>607</v>
      </c>
      <c r="C14" s="816">
        <v>44026.207638888889</v>
      </c>
      <c r="D14" s="817" t="s">
        <v>610</v>
      </c>
      <c r="E14" s="818">
        <v>5.64</v>
      </c>
      <c r="F14" s="818" t="s">
        <v>456</v>
      </c>
    </row>
    <row r="15" spans="1:9" ht="76.5" customHeight="1">
      <c r="A15" s="818" t="s">
        <v>602</v>
      </c>
      <c r="B15" s="818" t="s">
        <v>605</v>
      </c>
      <c r="C15" s="816">
        <v>44026.240972222222</v>
      </c>
      <c r="D15" s="817" t="s">
        <v>611</v>
      </c>
      <c r="E15" s="818">
        <v>7.07</v>
      </c>
      <c r="F15" s="818" t="s">
        <v>456</v>
      </c>
    </row>
    <row r="16" spans="1:9">
      <c r="C16" s="826"/>
      <c r="E16" s="827"/>
      <c r="F16" s="827"/>
    </row>
    <row r="17" spans="3:6">
      <c r="C17" s="826"/>
      <c r="E17" s="827"/>
      <c r="F17" s="827"/>
    </row>
    <row r="18" spans="3:6">
      <c r="C18" s="826"/>
      <c r="E18" s="827"/>
      <c r="F18" s="827"/>
    </row>
    <row r="19" spans="3:6">
      <c r="C19" s="826"/>
      <c r="E19" s="827"/>
      <c r="F19" s="827"/>
    </row>
    <row r="20" spans="3:6">
      <c r="C20" s="826"/>
      <c r="E20" s="827"/>
      <c r="F20" s="827"/>
    </row>
    <row r="21" spans="3:6">
      <c r="C21" s="826"/>
      <c r="E21" s="827"/>
      <c r="F21" s="827"/>
    </row>
    <row r="22" spans="3:6">
      <c r="C22" s="826"/>
      <c r="E22" s="827"/>
      <c r="F22" s="827"/>
    </row>
    <row r="23" spans="3:6">
      <c r="C23" s="826"/>
      <c r="E23" s="827"/>
      <c r="F23" s="827"/>
    </row>
    <row r="24" spans="3:6">
      <c r="C24" s="826"/>
      <c r="E24" s="827"/>
      <c r="F24" s="827"/>
    </row>
    <row r="25" spans="3:6">
      <c r="C25" s="826"/>
      <c r="E25" s="827"/>
      <c r="F25" s="827"/>
    </row>
    <row r="26" spans="3:6">
      <c r="C26" s="826"/>
      <c r="E26" s="827"/>
      <c r="F26" s="827"/>
    </row>
    <row r="27" spans="3:6">
      <c r="C27" s="826"/>
      <c r="E27" s="827"/>
      <c r="F27" s="827"/>
    </row>
    <row r="28" spans="3:6">
      <c r="C28" s="826"/>
      <c r="E28" s="827"/>
      <c r="F28" s="827"/>
    </row>
    <row r="29" spans="3:6">
      <c r="C29" s="826"/>
      <c r="E29" s="827"/>
      <c r="F29" s="827"/>
    </row>
    <row r="30" spans="3:6">
      <c r="C30" s="826"/>
      <c r="E30" s="827"/>
      <c r="F30" s="827"/>
    </row>
    <row r="31" spans="3:6">
      <c r="C31" s="826"/>
      <c r="E31" s="827"/>
      <c r="F31" s="827"/>
    </row>
    <row r="32" spans="3:6">
      <c r="C32" s="826"/>
      <c r="E32" s="827"/>
      <c r="F32" s="827"/>
    </row>
    <row r="33" spans="3:6">
      <c r="C33" s="826"/>
      <c r="E33" s="827"/>
      <c r="F33" s="827"/>
    </row>
    <row r="34" spans="3:6">
      <c r="C34" s="826"/>
      <c r="E34" s="827"/>
      <c r="F34" s="827"/>
    </row>
    <row r="35" spans="3:6">
      <c r="C35" s="826"/>
      <c r="E35" s="827"/>
      <c r="F35" s="827"/>
    </row>
    <row r="36" spans="3:6">
      <c r="C36" s="826"/>
      <c r="E36" s="827"/>
      <c r="F36" s="827"/>
    </row>
    <row r="37" spans="3:6">
      <c r="C37" s="826"/>
      <c r="E37" s="827"/>
      <c r="F37" s="827"/>
    </row>
    <row r="38" spans="3:6">
      <c r="C38" s="826"/>
      <c r="E38" s="827"/>
      <c r="F38" s="827"/>
    </row>
    <row r="39" spans="3:6">
      <c r="C39" s="826"/>
      <c r="E39" s="827"/>
      <c r="F39" s="827"/>
    </row>
    <row r="40" spans="3:6">
      <c r="C40" s="826"/>
      <c r="E40" s="827"/>
      <c r="F40" s="827"/>
    </row>
    <row r="41" spans="3:6">
      <c r="E41" s="827"/>
      <c r="F41" s="827"/>
    </row>
    <row r="42" spans="3:6">
      <c r="E42" s="827"/>
      <c r="F42" s="827"/>
    </row>
    <row r="43" spans="3:6">
      <c r="E43" s="827"/>
      <c r="F43" s="827"/>
    </row>
    <row r="44" spans="3:6">
      <c r="E44" s="827"/>
      <c r="F44" s="827"/>
    </row>
    <row r="45" spans="3:6">
      <c r="E45" s="827"/>
      <c r="F45" s="827"/>
    </row>
    <row r="46" spans="3:6">
      <c r="E46" s="827"/>
      <c r="F46" s="827"/>
    </row>
    <row r="47" spans="3:6">
      <c r="E47" s="827"/>
      <c r="F47" s="827"/>
    </row>
    <row r="48" spans="3:6">
      <c r="E48" s="827"/>
      <c r="F48" s="827"/>
    </row>
    <row r="49" spans="5:6">
      <c r="E49" s="827"/>
      <c r="F49" s="827"/>
    </row>
    <row r="50" spans="5:6">
      <c r="E50" s="827"/>
      <c r="F50" s="827"/>
    </row>
    <row r="51" spans="5:6">
      <c r="E51" s="827"/>
      <c r="F51" s="827"/>
    </row>
    <row r="52" spans="5:6">
      <c r="E52" s="827"/>
      <c r="F52" s="827"/>
    </row>
    <row r="53" spans="5:6">
      <c r="E53" s="827"/>
      <c r="F53" s="827"/>
    </row>
    <row r="54" spans="5:6">
      <c r="E54" s="827"/>
      <c r="F54" s="827"/>
    </row>
    <row r="55" spans="5:6">
      <c r="E55" s="827"/>
      <c r="F55" s="827"/>
    </row>
    <row r="56" spans="5:6">
      <c r="E56" s="827"/>
      <c r="F56" s="827"/>
    </row>
    <row r="57" spans="5:6">
      <c r="E57" s="827"/>
      <c r="F57" s="827"/>
    </row>
    <row r="58" spans="5:6">
      <c r="E58" s="827"/>
      <c r="F58" s="827"/>
    </row>
    <row r="59" spans="5:6">
      <c r="E59" s="827"/>
      <c r="F59" s="827"/>
    </row>
    <row r="60" spans="5:6">
      <c r="E60" s="827"/>
      <c r="F60" s="827"/>
    </row>
    <row r="61" spans="5:6">
      <c r="E61" s="827"/>
      <c r="F61" s="827"/>
    </row>
    <row r="62" spans="5:6">
      <c r="E62" s="827"/>
      <c r="F62" s="827"/>
    </row>
    <row r="63" spans="5:6">
      <c r="E63" s="827"/>
      <c r="F63" s="827"/>
    </row>
    <row r="64" spans="5:6">
      <c r="E64" s="827"/>
      <c r="F64" s="827"/>
    </row>
    <row r="65" spans="5:6">
      <c r="E65" s="827"/>
      <c r="F65" s="827"/>
    </row>
    <row r="66" spans="5:6">
      <c r="E66" s="827"/>
      <c r="F66" s="827"/>
    </row>
    <row r="67" spans="5:6">
      <c r="E67" s="827"/>
      <c r="F67" s="827"/>
    </row>
    <row r="68" spans="5:6">
      <c r="E68" s="827"/>
      <c r="F68" s="827"/>
    </row>
    <row r="69" spans="5:6">
      <c r="E69" s="827"/>
      <c r="F69" s="827"/>
    </row>
    <row r="70" spans="5:6">
      <c r="E70" s="827"/>
      <c r="F70" s="827"/>
    </row>
    <row r="71" spans="5:6">
      <c r="E71" s="827"/>
      <c r="F71" s="827"/>
    </row>
    <row r="72" spans="5:6">
      <c r="E72" s="827"/>
      <c r="F72" s="827"/>
    </row>
    <row r="73" spans="5:6">
      <c r="E73" s="827"/>
      <c r="F73" s="827"/>
    </row>
    <row r="74" spans="5:6">
      <c r="E74" s="827"/>
      <c r="F74" s="827"/>
    </row>
    <row r="75" spans="5:6">
      <c r="E75" s="827"/>
      <c r="F75" s="827"/>
    </row>
    <row r="76" spans="5:6">
      <c r="E76" s="827"/>
      <c r="F76" s="827"/>
    </row>
    <row r="77" spans="5:6">
      <c r="E77" s="827"/>
      <c r="F77" s="827"/>
    </row>
    <row r="78" spans="5:6">
      <c r="E78" s="827"/>
      <c r="F78" s="827"/>
    </row>
    <row r="79" spans="5:6">
      <c r="E79" s="827"/>
      <c r="F79" s="827"/>
    </row>
    <row r="80" spans="5:6">
      <c r="E80" s="827"/>
      <c r="F80" s="827"/>
    </row>
    <row r="81" spans="5:6">
      <c r="E81" s="827"/>
      <c r="F81" s="827"/>
    </row>
    <row r="82" spans="5:6">
      <c r="E82" s="827"/>
      <c r="F82" s="827"/>
    </row>
    <row r="83" spans="5:6">
      <c r="E83" s="827"/>
      <c r="F83" s="827"/>
    </row>
    <row r="84" spans="5:6">
      <c r="E84" s="827"/>
      <c r="F84" s="827"/>
    </row>
    <row r="85" spans="5:6">
      <c r="E85" s="827"/>
      <c r="F85" s="827"/>
    </row>
    <row r="86" spans="5:6">
      <c r="E86" s="827"/>
      <c r="F86" s="827"/>
    </row>
    <row r="87" spans="5:6">
      <c r="E87" s="827"/>
      <c r="F87" s="827"/>
    </row>
    <row r="88" spans="5:6">
      <c r="E88" s="827"/>
      <c r="F88" s="827"/>
    </row>
    <row r="89" spans="5:6">
      <c r="E89" s="827"/>
      <c r="F89" s="827"/>
    </row>
    <row r="90" spans="5:6">
      <c r="E90" s="827"/>
      <c r="F90" s="827"/>
    </row>
    <row r="91" spans="5:6">
      <c r="E91" s="827"/>
      <c r="F91" s="827"/>
    </row>
    <row r="92" spans="5:6">
      <c r="E92" s="827"/>
      <c r="F92" s="827"/>
    </row>
    <row r="93" spans="5:6">
      <c r="E93" s="827"/>
      <c r="F93" s="827"/>
    </row>
    <row r="94" spans="5:6">
      <c r="E94" s="827"/>
      <c r="F94" s="827"/>
    </row>
    <row r="95" spans="5:6">
      <c r="E95" s="827"/>
      <c r="F95" s="827"/>
    </row>
    <row r="96" spans="5:6">
      <c r="E96" s="827"/>
      <c r="F96" s="827"/>
    </row>
    <row r="97" spans="5:6">
      <c r="E97" s="827"/>
      <c r="F97" s="827"/>
    </row>
    <row r="98" spans="5:6">
      <c r="E98" s="827"/>
      <c r="F98" s="827"/>
    </row>
    <row r="99" spans="5:6">
      <c r="E99" s="827"/>
      <c r="F99" s="827"/>
    </row>
    <row r="100" spans="5:6">
      <c r="E100" s="827"/>
      <c r="F100" s="827"/>
    </row>
    <row r="101" spans="5:6">
      <c r="E101" s="827"/>
      <c r="F101" s="827"/>
    </row>
    <row r="102" spans="5:6">
      <c r="E102" s="827"/>
      <c r="F102" s="827"/>
    </row>
    <row r="103" spans="5:6">
      <c r="E103" s="827"/>
      <c r="F103" s="827"/>
    </row>
    <row r="104" spans="5:6">
      <c r="E104" s="827"/>
      <c r="F104" s="827"/>
    </row>
    <row r="105" spans="5:6">
      <c r="E105" s="827"/>
      <c r="F105" s="827"/>
    </row>
    <row r="106" spans="5:6">
      <c r="E106" s="827"/>
      <c r="F106" s="827"/>
    </row>
    <row r="107" spans="5:6">
      <c r="E107" s="827"/>
      <c r="F107" s="827"/>
    </row>
    <row r="108" spans="5:6">
      <c r="E108" s="827"/>
      <c r="F108" s="827"/>
    </row>
    <row r="109" spans="5:6">
      <c r="E109" s="827"/>
      <c r="F109" s="827"/>
    </row>
    <row r="110" spans="5:6">
      <c r="E110" s="827"/>
      <c r="F110" s="827"/>
    </row>
    <row r="111" spans="5:6">
      <c r="E111" s="827"/>
      <c r="F111" s="827"/>
    </row>
    <row r="112" spans="5:6">
      <c r="E112" s="827"/>
      <c r="F112" s="827"/>
    </row>
    <row r="113" spans="5:6">
      <c r="E113" s="827"/>
      <c r="F113" s="827"/>
    </row>
    <row r="114" spans="5:6">
      <c r="E114" s="827"/>
      <c r="F114" s="827"/>
    </row>
    <row r="115" spans="5:6">
      <c r="E115" s="827"/>
      <c r="F115" s="827"/>
    </row>
    <row r="116" spans="5:6">
      <c r="E116" s="827"/>
      <c r="F116" s="827"/>
    </row>
    <row r="117" spans="5:6">
      <c r="E117" s="827"/>
      <c r="F117" s="827"/>
    </row>
    <row r="118" spans="5:6">
      <c r="E118" s="827"/>
      <c r="F118" s="827"/>
    </row>
    <row r="119" spans="5:6">
      <c r="E119" s="827"/>
      <c r="F119" s="827"/>
    </row>
    <row r="120" spans="5:6">
      <c r="E120" s="827"/>
      <c r="F120" s="827"/>
    </row>
    <row r="121" spans="5:6">
      <c r="E121" s="827"/>
      <c r="F121" s="827"/>
    </row>
    <row r="122" spans="5:6">
      <c r="E122" s="827"/>
      <c r="F122" s="827"/>
    </row>
    <row r="123" spans="5:6">
      <c r="E123" s="827"/>
      <c r="F123" s="827"/>
    </row>
    <row r="124" spans="5:6">
      <c r="E124" s="827"/>
      <c r="F124" s="827"/>
    </row>
    <row r="125" spans="5:6">
      <c r="E125" s="827"/>
      <c r="F125" s="827"/>
    </row>
    <row r="126" spans="5:6">
      <c r="E126" s="827"/>
      <c r="F126" s="827"/>
    </row>
    <row r="127" spans="5:6">
      <c r="E127" s="827"/>
      <c r="F127" s="827"/>
    </row>
    <row r="128" spans="5:6">
      <c r="E128" s="827"/>
      <c r="F128" s="827"/>
    </row>
    <row r="129" spans="5:6">
      <c r="E129" s="827"/>
      <c r="F129" s="827"/>
    </row>
    <row r="130" spans="5:6">
      <c r="E130" s="827"/>
      <c r="F130" s="827"/>
    </row>
    <row r="131" spans="5:6">
      <c r="E131" s="827"/>
      <c r="F131" s="827"/>
    </row>
    <row r="132" spans="5:6">
      <c r="E132" s="827"/>
      <c r="F132" s="827"/>
    </row>
    <row r="133" spans="5:6">
      <c r="E133" s="827"/>
      <c r="F133" s="827"/>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Julio 2020
INFSGI-MES-07-2020
13/08/2020
Versión: 01</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4"/>
  <sheetViews>
    <sheetView showGridLines="0" view="pageBreakPreview" topLeftCell="D4" zoomScale="130" zoomScaleNormal="100" zoomScaleSheetLayoutView="130" workbookViewId="0">
      <selection activeCell="N53" sqref="N53"/>
    </sheetView>
  </sheetViews>
  <sheetFormatPr baseColWidth="10" defaultColWidth="9.28515625" defaultRowHeight="9.6"/>
  <cols>
    <col min="1" max="1" width="16.140625" style="808" customWidth="1"/>
    <col min="2" max="2" width="19.7109375" style="808" customWidth="1"/>
    <col min="3" max="3" width="12.85546875" style="808" bestFit="1" customWidth="1"/>
    <col min="4" max="4" width="59.85546875" style="808" customWidth="1"/>
    <col min="5" max="5" width="11.7109375" style="808" customWidth="1"/>
    <col min="6" max="6" width="10.42578125" style="808" customWidth="1"/>
    <col min="7" max="8" width="9.28515625" style="808" customWidth="1"/>
    <col min="9" max="16384" width="9.28515625" style="808"/>
  </cols>
  <sheetData>
    <row r="1" spans="1:9" ht="11.25" customHeight="1">
      <c r="A1" s="806" t="s">
        <v>365</v>
      </c>
      <c r="B1" s="807"/>
      <c r="C1" s="807"/>
      <c r="D1" s="807"/>
      <c r="E1" s="807"/>
      <c r="F1" s="807"/>
    </row>
    <row r="2" spans="1:9" ht="30" customHeight="1">
      <c r="A2" s="809" t="s">
        <v>250</v>
      </c>
      <c r="B2" s="810" t="s">
        <v>366</v>
      </c>
      <c r="C2" s="809" t="s">
        <v>355</v>
      </c>
      <c r="D2" s="811" t="s">
        <v>367</v>
      </c>
      <c r="E2" s="812" t="s">
        <v>368</v>
      </c>
      <c r="F2" s="812" t="s">
        <v>369</v>
      </c>
      <c r="G2" s="813"/>
      <c r="H2" s="814"/>
      <c r="I2" s="815"/>
    </row>
    <row r="3" spans="1:9" ht="63.75" customHeight="1">
      <c r="A3" s="818" t="s">
        <v>582</v>
      </c>
      <c r="B3" s="818" t="s">
        <v>607</v>
      </c>
      <c r="C3" s="816">
        <v>44026.245138888888</v>
      </c>
      <c r="D3" s="817" t="s">
        <v>612</v>
      </c>
      <c r="E3" s="818">
        <v>5.4</v>
      </c>
      <c r="F3" s="818" t="s">
        <v>456</v>
      </c>
      <c r="G3" s="819"/>
      <c r="H3" s="819"/>
      <c r="I3" s="821"/>
    </row>
    <row r="4" spans="1:9" ht="57.75" customHeight="1">
      <c r="A4" s="818" t="s">
        <v>582</v>
      </c>
      <c r="B4" s="818" t="s">
        <v>583</v>
      </c>
      <c r="C4" s="816">
        <v>44028.263888888891</v>
      </c>
      <c r="D4" s="817" t="s">
        <v>613</v>
      </c>
      <c r="E4" s="818">
        <v>9.7100000000000009</v>
      </c>
      <c r="F4" s="818" t="s">
        <v>456</v>
      </c>
      <c r="G4" s="819"/>
      <c r="H4" s="819"/>
      <c r="I4" s="822"/>
    </row>
    <row r="5" spans="1:9" ht="97.5" customHeight="1">
      <c r="A5" s="818" t="s">
        <v>582</v>
      </c>
      <c r="B5" s="818" t="s">
        <v>614</v>
      </c>
      <c r="C5" s="816">
        <v>44028.636805555558</v>
      </c>
      <c r="D5" s="817" t="s">
        <v>615</v>
      </c>
      <c r="E5" s="818">
        <v>36</v>
      </c>
      <c r="F5" s="818" t="s">
        <v>456</v>
      </c>
      <c r="G5" s="819"/>
      <c r="H5" s="819"/>
      <c r="I5" s="823"/>
    </row>
    <row r="6" spans="1:9" ht="100.5" customHeight="1">
      <c r="A6" s="818" t="s">
        <v>582</v>
      </c>
      <c r="B6" s="818" t="s">
        <v>614</v>
      </c>
      <c r="C6" s="816">
        <v>44028.804861111108</v>
      </c>
      <c r="D6" s="817" t="s">
        <v>616</v>
      </c>
      <c r="E6" s="818">
        <v>36</v>
      </c>
      <c r="F6" s="818" t="s">
        <v>456</v>
      </c>
      <c r="G6" s="819"/>
      <c r="H6" s="819"/>
      <c r="I6" s="822"/>
    </row>
    <row r="7" spans="1:9" ht="66" customHeight="1">
      <c r="A7" s="818" t="s">
        <v>582</v>
      </c>
      <c r="B7" s="818" t="s">
        <v>617</v>
      </c>
      <c r="C7" s="816">
        <v>44028.979861111111</v>
      </c>
      <c r="D7" s="817" t="s">
        <v>618</v>
      </c>
      <c r="E7" s="818">
        <v>30.97</v>
      </c>
      <c r="F7" s="818" t="s">
        <v>456</v>
      </c>
      <c r="G7" s="819"/>
      <c r="H7" s="819"/>
      <c r="I7" s="822"/>
    </row>
    <row r="8" spans="1:9" ht="70.5" customHeight="1">
      <c r="A8" s="818" t="s">
        <v>619</v>
      </c>
      <c r="B8" s="818" t="s">
        <v>620</v>
      </c>
      <c r="C8" s="816">
        <v>44029.454861111109</v>
      </c>
      <c r="D8" s="817" t="s">
        <v>621</v>
      </c>
      <c r="E8" s="818">
        <v>3.7</v>
      </c>
      <c r="F8" s="818" t="s">
        <v>456</v>
      </c>
      <c r="G8" s="819"/>
      <c r="H8" s="819"/>
      <c r="I8" s="822"/>
    </row>
    <row r="9" spans="1:9" ht="64.5" customHeight="1">
      <c r="A9" s="818" t="s">
        <v>582</v>
      </c>
      <c r="B9" s="818" t="s">
        <v>583</v>
      </c>
      <c r="C9" s="816">
        <v>44030.350694444445</v>
      </c>
      <c r="D9" s="817" t="s">
        <v>622</v>
      </c>
      <c r="E9" s="818">
        <v>10.75</v>
      </c>
      <c r="F9" s="818">
        <v>6</v>
      </c>
      <c r="G9" s="819"/>
      <c r="H9" s="819"/>
      <c r="I9" s="822"/>
    </row>
    <row r="10" spans="1:9" ht="60" customHeight="1">
      <c r="A10" s="818" t="s">
        <v>582</v>
      </c>
      <c r="B10" s="818" t="s">
        <v>623</v>
      </c>
      <c r="C10" s="816">
        <v>44037.309027777781</v>
      </c>
      <c r="D10" s="817" t="s">
        <v>624</v>
      </c>
      <c r="E10" s="818">
        <v>4.9000000000000004</v>
      </c>
      <c r="F10" s="818" t="s">
        <v>456</v>
      </c>
      <c r="G10" s="819"/>
      <c r="H10" s="819"/>
      <c r="I10" s="822"/>
    </row>
    <row r="11" spans="1:9" ht="72.75" customHeight="1">
      <c r="A11" s="818" t="s">
        <v>597</v>
      </c>
      <c r="B11" s="818" t="s">
        <v>625</v>
      </c>
      <c r="C11" s="816">
        <v>44038.731249999997</v>
      </c>
      <c r="D11" s="817" t="s">
        <v>626</v>
      </c>
      <c r="E11" s="818">
        <v>32</v>
      </c>
      <c r="F11" s="818" t="s">
        <v>456</v>
      </c>
      <c r="G11" s="819"/>
      <c r="H11" s="819"/>
      <c r="I11" s="822"/>
    </row>
    <row r="12" spans="1:9" ht="57" customHeight="1">
      <c r="A12" s="818" t="s">
        <v>627</v>
      </c>
      <c r="B12" s="818" t="s">
        <v>628</v>
      </c>
      <c r="C12" s="816">
        <v>44039.944444444445</v>
      </c>
      <c r="D12" s="817" t="s">
        <v>629</v>
      </c>
      <c r="E12" s="818">
        <v>5.6</v>
      </c>
      <c r="F12" s="818" t="s">
        <v>456</v>
      </c>
      <c r="G12" s="819"/>
      <c r="H12" s="819"/>
      <c r="I12" s="822"/>
    </row>
    <row r="13" spans="1:9" ht="66.75" customHeight="1">
      <c r="A13" s="818" t="s">
        <v>597</v>
      </c>
      <c r="B13" s="818" t="s">
        <v>630</v>
      </c>
      <c r="C13" s="816">
        <v>44040.43472222222</v>
      </c>
      <c r="D13" s="817" t="s">
        <v>631</v>
      </c>
      <c r="E13" s="818">
        <v>2.5</v>
      </c>
      <c r="F13" s="818" t="s">
        <v>456</v>
      </c>
      <c r="G13" s="819"/>
      <c r="H13" s="819"/>
      <c r="I13" s="822"/>
    </row>
    <row r="14" spans="1:9" ht="90" customHeight="1">
      <c r="A14" s="825" t="s">
        <v>591</v>
      </c>
      <c r="B14" s="825" t="s">
        <v>632</v>
      </c>
      <c r="C14" s="824">
        <v>44040.975694444445</v>
      </c>
      <c r="D14" s="817" t="s">
        <v>633</v>
      </c>
      <c r="E14" s="825">
        <v>31.36</v>
      </c>
      <c r="F14" s="825" t="s">
        <v>456</v>
      </c>
      <c r="G14" s="819"/>
      <c r="H14" s="819"/>
      <c r="I14" s="822"/>
    </row>
    <row r="15" spans="1:9">
      <c r="E15" s="827"/>
      <c r="F15" s="827"/>
    </row>
    <row r="16" spans="1:9">
      <c r="E16" s="827"/>
      <c r="F16" s="827"/>
    </row>
    <row r="17" spans="5:6">
      <c r="E17" s="827"/>
      <c r="F17" s="827"/>
    </row>
    <row r="18" spans="5:6">
      <c r="E18" s="827"/>
      <c r="F18" s="827"/>
    </row>
    <row r="19" spans="5:6">
      <c r="E19" s="827"/>
      <c r="F19" s="827"/>
    </row>
    <row r="20" spans="5:6">
      <c r="E20" s="827"/>
      <c r="F20" s="827"/>
    </row>
    <row r="21" spans="5:6">
      <c r="E21" s="827"/>
      <c r="F21" s="827"/>
    </row>
    <row r="22" spans="5:6">
      <c r="E22" s="827"/>
      <c r="F22" s="827"/>
    </row>
    <row r="23" spans="5:6">
      <c r="E23" s="827"/>
      <c r="F23" s="827"/>
    </row>
    <row r="24" spans="5:6">
      <c r="E24" s="827"/>
      <c r="F24" s="827"/>
    </row>
    <row r="25" spans="5:6">
      <c r="E25" s="827"/>
      <c r="F25" s="827"/>
    </row>
    <row r="26" spans="5:6">
      <c r="E26" s="827"/>
      <c r="F26" s="827"/>
    </row>
    <row r="27" spans="5:6">
      <c r="E27" s="827"/>
      <c r="F27" s="827"/>
    </row>
    <row r="28" spans="5:6">
      <c r="E28" s="827"/>
      <c r="F28" s="827"/>
    </row>
    <row r="29" spans="5:6">
      <c r="E29" s="827"/>
      <c r="F29" s="827"/>
    </row>
    <row r="30" spans="5:6">
      <c r="E30" s="827"/>
      <c r="F30" s="827"/>
    </row>
    <row r="31" spans="5:6">
      <c r="E31" s="827"/>
      <c r="F31" s="827"/>
    </row>
    <row r="32" spans="5:6">
      <c r="E32" s="827"/>
      <c r="F32" s="827"/>
    </row>
    <row r="33" spans="5:6">
      <c r="E33" s="827"/>
      <c r="F33" s="827"/>
    </row>
    <row r="34" spans="5:6">
      <c r="E34" s="827"/>
      <c r="F34" s="827"/>
    </row>
    <row r="35" spans="5:6">
      <c r="E35" s="827"/>
      <c r="F35" s="827"/>
    </row>
    <row r="36" spans="5:6">
      <c r="E36" s="827"/>
      <c r="F36" s="827"/>
    </row>
    <row r="37" spans="5:6">
      <c r="E37" s="827"/>
      <c r="F37" s="827"/>
    </row>
    <row r="38" spans="5:6">
      <c r="E38" s="827"/>
      <c r="F38" s="827"/>
    </row>
    <row r="39" spans="5:6">
      <c r="E39" s="827"/>
      <c r="F39" s="827"/>
    </row>
    <row r="40" spans="5:6">
      <c r="E40" s="827"/>
      <c r="F40" s="827"/>
    </row>
    <row r="41" spans="5:6">
      <c r="E41" s="827"/>
      <c r="F41" s="827"/>
    </row>
    <row r="42" spans="5:6">
      <c r="E42" s="827"/>
      <c r="F42" s="827"/>
    </row>
    <row r="43" spans="5:6">
      <c r="E43" s="827"/>
      <c r="F43" s="827"/>
    </row>
    <row r="44" spans="5:6">
      <c r="E44" s="827"/>
      <c r="F44" s="827"/>
    </row>
    <row r="45" spans="5:6">
      <c r="E45" s="827"/>
      <c r="F45" s="827"/>
    </row>
    <row r="46" spans="5:6">
      <c r="E46" s="827"/>
      <c r="F46" s="827"/>
    </row>
    <row r="47" spans="5:6">
      <c r="E47" s="827"/>
      <c r="F47" s="827"/>
    </row>
    <row r="48" spans="5:6">
      <c r="E48" s="827"/>
      <c r="F48" s="827"/>
    </row>
    <row r="49" spans="5:6">
      <c r="E49" s="827"/>
      <c r="F49" s="827"/>
    </row>
    <row r="50" spans="5:6">
      <c r="E50" s="827"/>
      <c r="F50" s="827"/>
    </row>
    <row r="51" spans="5:6">
      <c r="E51" s="827"/>
      <c r="F51" s="827"/>
    </row>
    <row r="52" spans="5:6">
      <c r="E52" s="827"/>
      <c r="F52" s="827"/>
    </row>
    <row r="53" spans="5:6">
      <c r="E53" s="827"/>
      <c r="F53" s="827"/>
    </row>
    <row r="54" spans="5:6">
      <c r="E54" s="827"/>
      <c r="F54" s="827"/>
    </row>
    <row r="55" spans="5:6">
      <c r="E55" s="827"/>
      <c r="F55" s="827"/>
    </row>
    <row r="56" spans="5:6">
      <c r="E56" s="827"/>
      <c r="F56" s="827"/>
    </row>
    <row r="57" spans="5:6">
      <c r="E57" s="827"/>
      <c r="F57" s="827"/>
    </row>
    <row r="58" spans="5:6">
      <c r="E58" s="827"/>
      <c r="F58" s="827"/>
    </row>
    <row r="59" spans="5:6">
      <c r="E59" s="827"/>
      <c r="F59" s="827"/>
    </row>
    <row r="60" spans="5:6">
      <c r="E60" s="827"/>
      <c r="F60" s="827"/>
    </row>
    <row r="61" spans="5:6">
      <c r="E61" s="827"/>
      <c r="F61" s="827"/>
    </row>
    <row r="62" spans="5:6">
      <c r="E62" s="827"/>
      <c r="F62" s="827"/>
    </row>
    <row r="63" spans="5:6">
      <c r="E63" s="827"/>
      <c r="F63" s="827"/>
    </row>
    <row r="64" spans="5:6">
      <c r="E64" s="827"/>
      <c r="F64" s="827"/>
    </row>
    <row r="65" spans="5:6">
      <c r="E65" s="827"/>
      <c r="F65" s="827"/>
    </row>
    <row r="66" spans="5:6">
      <c r="E66" s="827"/>
      <c r="F66" s="827"/>
    </row>
    <row r="67" spans="5:6">
      <c r="E67" s="827"/>
      <c r="F67" s="827"/>
    </row>
    <row r="68" spans="5:6">
      <c r="E68" s="827"/>
      <c r="F68" s="827"/>
    </row>
    <row r="69" spans="5:6">
      <c r="E69" s="827"/>
      <c r="F69" s="827"/>
    </row>
    <row r="70" spans="5:6">
      <c r="E70" s="827"/>
      <c r="F70" s="827"/>
    </row>
    <row r="71" spans="5:6">
      <c r="E71" s="827"/>
      <c r="F71" s="827"/>
    </row>
    <row r="72" spans="5:6">
      <c r="E72" s="827"/>
      <c r="F72" s="827"/>
    </row>
    <row r="73" spans="5:6">
      <c r="E73" s="827"/>
      <c r="F73" s="827"/>
    </row>
    <row r="74" spans="5:6">
      <c r="E74" s="827"/>
      <c r="F74" s="827"/>
    </row>
    <row r="75" spans="5:6">
      <c r="E75" s="827"/>
      <c r="F75" s="827"/>
    </row>
    <row r="76" spans="5:6">
      <c r="E76" s="827"/>
      <c r="F76" s="827"/>
    </row>
    <row r="77" spans="5:6">
      <c r="E77" s="827"/>
      <c r="F77" s="827"/>
    </row>
    <row r="78" spans="5:6">
      <c r="E78" s="827"/>
      <c r="F78" s="827"/>
    </row>
    <row r="79" spans="5:6">
      <c r="E79" s="827"/>
      <c r="F79" s="827"/>
    </row>
    <row r="80" spans="5:6">
      <c r="E80" s="827"/>
      <c r="F80" s="827"/>
    </row>
    <row r="81" spans="5:6">
      <c r="E81" s="827"/>
      <c r="F81" s="827"/>
    </row>
    <row r="82" spans="5:6">
      <c r="E82" s="827"/>
      <c r="F82" s="827"/>
    </row>
    <row r="83" spans="5:6">
      <c r="E83" s="827"/>
      <c r="F83" s="827"/>
    </row>
    <row r="84" spans="5:6">
      <c r="E84" s="827"/>
      <c r="F84" s="827"/>
    </row>
    <row r="85" spans="5:6">
      <c r="E85" s="827"/>
      <c r="F85" s="827"/>
    </row>
    <row r="86" spans="5:6">
      <c r="E86" s="827"/>
      <c r="F86" s="827"/>
    </row>
    <row r="87" spans="5:6">
      <c r="E87" s="827"/>
      <c r="F87" s="827"/>
    </row>
    <row r="88" spans="5:6">
      <c r="E88" s="827"/>
      <c r="F88" s="827"/>
    </row>
    <row r="89" spans="5:6">
      <c r="E89" s="827"/>
      <c r="F89" s="827"/>
    </row>
    <row r="90" spans="5:6">
      <c r="E90" s="827"/>
      <c r="F90" s="827"/>
    </row>
    <row r="91" spans="5:6">
      <c r="E91" s="827"/>
      <c r="F91" s="827"/>
    </row>
    <row r="92" spans="5:6">
      <c r="E92" s="827"/>
      <c r="F92" s="827"/>
    </row>
    <row r="93" spans="5:6">
      <c r="E93" s="827"/>
      <c r="F93" s="827"/>
    </row>
    <row r="94" spans="5:6">
      <c r="E94" s="827"/>
      <c r="F94" s="827"/>
    </row>
    <row r="95" spans="5:6">
      <c r="E95" s="827"/>
      <c r="F95" s="827"/>
    </row>
    <row r="96" spans="5:6">
      <c r="E96" s="827"/>
      <c r="F96" s="827"/>
    </row>
    <row r="97" spans="5:6">
      <c r="E97" s="827"/>
      <c r="F97" s="827"/>
    </row>
    <row r="98" spans="5:6">
      <c r="E98" s="827"/>
      <c r="F98" s="827"/>
    </row>
    <row r="99" spans="5:6">
      <c r="E99" s="827"/>
      <c r="F99" s="827"/>
    </row>
    <row r="100" spans="5:6">
      <c r="E100" s="827"/>
      <c r="F100" s="827"/>
    </row>
    <row r="101" spans="5:6">
      <c r="E101" s="827"/>
      <c r="F101" s="827"/>
    </row>
    <row r="102" spans="5:6">
      <c r="E102" s="827"/>
      <c r="F102" s="827"/>
    </row>
    <row r="103" spans="5:6">
      <c r="E103" s="827"/>
      <c r="F103" s="827"/>
    </row>
    <row r="104" spans="5:6">
      <c r="E104" s="827"/>
      <c r="F104" s="827"/>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Julio 2020
INFSGI-MES-07-2020
13/08/2020
Versión: 01</oddHeader>
    <oddFooter>&amp;L&amp;7COES, 2020&amp;C26&amp;R&amp;7Dirección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130" zoomScaleNormal="100" zoomScaleSheetLayoutView="130" workbookViewId="0">
      <selection activeCell="N53" sqref="N53"/>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9"/>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zoomScalePageLayoutView="115" workbookViewId="0">
      <selection activeCell="B16" sqref="B16:M16"/>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9.28515625" style="46"/>
    <col min="14" max="14" width="9.28515625" style="281"/>
    <col min="15" max="16" width="10.140625" style="307" bestFit="1" customWidth="1"/>
    <col min="17" max="17" width="11.42578125" style="307" customWidth="1"/>
    <col min="18" max="23" width="9.28515625" style="307"/>
    <col min="24" max="16384" width="9.28515625" style="46"/>
  </cols>
  <sheetData>
    <row r="1" spans="1:17" ht="27.75" customHeight="1">
      <c r="A1" s="889" t="s">
        <v>22</v>
      </c>
      <c r="B1" s="889"/>
      <c r="C1" s="889"/>
      <c r="D1" s="889"/>
      <c r="E1" s="889"/>
      <c r="F1" s="889"/>
      <c r="G1" s="889"/>
      <c r="H1" s="889"/>
      <c r="I1" s="889"/>
      <c r="J1" s="889"/>
      <c r="K1" s="889"/>
      <c r="L1" s="889"/>
      <c r="M1" s="889"/>
      <c r="N1" s="280"/>
      <c r="O1" s="306"/>
      <c r="P1" s="306"/>
      <c r="Q1" s="306"/>
    </row>
    <row r="2" spans="1:17" ht="11.25" customHeight="1">
      <c r="A2" s="41"/>
      <c r="B2" s="40"/>
      <c r="C2" s="65"/>
      <c r="D2" s="65"/>
      <c r="E2" s="65"/>
      <c r="F2" s="65"/>
      <c r="G2" s="65"/>
      <c r="H2" s="65"/>
      <c r="I2" s="65"/>
      <c r="J2" s="65"/>
      <c r="K2" s="40"/>
      <c r="L2" s="40"/>
      <c r="M2" s="40"/>
      <c r="N2" s="280"/>
      <c r="O2" s="306"/>
      <c r="P2" s="306"/>
      <c r="Q2" s="306"/>
    </row>
    <row r="3" spans="1:17" ht="21.75" customHeight="1">
      <c r="A3" s="40"/>
      <c r="B3" s="42"/>
      <c r="C3" s="896" t="str">
        <f>+UPPER(Q4)&amp;" "&amp;Q5</f>
        <v>JULIO 2020</v>
      </c>
      <c r="D3" s="889"/>
      <c r="E3" s="889"/>
      <c r="F3" s="889"/>
      <c r="G3" s="889"/>
      <c r="H3" s="889"/>
      <c r="I3" s="889"/>
      <c r="J3" s="889"/>
      <c r="K3" s="40"/>
      <c r="L3" s="40"/>
      <c r="M3" s="40"/>
      <c r="N3" s="280"/>
      <c r="O3" s="306"/>
      <c r="P3" s="306"/>
      <c r="Q3" s="306"/>
    </row>
    <row r="4" spans="1:17" ht="11.25" customHeight="1">
      <c r="A4" s="40"/>
      <c r="B4" s="42"/>
      <c r="C4" s="40"/>
      <c r="D4" s="40"/>
      <c r="E4" s="40"/>
      <c r="F4" s="40"/>
      <c r="G4" s="40"/>
      <c r="H4" s="40"/>
      <c r="I4" s="40"/>
      <c r="J4" s="40"/>
      <c r="K4" s="40"/>
      <c r="L4" s="40"/>
      <c r="M4" s="40"/>
      <c r="N4" s="282"/>
      <c r="O4" s="308"/>
      <c r="P4" s="306" t="s">
        <v>212</v>
      </c>
      <c r="Q4" s="309" t="s">
        <v>558</v>
      </c>
    </row>
    <row r="5" spans="1:17" ht="11.25" customHeight="1">
      <c r="A5" s="47"/>
      <c r="B5" s="48"/>
      <c r="C5" s="49"/>
      <c r="D5" s="49"/>
      <c r="E5" s="49"/>
      <c r="F5" s="49"/>
      <c r="G5" s="49"/>
      <c r="H5" s="49"/>
      <c r="I5" s="49"/>
      <c r="J5" s="49"/>
      <c r="K5" s="49"/>
      <c r="L5" s="49"/>
      <c r="M5" s="40"/>
      <c r="N5" s="282"/>
      <c r="O5" s="308"/>
      <c r="P5" s="306" t="s">
        <v>213</v>
      </c>
      <c r="Q5" s="308">
        <v>2020</v>
      </c>
    </row>
    <row r="6" spans="1:17" ht="17.25" customHeight="1">
      <c r="A6" s="60" t="s">
        <v>401</v>
      </c>
      <c r="B6" s="40"/>
      <c r="C6" s="40"/>
      <c r="D6" s="40"/>
      <c r="E6" s="40"/>
      <c r="F6" s="40"/>
      <c r="G6" s="40"/>
      <c r="H6" s="40"/>
      <c r="I6" s="40"/>
      <c r="J6" s="40"/>
      <c r="K6" s="40"/>
      <c r="L6" s="40"/>
      <c r="M6" s="40"/>
      <c r="N6" s="280"/>
      <c r="O6" s="306"/>
      <c r="P6" s="306"/>
      <c r="Q6" s="315">
        <v>44013</v>
      </c>
    </row>
    <row r="7" spans="1:17" ht="11.25" customHeight="1">
      <c r="A7" s="40"/>
      <c r="B7" s="40"/>
      <c r="C7" s="40"/>
      <c r="D7" s="40"/>
      <c r="E7" s="40"/>
      <c r="F7" s="40"/>
      <c r="G7" s="40"/>
      <c r="H7" s="40"/>
      <c r="I7" s="40"/>
      <c r="J7" s="40"/>
      <c r="K7" s="40"/>
      <c r="L7" s="40"/>
      <c r="M7" s="40"/>
      <c r="N7" s="280"/>
      <c r="O7" s="306"/>
      <c r="P7" s="306"/>
      <c r="Q7" s="306">
        <v>31</v>
      </c>
    </row>
    <row r="8" spans="1:17" ht="11.25" customHeight="1">
      <c r="A8" s="43"/>
      <c r="B8" s="43"/>
      <c r="C8" s="43"/>
      <c r="D8" s="43"/>
      <c r="E8" s="43"/>
      <c r="F8" s="43"/>
      <c r="G8" s="43"/>
      <c r="H8" s="43"/>
      <c r="I8" s="43"/>
      <c r="J8" s="43"/>
      <c r="K8" s="43"/>
      <c r="L8" s="43"/>
      <c r="M8" s="43"/>
      <c r="N8" s="283"/>
      <c r="O8" s="310"/>
      <c r="P8" s="310"/>
      <c r="Q8" s="310"/>
    </row>
    <row r="9" spans="1:17" ht="14.25" customHeight="1">
      <c r="A9" s="40" t="str">
        <f>"1.1. Producción de energía eléctrica en "&amp;LOWER(Q4)&amp;" "&amp;Q5&amp;" en comparación al mismo mes del año anterior"</f>
        <v>1.1. Producción de energía eléctrica en julio 2020 en comparación al mismo mes del año anterior</v>
      </c>
      <c r="B9" s="40"/>
      <c r="C9" s="40"/>
      <c r="D9" s="40"/>
      <c r="E9" s="40"/>
      <c r="F9" s="40"/>
      <c r="G9" s="40"/>
      <c r="H9" s="40"/>
      <c r="I9" s="40"/>
      <c r="J9" s="40"/>
      <c r="K9" s="40"/>
      <c r="L9" s="40"/>
      <c r="M9" s="40"/>
      <c r="N9" s="280"/>
      <c r="O9" s="306"/>
      <c r="P9" s="306"/>
      <c r="Q9" s="306"/>
    </row>
    <row r="10" spans="1:17" ht="11.25" customHeight="1">
      <c r="A10" s="47"/>
      <c r="B10" s="44"/>
      <c r="C10" s="44"/>
      <c r="D10" s="44"/>
      <c r="E10" s="44"/>
      <c r="F10" s="44"/>
      <c r="G10" s="44"/>
      <c r="H10" s="44"/>
      <c r="I10" s="44"/>
      <c r="J10" s="44"/>
      <c r="K10" s="44"/>
      <c r="L10" s="44"/>
      <c r="M10" s="44"/>
      <c r="N10" s="282"/>
      <c r="O10" s="308"/>
      <c r="P10" s="308"/>
      <c r="Q10" s="308"/>
    </row>
    <row r="11" spans="1:17" ht="11.25" customHeight="1">
      <c r="A11" s="50"/>
      <c r="B11" s="50"/>
      <c r="C11" s="50"/>
      <c r="D11" s="50"/>
      <c r="E11" s="50"/>
      <c r="F11" s="50"/>
      <c r="G11" s="50"/>
      <c r="H11" s="50"/>
      <c r="I11" s="50"/>
      <c r="J11" s="50"/>
      <c r="K11" s="50"/>
      <c r="L11" s="50"/>
      <c r="M11" s="50"/>
      <c r="N11" s="284"/>
      <c r="O11" s="311"/>
      <c r="P11" s="311"/>
      <c r="Q11" s="311"/>
    </row>
    <row r="12" spans="1:17" ht="26.25" customHeight="1">
      <c r="A12" s="62" t="s">
        <v>23</v>
      </c>
      <c r="B12" s="895" t="s">
        <v>554</v>
      </c>
      <c r="C12" s="895"/>
      <c r="D12" s="895"/>
      <c r="E12" s="895"/>
      <c r="F12" s="895"/>
      <c r="G12" s="895"/>
      <c r="H12" s="895"/>
      <c r="I12" s="895"/>
      <c r="J12" s="895"/>
      <c r="K12" s="895"/>
      <c r="L12" s="895"/>
      <c r="M12" s="895"/>
      <c r="N12" s="282"/>
      <c r="O12" s="308"/>
      <c r="P12" s="308"/>
      <c r="Q12" s="308"/>
    </row>
    <row r="13" spans="1:17" ht="12.75" customHeight="1">
      <c r="A13" s="40"/>
      <c r="B13" s="64"/>
      <c r="C13" s="64"/>
      <c r="D13" s="64"/>
      <c r="E13" s="64"/>
      <c r="F13" s="64"/>
      <c r="G13" s="64"/>
      <c r="H13" s="64"/>
      <c r="I13" s="64"/>
      <c r="J13" s="64"/>
      <c r="K13" s="64"/>
      <c r="L13" s="64"/>
      <c r="M13" s="44"/>
      <c r="N13" s="282"/>
      <c r="O13" s="308"/>
      <c r="P13" s="308"/>
      <c r="Q13" s="308"/>
    </row>
    <row r="14" spans="1:17" ht="28.5" customHeight="1">
      <c r="A14" s="62" t="s">
        <v>23</v>
      </c>
      <c r="B14" s="895" t="s">
        <v>555</v>
      </c>
      <c r="C14" s="895"/>
      <c r="D14" s="895"/>
      <c r="E14" s="895"/>
      <c r="F14" s="895"/>
      <c r="G14" s="895"/>
      <c r="H14" s="895"/>
      <c r="I14" s="895"/>
      <c r="J14" s="895"/>
      <c r="K14" s="895"/>
      <c r="L14" s="895"/>
      <c r="M14" s="895"/>
      <c r="N14" s="282"/>
      <c r="O14" s="308"/>
      <c r="P14" s="308"/>
      <c r="Q14" s="308"/>
    </row>
    <row r="15" spans="1:17" ht="15" customHeight="1">
      <c r="A15" s="63"/>
      <c r="B15" s="64"/>
      <c r="C15" s="64"/>
      <c r="D15" s="64"/>
      <c r="E15" s="64"/>
      <c r="F15" s="64"/>
      <c r="G15" s="64"/>
      <c r="H15" s="64"/>
      <c r="I15" s="64"/>
      <c r="J15" s="64"/>
      <c r="K15" s="64"/>
      <c r="L15" s="64"/>
      <c r="M15" s="44"/>
      <c r="N15" s="282"/>
      <c r="O15" s="308"/>
      <c r="P15" s="308"/>
      <c r="Q15" s="308"/>
    </row>
    <row r="16" spans="1:17" ht="59.25" customHeight="1">
      <c r="A16" s="62" t="s">
        <v>23</v>
      </c>
      <c r="B16" s="895" t="s">
        <v>556</v>
      </c>
      <c r="C16" s="895"/>
      <c r="D16" s="895"/>
      <c r="E16" s="895"/>
      <c r="F16" s="895"/>
      <c r="G16" s="895"/>
      <c r="H16" s="895"/>
      <c r="I16" s="895"/>
      <c r="J16" s="895"/>
      <c r="K16" s="895"/>
      <c r="L16" s="895"/>
      <c r="M16" s="895"/>
      <c r="N16" s="282"/>
      <c r="O16" s="308"/>
      <c r="P16" s="308"/>
      <c r="Q16" s="308"/>
    </row>
    <row r="17" spans="1:18" ht="17.25" customHeight="1">
      <c r="A17" s="44"/>
      <c r="B17" s="44"/>
      <c r="C17" s="44"/>
      <c r="D17" s="44"/>
      <c r="E17" s="44"/>
      <c r="F17" s="44"/>
      <c r="G17" s="44"/>
      <c r="H17" s="44"/>
      <c r="I17" s="44"/>
      <c r="J17" s="44"/>
      <c r="K17" s="44"/>
      <c r="L17" s="44"/>
      <c r="M17" s="44"/>
      <c r="N17" s="282"/>
      <c r="O17" s="308"/>
      <c r="P17" s="308"/>
      <c r="Q17" s="308"/>
    </row>
    <row r="18" spans="1:18" ht="25.5" customHeight="1">
      <c r="A18" s="61" t="s">
        <v>23</v>
      </c>
      <c r="B18" s="894" t="s">
        <v>557</v>
      </c>
      <c r="C18" s="894"/>
      <c r="D18" s="894"/>
      <c r="E18" s="894"/>
      <c r="F18" s="894"/>
      <c r="G18" s="894"/>
      <c r="H18" s="894"/>
      <c r="I18" s="894"/>
      <c r="J18" s="894"/>
      <c r="K18" s="894"/>
      <c r="L18" s="894"/>
      <c r="M18" s="894"/>
      <c r="N18" s="282"/>
      <c r="O18" s="308"/>
      <c r="P18" s="308"/>
      <c r="Q18" s="308"/>
    </row>
    <row r="19" spans="1:18" ht="11.25" customHeight="1">
      <c r="A19" s="44"/>
      <c r="B19" s="44"/>
      <c r="C19" s="44"/>
      <c r="D19" s="44"/>
      <c r="E19" s="44"/>
      <c r="F19" s="44"/>
      <c r="G19" s="44"/>
      <c r="H19" s="44"/>
      <c r="I19" s="44"/>
      <c r="J19" s="44"/>
      <c r="K19" s="44"/>
      <c r="L19" s="44"/>
      <c r="M19" s="44"/>
      <c r="N19" s="282"/>
      <c r="O19" s="308"/>
      <c r="P19" s="308"/>
      <c r="Q19" s="308"/>
    </row>
    <row r="20" spans="1:18" ht="15.75" customHeight="1">
      <c r="A20" s="44"/>
      <c r="B20" s="44"/>
      <c r="C20" s="893" t="str">
        <f>+UPPER(Q4)&amp;" "&amp;Q5</f>
        <v>JULIO 2020</v>
      </c>
      <c r="D20" s="893"/>
      <c r="E20" s="893"/>
      <c r="F20" s="40"/>
      <c r="G20" s="40"/>
      <c r="H20" s="40"/>
      <c r="I20" s="893" t="str">
        <f>+UPPER(Q4)&amp;" "&amp;Q5-1</f>
        <v>JULIO 2019</v>
      </c>
      <c r="J20" s="893"/>
      <c r="K20" s="893"/>
      <c r="L20" s="44"/>
      <c r="M20" s="44"/>
      <c r="Q20" s="308"/>
    </row>
    <row r="21" spans="1:18" ht="11.25" customHeight="1">
      <c r="A21" s="44"/>
      <c r="B21" s="44"/>
      <c r="C21" s="44"/>
      <c r="D21" s="44"/>
      <c r="E21" s="44"/>
      <c r="F21" s="44"/>
      <c r="G21" s="44"/>
      <c r="H21" s="44"/>
      <c r="I21" s="44"/>
      <c r="J21" s="44"/>
      <c r="K21" s="44"/>
      <c r="L21" s="44"/>
      <c r="M21" s="44"/>
      <c r="Q21" s="308"/>
    </row>
    <row r="22" spans="1:18" ht="11.25" customHeight="1">
      <c r="A22" s="51"/>
      <c r="B22" s="52"/>
      <c r="C22" s="52"/>
      <c r="D22" s="52"/>
      <c r="E22" s="52"/>
      <c r="F22" s="52"/>
      <c r="G22" s="52"/>
      <c r="H22" s="52"/>
      <c r="I22" s="52"/>
      <c r="J22" s="52"/>
      <c r="K22" s="52"/>
      <c r="L22" s="52"/>
      <c r="M22" s="52"/>
      <c r="N22" s="340" t="s">
        <v>31</v>
      </c>
      <c r="O22" s="735"/>
      <c r="P22" s="735"/>
    </row>
    <row r="23" spans="1:18" ht="11.25" customHeight="1">
      <c r="A23" s="51"/>
      <c r="B23" s="52"/>
      <c r="C23" s="52"/>
      <c r="D23" s="52"/>
      <c r="E23" s="52"/>
      <c r="F23" s="52"/>
      <c r="G23" s="52"/>
      <c r="H23" s="52"/>
      <c r="I23" s="52"/>
      <c r="J23" s="52"/>
      <c r="K23" s="52"/>
      <c r="L23" s="52"/>
      <c r="M23" s="52"/>
      <c r="N23" s="340" t="s">
        <v>24</v>
      </c>
      <c r="O23" s="736">
        <v>2043.4385303474994</v>
      </c>
      <c r="P23" s="736">
        <v>2070.9468782574995</v>
      </c>
      <c r="Q23" s="313"/>
    </row>
    <row r="24" spans="1:18" ht="11.25" customHeight="1">
      <c r="A24" s="44"/>
      <c r="B24" s="44"/>
      <c r="C24" s="44"/>
      <c r="D24" s="44"/>
      <c r="E24" s="43"/>
      <c r="F24" s="44"/>
      <c r="G24" s="44"/>
      <c r="H24" s="44"/>
      <c r="I24" s="44"/>
      <c r="J24" s="44"/>
      <c r="K24" s="44"/>
      <c r="L24" s="44"/>
      <c r="M24" s="43"/>
      <c r="N24" s="341" t="s">
        <v>25</v>
      </c>
      <c r="O24" s="737">
        <v>1851.0561698024999</v>
      </c>
      <c r="P24" s="737">
        <v>2081.8791732974996</v>
      </c>
      <c r="Q24" s="312"/>
      <c r="R24" s="312"/>
    </row>
    <row r="25" spans="1:18" ht="11.25" customHeight="1">
      <c r="A25" s="44"/>
      <c r="B25" s="44"/>
      <c r="C25" s="44"/>
      <c r="D25" s="44"/>
      <c r="E25" s="44"/>
      <c r="F25" s="44"/>
      <c r="G25" s="44"/>
      <c r="H25" s="44"/>
      <c r="I25" s="44"/>
      <c r="J25" s="53"/>
      <c r="K25" s="53"/>
      <c r="L25" s="44"/>
      <c r="M25" s="44"/>
      <c r="N25" s="341" t="s">
        <v>26</v>
      </c>
      <c r="O25" s="737">
        <v>0</v>
      </c>
      <c r="P25" s="737">
        <v>4.104278055</v>
      </c>
      <c r="Q25" s="314"/>
    </row>
    <row r="26" spans="1:18" ht="11.25" customHeight="1">
      <c r="A26" s="44"/>
      <c r="B26" s="44"/>
      <c r="C26" s="44"/>
      <c r="D26" s="44"/>
      <c r="E26" s="44"/>
      <c r="F26" s="44"/>
      <c r="G26" s="44"/>
      <c r="H26" s="44"/>
      <c r="I26" s="44"/>
      <c r="J26" s="53"/>
      <c r="K26" s="53"/>
      <c r="L26" s="44"/>
      <c r="M26" s="44"/>
      <c r="N26" s="340" t="s">
        <v>27</v>
      </c>
      <c r="O26" s="736">
        <v>0.21856425000000002</v>
      </c>
      <c r="P26" s="736">
        <v>1.0549771399999999</v>
      </c>
      <c r="Q26" s="314"/>
    </row>
    <row r="27" spans="1:18" ht="11.25" customHeight="1">
      <c r="A27" s="44"/>
      <c r="B27" s="44"/>
      <c r="C27" s="44"/>
      <c r="D27" s="44"/>
      <c r="E27" s="44"/>
      <c r="F27" s="44"/>
      <c r="G27" s="44"/>
      <c r="H27" s="44"/>
      <c r="I27" s="44"/>
      <c r="J27" s="53"/>
      <c r="K27" s="44"/>
      <c r="L27" s="44"/>
      <c r="M27" s="44"/>
      <c r="N27" s="340" t="s">
        <v>28</v>
      </c>
      <c r="O27" s="736">
        <v>14.2059833925</v>
      </c>
      <c r="P27" s="736">
        <v>25.485014464999999</v>
      </c>
      <c r="Q27" s="314"/>
    </row>
    <row r="28" spans="1:18" ht="11.25" customHeight="1">
      <c r="A28" s="44"/>
      <c r="B28" s="44"/>
      <c r="C28" s="53"/>
      <c r="D28" s="53"/>
      <c r="E28" s="53"/>
      <c r="F28" s="53"/>
      <c r="G28" s="53"/>
      <c r="H28" s="53"/>
      <c r="I28" s="53"/>
      <c r="J28" s="53"/>
      <c r="K28" s="53"/>
      <c r="L28" s="44"/>
      <c r="M28" s="44"/>
      <c r="N28" s="340" t="s">
        <v>29</v>
      </c>
      <c r="O28" s="736">
        <v>169.46536025500001</v>
      </c>
      <c r="P28" s="736">
        <v>157.13154374249999</v>
      </c>
      <c r="Q28" s="314"/>
    </row>
    <row r="29" spans="1:18" ht="11.25" customHeight="1">
      <c r="A29" s="44"/>
      <c r="B29" s="44"/>
      <c r="C29" s="53"/>
      <c r="D29" s="53"/>
      <c r="E29" s="53"/>
      <c r="F29" s="53"/>
      <c r="G29" s="53"/>
      <c r="H29" s="53"/>
      <c r="I29" s="53"/>
      <c r="J29" s="53"/>
      <c r="K29" s="53"/>
      <c r="L29" s="44"/>
      <c r="M29" s="44"/>
      <c r="N29" s="340" t="s">
        <v>30</v>
      </c>
      <c r="O29" s="736">
        <v>61.040101507499998</v>
      </c>
      <c r="P29" s="736">
        <v>57.339797814999997</v>
      </c>
      <c r="Q29" s="314"/>
    </row>
    <row r="30" spans="1:18" ht="11.25" customHeight="1">
      <c r="A30" s="44"/>
      <c r="B30" s="44"/>
      <c r="C30" s="53"/>
      <c r="D30" s="53"/>
      <c r="E30" s="53"/>
      <c r="F30" s="53"/>
      <c r="G30" s="53"/>
      <c r="H30" s="53"/>
      <c r="I30" s="53"/>
      <c r="J30" s="53"/>
      <c r="K30" s="53"/>
      <c r="L30" s="44"/>
      <c r="M30" s="44"/>
      <c r="N30" s="340"/>
      <c r="O30" s="314"/>
      <c r="P30" s="314"/>
      <c r="Q30" s="314"/>
    </row>
    <row r="31" spans="1:18" ht="11.25" customHeight="1">
      <c r="A31" s="44"/>
      <c r="B31" s="44"/>
      <c r="C31" s="53"/>
      <c r="D31" s="53"/>
      <c r="E31" s="53"/>
      <c r="F31" s="53"/>
      <c r="G31" s="53"/>
      <c r="H31" s="53"/>
      <c r="I31" s="53"/>
      <c r="J31" s="53"/>
      <c r="K31" s="53"/>
      <c r="L31" s="44"/>
      <c r="M31" s="44"/>
      <c r="O31" s="362"/>
      <c r="P31" s="362"/>
      <c r="Q31" s="363"/>
    </row>
    <row r="32" spans="1:18" ht="11.25" customHeight="1">
      <c r="A32" s="44"/>
      <c r="B32" s="44"/>
      <c r="C32" s="53"/>
      <c r="D32" s="53"/>
      <c r="E32" s="53"/>
      <c r="F32" s="53"/>
      <c r="G32" s="53"/>
      <c r="H32" s="53"/>
      <c r="I32" s="53"/>
      <c r="J32" s="53"/>
      <c r="K32" s="53"/>
      <c r="L32" s="44"/>
      <c r="M32" s="44"/>
      <c r="Q32" s="308"/>
    </row>
    <row r="33" spans="1:17" ht="11.25" customHeight="1">
      <c r="A33" s="44"/>
      <c r="B33" s="44"/>
      <c r="C33" s="53"/>
      <c r="D33" s="53"/>
      <c r="E33" s="53"/>
      <c r="F33" s="53"/>
      <c r="G33" s="53"/>
      <c r="H33" s="53"/>
      <c r="I33" s="53"/>
      <c r="J33" s="53"/>
      <c r="K33" s="53"/>
      <c r="L33" s="44"/>
      <c r="M33" s="44"/>
      <c r="Q33" s="308"/>
    </row>
    <row r="34" spans="1:17" ht="11.25" customHeight="1">
      <c r="A34" s="44"/>
      <c r="B34" s="44"/>
      <c r="C34" s="53"/>
      <c r="D34" s="53"/>
      <c r="E34" s="53"/>
      <c r="F34" s="53"/>
      <c r="G34" s="53"/>
      <c r="H34" s="53"/>
      <c r="I34" s="53"/>
      <c r="J34" s="53"/>
      <c r="K34" s="53"/>
      <c r="L34" s="44"/>
      <c r="M34" s="44"/>
      <c r="Q34" s="308"/>
    </row>
    <row r="35" spans="1:17" ht="11.25" customHeight="1">
      <c r="A35" s="54"/>
      <c r="B35" s="54"/>
      <c r="C35" s="55"/>
      <c r="D35" s="55"/>
      <c r="E35" s="55"/>
      <c r="F35" s="55"/>
      <c r="G35" s="55"/>
      <c r="H35" s="55"/>
      <c r="I35" s="55"/>
      <c r="J35" s="54"/>
      <c r="K35" s="54"/>
      <c r="L35" s="54"/>
      <c r="M35" s="54"/>
      <c r="Q35" s="308"/>
    </row>
    <row r="36" spans="1:17" ht="11.25" customHeight="1">
      <c r="A36" s="54"/>
      <c r="B36" s="54"/>
      <c r="C36" s="55"/>
      <c r="D36" s="55"/>
      <c r="E36" s="55"/>
      <c r="F36" s="55"/>
      <c r="G36" s="55"/>
      <c r="H36" s="55"/>
      <c r="I36" s="55"/>
      <c r="J36" s="54"/>
      <c r="K36" s="54"/>
      <c r="L36" s="54"/>
      <c r="M36" s="54"/>
      <c r="Q36" s="308"/>
    </row>
    <row r="37" spans="1:17" ht="11.25" customHeight="1">
      <c r="A37" s="54"/>
      <c r="B37" s="54"/>
      <c r="C37" s="55"/>
      <c r="D37" s="55"/>
      <c r="E37" s="55"/>
      <c r="F37" s="55"/>
      <c r="G37" s="55"/>
      <c r="H37" s="55"/>
      <c r="I37" s="55"/>
      <c r="J37" s="54"/>
      <c r="K37" s="54"/>
      <c r="L37" s="54"/>
      <c r="M37" s="54"/>
      <c r="N37" s="282"/>
      <c r="O37" s="308"/>
      <c r="P37" s="308"/>
      <c r="Q37" s="308"/>
    </row>
    <row r="38" spans="1:17" ht="11.25" customHeight="1">
      <c r="A38" s="54"/>
      <c r="B38" s="54"/>
      <c r="C38" s="55"/>
      <c r="D38" s="55"/>
      <c r="E38" s="55"/>
      <c r="F38" s="55"/>
      <c r="G38" s="55"/>
      <c r="H38" s="55"/>
      <c r="I38" s="55"/>
      <c r="J38" s="54"/>
      <c r="K38" s="54"/>
      <c r="L38" s="54"/>
      <c r="M38" s="54"/>
      <c r="N38" s="282"/>
      <c r="O38" s="308"/>
      <c r="P38" s="308"/>
      <c r="Q38" s="308"/>
    </row>
    <row r="39" spans="1:17" ht="11.25" customHeight="1">
      <c r="A39" s="54"/>
      <c r="B39" s="54"/>
      <c r="C39" s="55"/>
      <c r="D39" s="55"/>
      <c r="E39" s="55"/>
      <c r="F39" s="55"/>
      <c r="G39" s="55"/>
      <c r="H39" s="55"/>
      <c r="I39" s="55"/>
      <c r="J39" s="54"/>
      <c r="K39" s="54"/>
      <c r="L39" s="54"/>
      <c r="M39" s="54"/>
      <c r="N39" s="282"/>
      <c r="O39" s="308"/>
      <c r="P39" s="308"/>
      <c r="Q39" s="308"/>
    </row>
    <row r="40" spans="1:17" ht="11.25" customHeight="1">
      <c r="A40" s="54"/>
      <c r="B40" s="54"/>
      <c r="C40" s="55"/>
      <c r="D40" s="55"/>
      <c r="E40" s="55"/>
      <c r="F40" s="55"/>
      <c r="G40" s="55"/>
      <c r="H40" s="55"/>
      <c r="I40" s="55"/>
      <c r="J40" s="54"/>
      <c r="K40" s="54"/>
      <c r="L40" s="54"/>
      <c r="M40" s="54"/>
      <c r="N40" s="282"/>
      <c r="O40" s="308"/>
      <c r="P40" s="308"/>
      <c r="Q40" s="308"/>
    </row>
    <row r="41" spans="1:17" ht="11.25" customHeight="1">
      <c r="A41" s="54"/>
      <c r="B41" s="54"/>
      <c r="C41" s="54"/>
      <c r="D41" s="55"/>
      <c r="E41" s="55"/>
      <c r="F41" s="55"/>
      <c r="G41" s="55"/>
      <c r="H41" s="54"/>
      <c r="I41" s="54"/>
      <c r="J41" s="54"/>
      <c r="K41" s="54"/>
      <c r="L41" s="54"/>
      <c r="M41" s="54"/>
      <c r="N41" s="282"/>
      <c r="O41" s="308"/>
      <c r="P41" s="308"/>
      <c r="Q41" s="308"/>
    </row>
    <row r="42" spans="1:17" ht="11.25" customHeight="1">
      <c r="A42" s="54"/>
      <c r="B42" s="54"/>
      <c r="C42" s="55"/>
      <c r="D42" s="55"/>
      <c r="E42" s="55"/>
      <c r="F42" s="55"/>
      <c r="G42" s="55"/>
      <c r="H42" s="55"/>
      <c r="I42" s="55"/>
      <c r="J42" s="54"/>
      <c r="K42" s="54"/>
      <c r="L42" s="54"/>
      <c r="M42" s="54"/>
      <c r="N42" s="282"/>
      <c r="O42" s="308"/>
      <c r="P42" s="308"/>
      <c r="Q42" s="308"/>
    </row>
    <row r="43" spans="1:17" ht="11.25" customHeight="1">
      <c r="A43" s="54"/>
      <c r="B43" s="54"/>
      <c r="C43" s="55"/>
      <c r="D43" s="55"/>
      <c r="E43" s="55"/>
      <c r="F43" s="55"/>
      <c r="G43" s="55"/>
      <c r="H43" s="55"/>
      <c r="I43" s="55"/>
      <c r="J43" s="54"/>
      <c r="K43" s="54"/>
      <c r="L43" s="54"/>
      <c r="M43" s="54"/>
      <c r="N43" s="282"/>
      <c r="O43" s="308"/>
      <c r="P43" s="308"/>
      <c r="Q43" s="308"/>
    </row>
    <row r="44" spans="1:17" ht="11.25" customHeight="1">
      <c r="A44" s="54"/>
      <c r="B44" s="54"/>
      <c r="C44" s="55"/>
      <c r="D44" s="55"/>
      <c r="E44" s="55"/>
      <c r="F44" s="55"/>
      <c r="G44" s="55"/>
      <c r="H44" s="55"/>
      <c r="I44" s="55"/>
      <c r="J44" s="54"/>
      <c r="K44" s="54"/>
      <c r="L44" s="54"/>
      <c r="M44" s="54"/>
      <c r="N44" s="282"/>
      <c r="O44" s="308"/>
      <c r="P44" s="308"/>
      <c r="Q44" s="308"/>
    </row>
    <row r="45" spans="1:17" ht="11.25" customHeight="1">
      <c r="A45" s="54"/>
      <c r="B45" s="54"/>
      <c r="C45" s="55"/>
      <c r="D45" s="55"/>
      <c r="E45" s="55"/>
      <c r="F45" s="55"/>
      <c r="G45" s="55"/>
      <c r="H45" s="55"/>
      <c r="I45" s="55"/>
      <c r="J45" s="54"/>
      <c r="K45" s="54"/>
      <c r="L45" s="54"/>
      <c r="M45" s="54"/>
      <c r="N45" s="282"/>
      <c r="O45" s="308"/>
      <c r="P45" s="308"/>
      <c r="Q45" s="308"/>
    </row>
    <row r="46" spans="1:17" ht="11.25" customHeight="1">
      <c r="A46" s="54"/>
      <c r="B46" s="54"/>
      <c r="C46" s="54"/>
      <c r="D46" s="54"/>
      <c r="E46" s="54"/>
      <c r="F46" s="54"/>
      <c r="G46" s="54"/>
      <c r="H46" s="54"/>
      <c r="I46" s="54"/>
      <c r="J46" s="54"/>
      <c r="K46" s="54"/>
      <c r="L46" s="54"/>
      <c r="M46" s="54"/>
      <c r="N46" s="282"/>
      <c r="O46" s="308"/>
      <c r="P46" s="308"/>
      <c r="Q46" s="308"/>
    </row>
    <row r="47" spans="1:17" ht="16.5" customHeight="1">
      <c r="A47" s="54"/>
      <c r="B47" s="892" t="str">
        <f>"Total = "&amp;TEXT(ROUND(SUM(O23:O29),2),"0 000,00")&amp;" GWh"</f>
        <v>Total = 4 139,42 GWh</v>
      </c>
      <c r="C47" s="892"/>
      <c r="D47" s="892"/>
      <c r="E47" s="892"/>
      <c r="F47" s="54"/>
      <c r="G47" s="54"/>
      <c r="H47" s="891" t="str">
        <f>"Total = "&amp;TEXT(ROUND(SUM(P23:P29),2),"0 000,00")&amp;" GWh"</f>
        <v>Total = 4 397,94 GWh</v>
      </c>
      <c r="I47" s="891"/>
      <c r="J47" s="891"/>
      <c r="K47" s="891"/>
      <c r="L47" s="54"/>
      <c r="M47" s="54"/>
      <c r="N47" s="282"/>
      <c r="O47" s="308"/>
      <c r="P47" s="308"/>
      <c r="Q47" s="308"/>
    </row>
    <row r="48" spans="1:17" ht="11.25" customHeight="1">
      <c r="H48" s="54"/>
      <c r="I48" s="54"/>
      <c r="J48" s="54"/>
      <c r="K48" s="54"/>
      <c r="L48" s="54"/>
      <c r="M48" s="54"/>
      <c r="N48" s="282"/>
      <c r="O48" s="308"/>
      <c r="P48" s="308"/>
      <c r="Q48" s="308"/>
    </row>
    <row r="49" spans="1:17" ht="11.25" customHeight="1">
      <c r="B49" s="890" t="str">
        <f>"Gráfico 1: Comparación de producción mensual de electricidad en "&amp;Q4&amp;" por tipo de recurso energético."</f>
        <v>Gráfico 1: Comparación de producción mensual de electricidad en julio por tipo de recurso energético.</v>
      </c>
      <c r="C49" s="890"/>
      <c r="D49" s="890"/>
      <c r="E49" s="890"/>
      <c r="F49" s="890"/>
      <c r="G49" s="890"/>
      <c r="H49" s="890"/>
      <c r="I49" s="890"/>
      <c r="J49" s="890"/>
      <c r="K49" s="890"/>
      <c r="L49" s="890"/>
      <c r="M49" s="231"/>
      <c r="N49" s="285"/>
      <c r="O49" s="308"/>
      <c r="P49" s="308"/>
      <c r="Q49" s="308"/>
    </row>
    <row r="50" spans="1:17" ht="11.25" customHeight="1">
      <c r="B50" s="805"/>
      <c r="C50" s="805"/>
      <c r="D50" s="805"/>
      <c r="E50" s="805"/>
      <c r="F50" s="805"/>
      <c r="G50" s="805"/>
      <c r="H50" s="805"/>
      <c r="I50" s="805"/>
      <c r="J50" s="805"/>
      <c r="K50" s="805"/>
      <c r="L50" s="805"/>
      <c r="M50" s="231"/>
      <c r="N50" s="285"/>
      <c r="O50" s="308"/>
      <c r="P50" s="308"/>
      <c r="Q50" s="308"/>
    </row>
    <row r="51" spans="1:17" ht="21.75" customHeight="1">
      <c r="B51" s="887"/>
      <c r="C51" s="888"/>
      <c r="D51" s="888"/>
      <c r="E51" s="888"/>
      <c r="F51" s="888"/>
      <c r="G51" s="888"/>
      <c r="H51" s="888"/>
      <c r="I51" s="888"/>
      <c r="J51" s="888"/>
      <c r="K51" s="888"/>
      <c r="L51" s="888"/>
      <c r="M51" s="888"/>
      <c r="N51" s="285"/>
      <c r="O51" s="308"/>
      <c r="P51" s="308"/>
      <c r="Q51" s="308"/>
    </row>
    <row r="52" spans="1:17" ht="11.25" customHeight="1">
      <c r="A52" s="54"/>
      <c r="B52" s="54"/>
      <c r="C52" s="45"/>
      <c r="D52" s="45"/>
      <c r="E52" s="54"/>
      <c r="F52" s="54"/>
      <c r="G52" s="54"/>
      <c r="H52" s="54"/>
      <c r="I52" s="54"/>
      <c r="J52" s="54"/>
      <c r="K52" s="54"/>
      <c r="L52" s="54"/>
      <c r="M52" s="54"/>
      <c r="N52" s="282"/>
      <c r="O52" s="308"/>
      <c r="P52" s="308"/>
      <c r="Q52" s="308"/>
    </row>
    <row r="53" spans="1:17" ht="11.25" customHeight="1">
      <c r="A53" s="54"/>
      <c r="B53" s="54"/>
      <c r="C53" s="54"/>
      <c r="D53" s="54"/>
      <c r="E53" s="54"/>
      <c r="F53" s="54"/>
      <c r="G53" s="54"/>
      <c r="H53" s="54"/>
      <c r="I53" s="54"/>
      <c r="J53" s="54"/>
      <c r="K53" s="54"/>
      <c r="L53" s="54"/>
      <c r="M53" s="54"/>
      <c r="N53" s="282"/>
      <c r="O53" s="308"/>
      <c r="P53" s="308"/>
      <c r="Q53" s="308"/>
    </row>
    <row r="54" spans="1:17" ht="11.25" customHeight="1">
      <c r="A54" s="54"/>
      <c r="B54" s="54"/>
      <c r="C54" s="54"/>
      <c r="D54" s="54"/>
      <c r="E54" s="54"/>
      <c r="F54" s="54"/>
      <c r="G54" s="54"/>
      <c r="H54" s="54"/>
      <c r="I54" s="54"/>
      <c r="J54" s="54"/>
      <c r="K54" s="54"/>
      <c r="L54" s="54"/>
      <c r="M54" s="54"/>
      <c r="N54" s="282"/>
      <c r="O54" s="308"/>
      <c r="P54" s="308"/>
      <c r="Q54" s="308"/>
    </row>
    <row r="55" spans="1:17" ht="11.25" customHeight="1">
      <c r="A55" s="54"/>
      <c r="B55" s="54"/>
      <c r="C55" s="54"/>
      <c r="D55" s="54"/>
      <c r="E55" s="54"/>
      <c r="F55" s="54"/>
      <c r="G55" s="54"/>
      <c r="H55" s="54"/>
      <c r="I55" s="54"/>
      <c r="J55" s="54"/>
      <c r="K55" s="54"/>
      <c r="L55" s="54"/>
      <c r="M55" s="54"/>
      <c r="N55" s="282"/>
      <c r="O55" s="308"/>
      <c r="P55" s="308"/>
      <c r="Q55" s="308"/>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Julio 2020
INFSGI-MES-07-2020
13/08/2020
Versión: 01</oddHeader>
    <oddFooter>&amp;LCOES, 2020&amp;C1&amp;RDirección Ejecutiva
Sub Dirección de Gestión de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49"/>
  <sheetViews>
    <sheetView showGridLines="0" view="pageBreakPreview" zoomScaleNormal="100" zoomScaleSheetLayoutView="100" zoomScalePageLayoutView="110" workbookViewId="0">
      <selection activeCell="J8" sqref="J8"/>
    </sheetView>
  </sheetViews>
  <sheetFormatPr baseColWidth="10" defaultColWidth="9.28515625" defaultRowHeight="10.199999999999999"/>
  <cols>
    <col min="1" max="1" width="12" style="46" customWidth="1"/>
    <col min="2" max="3" width="11" style="46" customWidth="1"/>
    <col min="4" max="5" width="11.28515625" style="46" customWidth="1"/>
    <col min="6" max="6" width="12.28515625" style="46" customWidth="1"/>
    <col min="7" max="7" width="9.28515625" style="46"/>
    <col min="8" max="8" width="13.28515625" style="46" customWidth="1"/>
    <col min="9" max="9" width="13.140625" style="46" customWidth="1"/>
    <col min="10" max="10" width="11.7109375" style="46" customWidth="1"/>
    <col min="11" max="11" width="9.28515625" style="46"/>
    <col min="12" max="12" width="18.7109375" style="46" bestFit="1" customWidth="1"/>
    <col min="13" max="16384" width="9.28515625" style="46"/>
  </cols>
  <sheetData>
    <row r="2" spans="1:13" ht="16.5" customHeight="1">
      <c r="A2" s="902" t="s">
        <v>468</v>
      </c>
      <c r="B2" s="902"/>
      <c r="C2" s="902"/>
      <c r="D2" s="902"/>
      <c r="E2" s="902"/>
      <c r="F2" s="902"/>
      <c r="G2" s="902"/>
      <c r="H2" s="902"/>
      <c r="I2" s="902"/>
      <c r="J2" s="902"/>
      <c r="K2" s="523"/>
    </row>
    <row r="3" spans="1:13" ht="12" customHeight="1">
      <c r="A3" s="137"/>
      <c r="B3" s="209"/>
      <c r="C3" s="219"/>
      <c r="D3" s="220"/>
      <c r="E3" s="220"/>
      <c r="F3" s="221"/>
      <c r="G3" s="222"/>
      <c r="H3" s="222"/>
      <c r="I3" s="172"/>
      <c r="J3" s="221"/>
    </row>
    <row r="4" spans="1:13" ht="11.25" customHeight="1">
      <c r="A4" s="187" t="s">
        <v>448</v>
      </c>
      <c r="B4" s="209"/>
      <c r="C4" s="219"/>
      <c r="D4" s="220"/>
      <c r="E4" s="220"/>
      <c r="F4" s="221"/>
      <c r="G4" s="222"/>
      <c r="H4" s="222"/>
      <c r="I4" s="172"/>
      <c r="J4" s="221"/>
      <c r="K4" s="329"/>
    </row>
    <row r="5" spans="1:13" ht="11.25" customHeight="1">
      <c r="A5" s="187"/>
      <c r="B5" s="209"/>
      <c r="C5" s="219"/>
      <c r="D5" s="220"/>
      <c r="E5" s="220"/>
      <c r="F5" s="221"/>
      <c r="G5" s="222"/>
      <c r="H5" s="222"/>
      <c r="I5" s="172"/>
      <c r="J5" s="221"/>
      <c r="K5" s="329"/>
    </row>
    <row r="6" spans="1:13" ht="15" customHeight="1">
      <c r="A6" s="137"/>
      <c r="B6" s="209"/>
      <c r="C6" s="219"/>
      <c r="D6" s="220"/>
      <c r="E6" s="220"/>
      <c r="F6" s="221"/>
      <c r="G6" s="222"/>
      <c r="H6" s="222"/>
      <c r="I6" s="172"/>
      <c r="J6" s="221"/>
      <c r="K6" s="329"/>
    </row>
    <row r="7" spans="1:13" ht="20.25" customHeight="1">
      <c r="A7" s="859" t="s">
        <v>559</v>
      </c>
      <c r="B7" s="860" t="s">
        <v>214</v>
      </c>
      <c r="C7" s="860" t="s">
        <v>560</v>
      </c>
      <c r="D7" s="860" t="s">
        <v>561</v>
      </c>
      <c r="E7" s="860" t="s">
        <v>562</v>
      </c>
      <c r="F7" s="861" t="s">
        <v>563</v>
      </c>
      <c r="G7" s="862" t="s">
        <v>564</v>
      </c>
      <c r="H7" s="861" t="s">
        <v>565</v>
      </c>
      <c r="I7" s="862" t="s">
        <v>566</v>
      </c>
      <c r="J7" s="863" t="s">
        <v>567</v>
      </c>
      <c r="K7" s="524"/>
    </row>
    <row r="8" spans="1:13" s="223" customFormat="1" ht="39" customHeight="1">
      <c r="A8" s="871" t="s">
        <v>411</v>
      </c>
      <c r="B8" s="872" t="s">
        <v>37</v>
      </c>
      <c r="C8" s="872" t="s">
        <v>49</v>
      </c>
      <c r="D8" s="872" t="s">
        <v>573</v>
      </c>
      <c r="E8" s="872" t="s">
        <v>574</v>
      </c>
      <c r="F8" s="873" t="s">
        <v>575</v>
      </c>
      <c r="G8" s="874">
        <v>0.48</v>
      </c>
      <c r="H8" s="875">
        <v>2.4</v>
      </c>
      <c r="I8" s="875">
        <v>2.4</v>
      </c>
      <c r="J8" s="876" t="s">
        <v>576</v>
      </c>
      <c r="K8" s="525"/>
    </row>
    <row r="9" spans="1:13" s="223" customFormat="1" ht="39" customHeight="1">
      <c r="A9" s="871" t="s">
        <v>577</v>
      </c>
      <c r="B9" s="872" t="s">
        <v>36</v>
      </c>
      <c r="C9" s="872" t="s">
        <v>44</v>
      </c>
      <c r="D9" s="872" t="s">
        <v>580</v>
      </c>
      <c r="E9" s="872" t="s">
        <v>579</v>
      </c>
      <c r="F9" s="873" t="s">
        <v>575</v>
      </c>
      <c r="G9" s="874">
        <v>6.3</v>
      </c>
      <c r="H9" s="875">
        <v>20</v>
      </c>
      <c r="I9" s="875">
        <v>20</v>
      </c>
      <c r="J9" s="876" t="s">
        <v>578</v>
      </c>
      <c r="K9" s="525"/>
      <c r="L9" s="884" t="s">
        <v>568</v>
      </c>
      <c r="M9" s="884"/>
    </row>
    <row r="10" spans="1:13" s="223" customFormat="1" ht="28.5" customHeight="1">
      <c r="A10" s="864" t="s">
        <v>42</v>
      </c>
      <c r="B10" s="865"/>
      <c r="C10" s="865"/>
      <c r="D10" s="865"/>
      <c r="E10" s="866"/>
      <c r="F10" s="867"/>
      <c r="G10" s="868"/>
      <c r="H10" s="869">
        <f>+H8+H9</f>
        <v>22.4</v>
      </c>
      <c r="I10" s="869">
        <f>+I8+I9</f>
        <v>22.4</v>
      </c>
      <c r="J10" s="870"/>
      <c r="K10" s="525"/>
      <c r="L10" s="884" t="s">
        <v>569</v>
      </c>
      <c r="M10" s="884">
        <v>20</v>
      </c>
    </row>
    <row r="11" spans="1:13" s="223" customFormat="1" ht="28.5" customHeight="1">
      <c r="A11" s="877" t="s">
        <v>581</v>
      </c>
      <c r="K11" s="525"/>
      <c r="L11" s="884" t="s">
        <v>570</v>
      </c>
      <c r="M11" s="884">
        <v>0</v>
      </c>
    </row>
    <row r="12" spans="1:13" s="223" customFormat="1" ht="36.75" customHeight="1">
      <c r="A12" s="772"/>
      <c r="B12" s="773"/>
      <c r="C12" s="773"/>
      <c r="D12" s="773"/>
      <c r="E12" s="773"/>
      <c r="F12" s="774"/>
      <c r="G12" s="775"/>
      <c r="H12" s="776"/>
      <c r="I12" s="776"/>
      <c r="J12" s="777"/>
      <c r="K12" s="525"/>
      <c r="L12" s="884" t="s">
        <v>571</v>
      </c>
      <c r="M12" s="884">
        <v>0</v>
      </c>
    </row>
    <row r="13" spans="1:13" s="223" customFormat="1" ht="24.75" customHeight="1">
      <c r="A13" s="772"/>
      <c r="B13" s="773"/>
      <c r="C13" s="773"/>
      <c r="D13" s="773"/>
      <c r="E13" s="773"/>
      <c r="F13" s="774"/>
      <c r="G13" s="775"/>
      <c r="H13" s="776"/>
      <c r="I13" s="776"/>
      <c r="J13" s="777"/>
      <c r="K13" s="525"/>
      <c r="L13" s="884" t="s">
        <v>572</v>
      </c>
      <c r="M13" s="884">
        <v>2.4</v>
      </c>
    </row>
    <row r="14" spans="1:13" s="223" customFormat="1" ht="24.75" customHeight="1">
      <c r="A14" s="772"/>
      <c r="B14" s="773"/>
      <c r="C14" s="773"/>
      <c r="D14" s="773"/>
      <c r="E14" s="773"/>
      <c r="F14" s="774"/>
      <c r="G14" s="775"/>
      <c r="H14" s="776"/>
      <c r="I14" s="776"/>
      <c r="J14" s="777"/>
      <c r="K14" s="525"/>
    </row>
    <row r="15" spans="1:13" s="223" customFormat="1" ht="30.75" customHeight="1">
      <c r="A15" s="772"/>
      <c r="B15" s="773"/>
      <c r="C15" s="773"/>
      <c r="D15" s="773"/>
      <c r="E15" s="773"/>
      <c r="F15" s="774"/>
      <c r="G15" s="775"/>
      <c r="H15" s="776"/>
      <c r="I15" s="776"/>
      <c r="J15" s="777"/>
      <c r="K15" s="525"/>
    </row>
    <row r="16" spans="1:13" s="223" customFormat="1" ht="30.75" customHeight="1">
      <c r="A16" s="772"/>
      <c r="B16" s="773"/>
      <c r="C16" s="773"/>
      <c r="D16" s="773"/>
      <c r="E16" s="773"/>
      <c r="F16" s="774"/>
      <c r="G16" s="775"/>
      <c r="H16" s="776"/>
      <c r="I16" s="776"/>
      <c r="J16" s="777"/>
      <c r="K16" s="525"/>
    </row>
    <row r="17" spans="1:15" ht="11.25" customHeight="1">
      <c r="A17" s="778"/>
      <c r="B17" s="779"/>
      <c r="C17" s="779"/>
      <c r="D17" s="779"/>
      <c r="E17" s="780"/>
      <c r="F17" s="781"/>
      <c r="G17" s="782"/>
      <c r="H17" s="783"/>
      <c r="I17" s="783"/>
      <c r="J17" s="784"/>
      <c r="K17" s="526"/>
      <c r="L17" s="527"/>
    </row>
    <row r="18" spans="1:15" ht="13.5" customHeight="1">
      <c r="A18" s="654"/>
      <c r="B18" s="132"/>
      <c r="C18" s="132"/>
      <c r="D18" s="132"/>
      <c r="E18" s="132"/>
      <c r="F18" s="132"/>
      <c r="G18" s="132"/>
      <c r="H18" s="132"/>
      <c r="I18" s="132"/>
      <c r="J18" s="132"/>
      <c r="K18" s="526"/>
    </row>
    <row r="19" spans="1:15" ht="11.25" customHeight="1">
      <c r="A19" s="911"/>
      <c r="B19" s="911"/>
      <c r="C19" s="911"/>
      <c r="D19" s="911"/>
      <c r="E19" s="911"/>
      <c r="F19" s="911"/>
      <c r="G19" s="911"/>
      <c r="H19" s="911"/>
      <c r="I19" s="911"/>
      <c r="J19" s="911"/>
      <c r="K19" s="526"/>
    </row>
    <row r="20" spans="1:15" ht="11.25" customHeight="1">
      <c r="A20" s="402"/>
      <c r="B20" s="402"/>
      <c r="C20" s="402"/>
      <c r="D20" s="402"/>
      <c r="E20" s="402"/>
      <c r="F20" s="402"/>
      <c r="G20" s="402"/>
      <c r="H20" s="402"/>
      <c r="I20" s="402"/>
      <c r="J20" s="402"/>
      <c r="K20" s="526"/>
      <c r="M20" s="527"/>
    </row>
    <row r="21" spans="1:15" ht="12.75" customHeight="1">
      <c r="A21" s="912"/>
      <c r="B21" s="912"/>
      <c r="C21" s="912"/>
      <c r="D21" s="912"/>
      <c r="E21" s="912"/>
      <c r="F21" s="912"/>
      <c r="G21" s="912"/>
      <c r="H21" s="912"/>
      <c r="I21" s="912"/>
      <c r="J21" s="912"/>
      <c r="K21" s="526"/>
      <c r="M21" s="527"/>
    </row>
    <row r="22" spans="1:15" ht="11.25" customHeight="1">
      <c r="A22" s="912"/>
      <c r="B22" s="912"/>
      <c r="C22" s="912"/>
      <c r="D22" s="912"/>
      <c r="E22" s="912"/>
      <c r="F22" s="912"/>
      <c r="G22" s="912"/>
      <c r="H22" s="912"/>
      <c r="I22" s="912"/>
      <c r="J22" s="912"/>
      <c r="K22" s="526"/>
      <c r="M22" s="527"/>
    </row>
    <row r="23" spans="1:15" ht="15" customHeight="1">
      <c r="A23" s="226"/>
      <c r="B23" s="224"/>
      <c r="C23" s="224"/>
      <c r="D23" s="224"/>
      <c r="E23" s="224"/>
      <c r="F23" s="224"/>
      <c r="G23" s="224"/>
      <c r="H23" s="227"/>
      <c r="I23" s="227"/>
      <c r="J23" s="227"/>
      <c r="K23" s="526"/>
    </row>
    <row r="24" spans="1:15" ht="11.25" customHeight="1">
      <c r="A24" s="17"/>
      <c r="B24" s="901"/>
      <c r="C24" s="901"/>
      <c r="D24" s="901"/>
      <c r="E24" s="901"/>
      <c r="F24" s="901"/>
      <c r="G24" s="901"/>
      <c r="H24" s="901"/>
      <c r="I24" s="901"/>
      <c r="J24" s="901"/>
      <c r="K24" s="901"/>
    </row>
    <row r="25" spans="1:15" ht="36" customHeight="1">
      <c r="B25" s="913"/>
      <c r="C25" s="913"/>
      <c r="D25" s="913"/>
      <c r="E25" s="913"/>
      <c r="F25" s="913"/>
      <c r="G25" s="913"/>
      <c r="H25" s="913"/>
    </row>
    <row r="26" spans="1:15" ht="11.25" customHeight="1">
      <c r="A26" s="17"/>
      <c r="B26" s="17"/>
      <c r="C26" s="17"/>
      <c r="D26" s="17"/>
      <c r="E26" s="17"/>
      <c r="F26" s="17"/>
      <c r="G26" s="17"/>
      <c r="H26" s="17"/>
      <c r="I26" s="17"/>
      <c r="J26" s="17"/>
      <c r="K26" s="526"/>
    </row>
    <row r="27" spans="1:15" ht="11.25" customHeight="1">
      <c r="A27" s="176" t="s">
        <v>382</v>
      </c>
      <c r="B27" s="132"/>
      <c r="C27" s="225"/>
      <c r="D27" s="132"/>
      <c r="E27" s="132"/>
      <c r="F27" s="132"/>
      <c r="G27" s="132"/>
      <c r="H27" s="132"/>
      <c r="I27" s="132"/>
      <c r="J27" s="132"/>
      <c r="K27" s="526"/>
    </row>
    <row r="28" spans="1:15" ht="11.25" customHeight="1">
      <c r="B28" s="132"/>
      <c r="C28" s="225"/>
      <c r="D28" s="132"/>
      <c r="E28" s="132"/>
      <c r="F28" s="132"/>
      <c r="G28" s="132"/>
      <c r="H28" s="132"/>
      <c r="I28" s="132"/>
      <c r="J28" s="132"/>
      <c r="K28" s="526"/>
    </row>
    <row r="29" spans="1:15" ht="21" customHeight="1">
      <c r="B29" s="899" t="s">
        <v>218</v>
      </c>
      <c r="C29" s="900"/>
      <c r="D29" s="469" t="str">
        <f>UPPER('1. Resumen'!Q4)&amp;" "&amp;'1. Resumen'!Q5</f>
        <v>JULIO 2020</v>
      </c>
      <c r="E29" s="469" t="str">
        <f>UPPER('1. Resumen'!Q4)&amp;" "&amp;'1. Resumen'!Q5-1</f>
        <v>JULIO 2019</v>
      </c>
      <c r="F29" s="470" t="s">
        <v>219</v>
      </c>
      <c r="G29" s="228"/>
      <c r="H29" s="228"/>
      <c r="I29" s="132"/>
      <c r="J29" s="132"/>
    </row>
    <row r="30" spans="1:15" ht="9.75" customHeight="1">
      <c r="B30" s="903" t="s">
        <v>215</v>
      </c>
      <c r="C30" s="904"/>
      <c r="D30" s="453">
        <f>5163.1192475+I9</f>
        <v>5183.1192474999998</v>
      </c>
      <c r="E30" s="454">
        <v>5122.3492474999994</v>
      </c>
      <c r="F30" s="455">
        <f>+D30/E30-1</f>
        <v>1.1863697117032723E-2</v>
      </c>
      <c r="G30" s="228"/>
      <c r="H30" s="228"/>
      <c r="I30" s="132"/>
      <c r="J30" s="132"/>
      <c r="K30" s="526"/>
    </row>
    <row r="31" spans="1:15" ht="9.75" customHeight="1">
      <c r="B31" s="905" t="s">
        <v>216</v>
      </c>
      <c r="C31" s="906"/>
      <c r="D31" s="456">
        <f>7395.9645+I8</f>
        <v>7398.3644999999997</v>
      </c>
      <c r="E31" s="457">
        <v>7417.6745000000001</v>
      </c>
      <c r="F31" s="458">
        <f>+D31/E31-1</f>
        <v>-2.6032417572381394E-3</v>
      </c>
      <c r="G31" s="229"/>
      <c r="H31" s="229"/>
      <c r="M31" s="528"/>
      <c r="N31" s="528"/>
      <c r="O31" s="529"/>
    </row>
    <row r="32" spans="1:15" ht="9.75" customHeight="1">
      <c r="B32" s="907" t="s">
        <v>217</v>
      </c>
      <c r="C32" s="908"/>
      <c r="D32" s="459">
        <v>375.46</v>
      </c>
      <c r="E32" s="460">
        <v>375.46</v>
      </c>
      <c r="F32" s="461">
        <f>+D32/E32-1</f>
        <v>0</v>
      </c>
      <c r="G32" s="229"/>
      <c r="H32" s="229"/>
    </row>
    <row r="33" spans="1:11" ht="9.75" customHeight="1">
      <c r="B33" s="909" t="s">
        <v>80</v>
      </c>
      <c r="C33" s="910"/>
      <c r="D33" s="462">
        <v>285.02</v>
      </c>
      <c r="E33" s="463">
        <v>285.02</v>
      </c>
      <c r="F33" s="464">
        <f>+D33/E33-1</f>
        <v>0</v>
      </c>
      <c r="G33" s="229"/>
      <c r="H33" s="229"/>
    </row>
    <row r="34" spans="1:11" ht="10.5" customHeight="1">
      <c r="B34" s="897" t="s">
        <v>199</v>
      </c>
      <c r="C34" s="898"/>
      <c r="D34" s="465">
        <f>+D30+D31+D32+D33</f>
        <v>13241.963747499998</v>
      </c>
      <c r="E34" s="466">
        <f>+E30+E31+E32+E33</f>
        <v>13200.503747499999</v>
      </c>
      <c r="F34" s="467">
        <f>+D34/E34-1</f>
        <v>3.1407892299450957E-3</v>
      </c>
      <c r="G34" s="401"/>
      <c r="H34" s="229"/>
    </row>
    <row r="35" spans="1:11" ht="11.25" customHeight="1">
      <c r="B35" s="271" t="str">
        <f>"Cuadro N° 2: Comparación de la potencia instalada en el SEIN al término de "&amp;'1. Resumen'!Q4&amp;" "&amp;'1. Resumen'!Q5-1&amp;" y "&amp;'1. Resumen'!Q4&amp;" "&amp;'1. Resumen'!Q5</f>
        <v>Cuadro N° 2: Comparación de la potencia instalada en el SEIN al término de julio 2019 y julio 2020</v>
      </c>
      <c r="C35" s="228"/>
      <c r="D35" s="228"/>
      <c r="E35" s="228"/>
      <c r="F35" s="228"/>
      <c r="G35" s="228"/>
      <c r="H35" s="228"/>
      <c r="I35" s="132"/>
      <c r="J35" s="132"/>
      <c r="K35" s="526"/>
    </row>
    <row r="36" spans="1:11" ht="9" customHeight="1">
      <c r="B36" s="271"/>
      <c r="C36" s="228"/>
      <c r="D36" s="228"/>
      <c r="E36" s="228"/>
      <c r="F36" s="228"/>
      <c r="G36" s="228"/>
      <c r="H36" s="228"/>
      <c r="I36" s="132"/>
      <c r="J36" s="132"/>
      <c r="K36" s="526"/>
    </row>
    <row r="37" spans="1:11" ht="25.5" customHeight="1">
      <c r="B37" s="271"/>
      <c r="C37" s="228"/>
      <c r="D37" s="228"/>
      <c r="E37" s="228"/>
      <c r="F37" s="228"/>
      <c r="G37" s="228"/>
      <c r="H37" s="228"/>
      <c r="I37" s="132"/>
      <c r="J37" s="132"/>
      <c r="K37" s="526"/>
    </row>
    <row r="38" spans="1:11" ht="11.25" customHeight="1">
      <c r="B38" s="271"/>
      <c r="C38" s="228"/>
      <c r="D38" s="228"/>
      <c r="E38" s="228"/>
      <c r="F38" s="228"/>
      <c r="G38" s="228"/>
      <c r="H38" s="228"/>
      <c r="I38" s="132"/>
      <c r="J38" s="132"/>
      <c r="K38" s="526"/>
    </row>
    <row r="39" spans="1:11" ht="11.25" customHeight="1">
      <c r="A39" s="132"/>
      <c r="C39" s="229"/>
      <c r="D39" s="228"/>
      <c r="E39" s="228"/>
      <c r="F39" s="228"/>
      <c r="G39" s="228"/>
      <c r="H39" s="228"/>
      <c r="I39" s="132"/>
      <c r="J39" s="132"/>
      <c r="K39" s="526"/>
    </row>
    <row r="40" spans="1:11" ht="11.25" customHeight="1">
      <c r="A40" s="132"/>
      <c r="B40" s="132"/>
      <c r="C40" s="132"/>
      <c r="D40" s="132"/>
      <c r="E40" s="132"/>
      <c r="F40" s="132"/>
      <c r="G40" s="132"/>
      <c r="H40" s="132"/>
      <c r="I40" s="132"/>
      <c r="J40" s="132"/>
      <c r="K40" s="526"/>
    </row>
    <row r="41" spans="1:11" ht="11.25" customHeight="1">
      <c r="A41" s="132"/>
      <c r="B41" s="132"/>
      <c r="C41" s="132"/>
      <c r="D41" s="132"/>
      <c r="E41" s="132"/>
      <c r="F41" s="132"/>
      <c r="G41" s="132"/>
      <c r="H41" s="132"/>
      <c r="I41" s="132"/>
      <c r="J41" s="132"/>
      <c r="K41" s="526"/>
    </row>
    <row r="42" spans="1:11">
      <c r="A42" s="137"/>
      <c r="B42" s="132"/>
      <c r="C42" s="132"/>
      <c r="D42" s="132"/>
      <c r="E42" s="132"/>
      <c r="F42" s="132"/>
      <c r="G42" s="132"/>
      <c r="H42" s="132"/>
      <c r="I42" s="132"/>
      <c r="J42" s="132"/>
    </row>
    <row r="43" spans="1:11">
      <c r="A43" s="132"/>
      <c r="B43" s="132"/>
      <c r="C43" s="132"/>
      <c r="D43" s="132"/>
      <c r="E43" s="132"/>
      <c r="F43" s="132"/>
      <c r="G43" s="132"/>
      <c r="H43" s="132"/>
      <c r="I43" s="132"/>
      <c r="J43" s="132"/>
    </row>
    <row r="44" spans="1:11">
      <c r="A44" s="132"/>
      <c r="B44" s="132"/>
      <c r="C44" s="132"/>
      <c r="D44" s="132"/>
      <c r="E44" s="132"/>
      <c r="F44" s="132"/>
      <c r="G44" s="132"/>
      <c r="H44" s="132"/>
      <c r="I44" s="132"/>
      <c r="J44" s="132"/>
    </row>
    <row r="45" spans="1:11">
      <c r="A45" s="132"/>
      <c r="B45" s="132"/>
      <c r="C45" s="132"/>
      <c r="D45" s="132"/>
      <c r="E45" s="132"/>
      <c r="F45" s="132"/>
      <c r="G45" s="132"/>
      <c r="H45" s="132"/>
      <c r="I45" s="132"/>
      <c r="J45" s="132"/>
    </row>
    <row r="46" spans="1:11">
      <c r="A46" s="132"/>
      <c r="B46" s="132"/>
      <c r="C46" s="132"/>
      <c r="D46" s="132"/>
      <c r="E46" s="132"/>
      <c r="F46" s="132"/>
      <c r="G46" s="132"/>
      <c r="H46" s="132"/>
      <c r="I46" s="132"/>
      <c r="J46" s="132"/>
    </row>
    <row r="47" spans="1:11" ht="13.5" customHeight="1">
      <c r="A47" s="132"/>
      <c r="B47" s="132"/>
      <c r="C47" s="132"/>
      <c r="D47" s="132"/>
      <c r="E47" s="132"/>
      <c r="F47" s="132"/>
      <c r="G47" s="132"/>
      <c r="H47" s="132"/>
      <c r="I47" s="132"/>
      <c r="J47" s="132"/>
    </row>
    <row r="48" spans="1:11" ht="19.5" customHeight="1">
      <c r="A48" s="132"/>
      <c r="B48" s="132"/>
      <c r="C48" s="132"/>
      <c r="D48" s="132"/>
      <c r="E48" s="132"/>
      <c r="F48" s="132"/>
      <c r="G48" s="132"/>
      <c r="H48" s="132"/>
      <c r="I48" s="132"/>
      <c r="J48" s="132"/>
    </row>
    <row r="49" spans="1:10" ht="24" customHeight="1">
      <c r="A49" s="400" t="str">
        <f>"Gráfico N° 3: Comparación de la potencia instalada en el SEIN al término de "&amp;'1. Resumen'!Q4&amp;" "&amp;'1. Resumen'!Q5-1&amp;" y "&amp;'1. Resumen'!Q4&amp;" "&amp;'1. Resumen'!Q5</f>
        <v>Gráfico N° 3: Comparación de la potencia instalada en el SEIN al término de julio 2019 y julio 2020</v>
      </c>
      <c r="C49" s="132"/>
      <c r="D49" s="132"/>
      <c r="E49" s="132"/>
      <c r="F49" s="132"/>
      <c r="G49" s="132"/>
      <c r="H49" s="132"/>
      <c r="I49" s="132"/>
      <c r="J49" s="132"/>
    </row>
  </sheetData>
  <mergeCells count="12">
    <mergeCell ref="B34:C34"/>
    <mergeCell ref="B29:C29"/>
    <mergeCell ref="B24:K24"/>
    <mergeCell ref="A2:J2"/>
    <mergeCell ref="B30:C30"/>
    <mergeCell ref="B31:C31"/>
    <mergeCell ref="B32:C32"/>
    <mergeCell ref="B33:C33"/>
    <mergeCell ref="A19:J19"/>
    <mergeCell ref="A21:J21"/>
    <mergeCell ref="B25:H25"/>
    <mergeCell ref="A22:J22"/>
  </mergeCells>
  <conditionalFormatting sqref="A23">
    <cfRule type="containsText" dxfId="1" priority="3" stopIfTrue="1" operator="containsText" text=" 0%">
      <formula>NOT(ISERROR(SEARCH(" 0%",A23)))</formula>
    </cfRule>
    <cfRule type="containsText" dxfId="0" priority="4" stopIfTrue="1" operator="containsText" text="0.0%">
      <formula>NOT(ISERROR(SEARCH("0.0%",A23)))</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zoomScalePageLayoutView="85" workbookViewId="0">
      <selection activeCell="N53" sqref="N53"/>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918" t="s">
        <v>221</v>
      </c>
      <c r="B2" s="918"/>
      <c r="C2" s="918"/>
      <c r="D2" s="918"/>
      <c r="E2" s="918"/>
      <c r="F2" s="918"/>
      <c r="G2" s="918"/>
      <c r="H2" s="918"/>
      <c r="I2" s="918"/>
      <c r="J2" s="918"/>
      <c r="K2" s="918"/>
    </row>
    <row r="3" spans="1:11" ht="11.25" customHeight="1">
      <c r="A3" s="83"/>
      <c r="B3" s="84"/>
      <c r="C3" s="85"/>
      <c r="D3" s="86"/>
      <c r="E3" s="86"/>
      <c r="F3" s="86"/>
      <c r="G3" s="86"/>
      <c r="H3" s="83"/>
      <c r="I3" s="83"/>
      <c r="J3" s="83"/>
      <c r="K3" s="87"/>
    </row>
    <row r="4" spans="1:11" ht="11.25" customHeight="1">
      <c r="A4" s="919" t="str">
        <f>+"3.1. PRODUCCIÓN POR TIPO DE GENERACIÓN (GWh)"</f>
        <v>3.1. PRODUCCIÓN POR TIPO DE GENERACIÓN (GWh)</v>
      </c>
      <c r="B4" s="919"/>
      <c r="C4" s="919"/>
      <c r="D4" s="919"/>
      <c r="E4" s="919"/>
      <c r="F4" s="919"/>
      <c r="G4" s="919"/>
      <c r="H4" s="919"/>
      <c r="I4" s="919"/>
      <c r="J4" s="919"/>
      <c r="K4" s="919"/>
    </row>
    <row r="5" spans="1:11" ht="11.25" customHeight="1">
      <c r="A5" s="54"/>
      <c r="B5" s="88"/>
      <c r="C5" s="89"/>
      <c r="D5" s="90"/>
      <c r="E5" s="90"/>
      <c r="F5" s="90"/>
      <c r="G5" s="90"/>
      <c r="H5" s="91"/>
      <c r="I5" s="83"/>
      <c r="J5" s="83"/>
      <c r="K5" s="92"/>
    </row>
    <row r="6" spans="1:11" ht="18" customHeight="1">
      <c r="A6" s="916" t="s">
        <v>32</v>
      </c>
      <c r="B6" s="920" t="s">
        <v>33</v>
      </c>
      <c r="C6" s="921"/>
      <c r="D6" s="921"/>
      <c r="E6" s="921" t="s">
        <v>34</v>
      </c>
      <c r="F6" s="921"/>
      <c r="G6" s="922" t="str">
        <f>"Generación Acumulada a "&amp;'1. Resumen'!Q4</f>
        <v>Generación Acumulada a julio</v>
      </c>
      <c r="H6" s="922"/>
      <c r="I6" s="922"/>
      <c r="J6" s="922"/>
      <c r="K6" s="923"/>
    </row>
    <row r="7" spans="1:11" ht="32.25" customHeight="1">
      <c r="A7" s="917"/>
      <c r="B7" s="471">
        <f>+C7-30</f>
        <v>43955</v>
      </c>
      <c r="C7" s="471">
        <f>+D7-28</f>
        <v>43985</v>
      </c>
      <c r="D7" s="471">
        <f>+'1. Resumen'!Q6</f>
        <v>44013</v>
      </c>
      <c r="E7" s="471">
        <f>+D7-365</f>
        <v>43648</v>
      </c>
      <c r="F7" s="472" t="s">
        <v>35</v>
      </c>
      <c r="G7" s="473">
        <v>2020</v>
      </c>
      <c r="H7" s="473">
        <v>2019</v>
      </c>
      <c r="I7" s="472" t="s">
        <v>476</v>
      </c>
      <c r="J7" s="473">
        <v>2018</v>
      </c>
      <c r="K7" s="474" t="s">
        <v>423</v>
      </c>
    </row>
    <row r="8" spans="1:11" ht="15" customHeight="1">
      <c r="A8" s="116" t="s">
        <v>36</v>
      </c>
      <c r="B8" s="346">
        <v>2731.0932930724998</v>
      </c>
      <c r="C8" s="342">
        <v>2153.3551646150004</v>
      </c>
      <c r="D8" s="347">
        <v>2043.4385303474994</v>
      </c>
      <c r="E8" s="346">
        <v>2070.9468782574995</v>
      </c>
      <c r="F8" s="237">
        <f>IF(E8=0,"",D8/E8-1)</f>
        <v>-1.328298093920488E-2</v>
      </c>
      <c r="G8" s="354">
        <v>19011.547974722496</v>
      </c>
      <c r="H8" s="342">
        <v>18664.025510720006</v>
      </c>
      <c r="I8" s="241">
        <f>IF(H8=0,"",G8/H8-1)</f>
        <v>1.8619909397513679E-2</v>
      </c>
      <c r="J8" s="346">
        <v>18325.8867875875</v>
      </c>
      <c r="K8" s="237">
        <f t="shared" ref="K8:K15" si="0">IF(J8=0,"",H8/J8-1)</f>
        <v>1.8451424864281751E-2</v>
      </c>
    </row>
    <row r="9" spans="1:11" ht="15" customHeight="1">
      <c r="A9" s="117" t="s">
        <v>37</v>
      </c>
      <c r="B9" s="348">
        <v>424.20125034749998</v>
      </c>
      <c r="C9" s="247">
        <v>1386.4079513500005</v>
      </c>
      <c r="D9" s="349">
        <v>1865.480717445</v>
      </c>
      <c r="E9" s="348">
        <v>2112.5234429574994</v>
      </c>
      <c r="F9" s="238">
        <f t="shared" ref="F9:F15" si="1">IF(E9=0,"",D9/E9-1)</f>
        <v>-0.11694200428216006</v>
      </c>
      <c r="G9" s="355">
        <v>6889.4531550949996</v>
      </c>
      <c r="H9" s="247">
        <v>10731.105528872504</v>
      </c>
      <c r="I9" s="242">
        <f t="shared" ref="I9:I15" si="2">IF(H9=0,"",G9/H9-1)</f>
        <v>-0.35799222768254135</v>
      </c>
      <c r="J9" s="348">
        <v>9826.5087753150001</v>
      </c>
      <c r="K9" s="238">
        <f t="shared" si="0"/>
        <v>9.2056779700835811E-2</v>
      </c>
    </row>
    <row r="10" spans="1:11" ht="15" customHeight="1">
      <c r="A10" s="118" t="s">
        <v>38</v>
      </c>
      <c r="B10" s="350">
        <v>130.50410392499998</v>
      </c>
      <c r="C10" s="248">
        <v>161.8844647825</v>
      </c>
      <c r="D10" s="351">
        <v>169.46536025500001</v>
      </c>
      <c r="E10" s="350">
        <v>157.13154374249999</v>
      </c>
      <c r="F10" s="239">
        <f>IF(E10=0,"",D10/E10-1)</f>
        <v>7.8493574356477414E-2</v>
      </c>
      <c r="G10" s="356">
        <v>970.46055232249989</v>
      </c>
      <c r="H10" s="248">
        <v>952.25199118749993</v>
      </c>
      <c r="I10" s="243">
        <f t="shared" si="2"/>
        <v>1.9121578430403741E-2</v>
      </c>
      <c r="J10" s="350">
        <v>788.91402797000001</v>
      </c>
      <c r="K10" s="239">
        <f t="shared" si="0"/>
        <v>0.20704152471188042</v>
      </c>
    </row>
    <row r="11" spans="1:11" ht="15" customHeight="1">
      <c r="A11" s="117" t="s">
        <v>30</v>
      </c>
      <c r="B11" s="348">
        <v>58.921325104999994</v>
      </c>
      <c r="C11" s="247">
        <v>55.064190197499997</v>
      </c>
      <c r="D11" s="349">
        <v>61.040101507499998</v>
      </c>
      <c r="E11" s="348">
        <v>57.339797814999997</v>
      </c>
      <c r="F11" s="238">
        <f>IF(E11=0,"",D11/E11-1)</f>
        <v>6.4532904431204852E-2</v>
      </c>
      <c r="G11" s="355">
        <v>411.66914550499996</v>
      </c>
      <c r="H11" s="247">
        <v>398.70179571499995</v>
      </c>
      <c r="I11" s="242">
        <f t="shared" si="2"/>
        <v>3.2523931242259385E-2</v>
      </c>
      <c r="J11" s="348">
        <v>380.15961603249997</v>
      </c>
      <c r="K11" s="238">
        <f t="shared" si="0"/>
        <v>4.8774722249600444E-2</v>
      </c>
    </row>
    <row r="12" spans="1:11" ht="15" customHeight="1">
      <c r="A12" s="145" t="s">
        <v>42</v>
      </c>
      <c r="B12" s="352">
        <f>+SUM(B8:B11)</f>
        <v>3344.7199724499997</v>
      </c>
      <c r="C12" s="343">
        <f t="shared" ref="C12:E12" si="3">+SUM(C8:C11)</f>
        <v>3756.7117709450008</v>
      </c>
      <c r="D12" s="353">
        <f t="shared" si="3"/>
        <v>4139.4247095549999</v>
      </c>
      <c r="E12" s="352">
        <f t="shared" si="3"/>
        <v>4397.9416627724986</v>
      </c>
      <c r="F12" s="240">
        <f>IF(E12=0,"",D12/E12-1)</f>
        <v>-5.8781351150194117E-2</v>
      </c>
      <c r="G12" s="352">
        <f t="shared" ref="G12:J12" si="4">+SUM(G8:G11)</f>
        <v>27283.130827644993</v>
      </c>
      <c r="H12" s="343">
        <f t="shared" si="4"/>
        <v>30746.084826495007</v>
      </c>
      <c r="I12" s="244">
        <f>IF(H12=0,"",G12/H12-1)</f>
        <v>-0.11263073065699292</v>
      </c>
      <c r="J12" s="352">
        <f t="shared" si="4"/>
        <v>29321.469206905</v>
      </c>
      <c r="K12" s="240">
        <f t="shared" si="0"/>
        <v>4.8586092652360025E-2</v>
      </c>
    </row>
    <row r="13" spans="1:11" ht="15" customHeight="1">
      <c r="A13" s="112"/>
      <c r="B13" s="112"/>
      <c r="C13" s="112"/>
      <c r="D13" s="112"/>
      <c r="E13" s="112"/>
      <c r="F13" s="114"/>
      <c r="G13" s="112"/>
      <c r="H13" s="112"/>
      <c r="I13" s="833"/>
      <c r="J13" s="113"/>
      <c r="K13" s="114" t="str">
        <f t="shared" si="0"/>
        <v/>
      </c>
    </row>
    <row r="14" spans="1:11" ht="15" customHeight="1">
      <c r="A14" s="119" t="s">
        <v>39</v>
      </c>
      <c r="B14" s="235">
        <v>4.0240467399999975</v>
      </c>
      <c r="C14" s="236">
        <v>16.997148410000005</v>
      </c>
      <c r="D14" s="345">
        <v>11.404668589999995</v>
      </c>
      <c r="E14" s="235">
        <v>8.3070756200000098</v>
      </c>
      <c r="F14" s="120">
        <f t="shared" si="1"/>
        <v>0.37288609273548201</v>
      </c>
      <c r="G14" s="235">
        <v>34.021143199999997</v>
      </c>
      <c r="H14" s="236">
        <v>38.304252080000019</v>
      </c>
      <c r="I14" s="123">
        <f t="shared" si="2"/>
        <v>-0.11181810497316513</v>
      </c>
      <c r="J14" s="235">
        <v>7.5429587299999996</v>
      </c>
      <c r="K14" s="120">
        <f t="shared" si="0"/>
        <v>4.0781468454355467</v>
      </c>
    </row>
    <row r="15" spans="1:11" ht="15" customHeight="1">
      <c r="A15" s="118" t="s">
        <v>40</v>
      </c>
      <c r="B15" s="232">
        <v>0</v>
      </c>
      <c r="C15" s="233">
        <v>0</v>
      </c>
      <c r="D15" s="234">
        <v>0</v>
      </c>
      <c r="E15" s="232">
        <v>0</v>
      </c>
      <c r="F15" s="121" t="str">
        <f t="shared" si="1"/>
        <v/>
      </c>
      <c r="G15" s="232">
        <v>0</v>
      </c>
      <c r="H15" s="233">
        <v>0</v>
      </c>
      <c r="I15" s="115" t="str">
        <f t="shared" si="2"/>
        <v/>
      </c>
      <c r="J15" s="232">
        <v>0</v>
      </c>
      <c r="K15" s="121" t="str">
        <f t="shared" si="0"/>
        <v/>
      </c>
    </row>
    <row r="16" spans="1:11" ht="23.25" customHeight="1">
      <c r="A16" s="125" t="s">
        <v>41</v>
      </c>
      <c r="B16" s="245">
        <f>+B15-B14</f>
        <v>-4.0240467399999975</v>
      </c>
      <c r="C16" s="246">
        <f t="shared" ref="C16:E16" si="5">+C15-C14</f>
        <v>-16.997148410000005</v>
      </c>
      <c r="D16" s="406">
        <f t="shared" si="5"/>
        <v>-11.404668589999995</v>
      </c>
      <c r="E16" s="245">
        <f t="shared" si="5"/>
        <v>-8.3070756200000098</v>
      </c>
      <c r="F16" s="122"/>
      <c r="G16" s="245">
        <f t="shared" ref="G16:H16" si="6">+G15-G14</f>
        <v>-34.021143199999997</v>
      </c>
      <c r="H16" s="246">
        <f t="shared" si="6"/>
        <v>-38.304252080000019</v>
      </c>
      <c r="I16" s="124"/>
      <c r="J16" s="245">
        <f>+J15-J14</f>
        <v>-7.5429587299999996</v>
      </c>
      <c r="K16" s="122"/>
    </row>
    <row r="17" spans="1:11" ht="11.25" customHeight="1">
      <c r="A17" s="231" t="s">
        <v>220</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14"/>
      <c r="C42" s="914"/>
      <c r="D42" s="914"/>
      <c r="E42" s="93"/>
      <c r="F42" s="93"/>
      <c r="G42" s="915"/>
      <c r="H42" s="915"/>
      <c r="I42" s="915"/>
      <c r="J42" s="915"/>
      <c r="K42" s="915"/>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31" t="str">
        <f>"Gráfico N° 4: Comparación de la producción de energía eléctrica por tipo de generación acumulada a "&amp;'1. Resumen'!Q4</f>
        <v>Gráfico N° 4: Comparación de la producción de energía eléctrica por tipo de generación acumulada a julio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Julio 2020
INFSGI-MES-07-2020
13/08/2020
Versión: 01</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Normal="100" zoomScaleSheetLayoutView="100" zoomScalePageLayoutView="145" workbookViewId="0">
      <selection activeCell="N53" sqref="N53"/>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42578125" customWidth="1"/>
    <col min="7" max="7" width="10.85546875" customWidth="1"/>
    <col min="8" max="8" width="10.42578125" bestFit="1" customWidth="1"/>
    <col min="9" max="9" width="9.28515625" customWidth="1"/>
    <col min="10" max="10" width="10.42578125" customWidth="1"/>
    <col min="11" max="11" width="9.28515625" customWidth="1"/>
  </cols>
  <sheetData>
    <row r="1" spans="1:12" ht="11.25" customHeight="1"/>
    <row r="2" spans="1:12" ht="11.25" customHeight="1">
      <c r="A2" s="924" t="str">
        <f>+"3.2. PRODUCCIÓN POR TIPO DE RECURSO ENERGÉTICO (GWh)"</f>
        <v>3.2. PRODUCCIÓN POR TIPO DE RECURSO ENERGÉTICO (GWh)</v>
      </c>
      <c r="B2" s="924"/>
      <c r="C2" s="924"/>
      <c r="D2" s="924"/>
      <c r="E2" s="924"/>
      <c r="F2" s="924"/>
      <c r="G2" s="924"/>
      <c r="H2" s="924"/>
      <c r="I2" s="924"/>
      <c r="J2" s="924"/>
      <c r="K2" s="924"/>
    </row>
    <row r="3" spans="1:12" ht="18.75" customHeight="1">
      <c r="A3" s="126"/>
      <c r="B3" s="127"/>
      <c r="C3" s="128"/>
      <c r="D3" s="129"/>
      <c r="E3" s="129"/>
      <c r="F3" s="129"/>
      <c r="G3" s="130"/>
      <c r="H3" s="130"/>
      <c r="I3" s="130"/>
      <c r="J3" s="126"/>
      <c r="K3" s="126"/>
      <c r="L3" s="36"/>
    </row>
    <row r="4" spans="1:12" ht="14.25" customHeight="1">
      <c r="A4" s="928" t="s">
        <v>43</v>
      </c>
      <c r="B4" s="925" t="s">
        <v>33</v>
      </c>
      <c r="C4" s="926"/>
      <c r="D4" s="926"/>
      <c r="E4" s="926" t="s">
        <v>34</v>
      </c>
      <c r="F4" s="926"/>
      <c r="G4" s="927" t="str">
        <f>+'3. Tipo Generación'!G6:K6</f>
        <v>Generación Acumulada a julio</v>
      </c>
      <c r="H4" s="927"/>
      <c r="I4" s="927"/>
      <c r="J4" s="927"/>
      <c r="K4" s="927"/>
      <c r="L4" s="131"/>
    </row>
    <row r="5" spans="1:12" ht="26.25" customHeight="1">
      <c r="A5" s="928"/>
      <c r="B5" s="475">
        <f>+'3. Tipo Generación'!B7</f>
        <v>43955</v>
      </c>
      <c r="C5" s="475">
        <f>+'3. Tipo Generación'!C7</f>
        <v>43985</v>
      </c>
      <c r="D5" s="475">
        <f>+'3. Tipo Generación'!D7</f>
        <v>44013</v>
      </c>
      <c r="E5" s="475">
        <f>+'3. Tipo Generación'!E7</f>
        <v>43648</v>
      </c>
      <c r="F5" s="476" t="s">
        <v>35</v>
      </c>
      <c r="G5" s="477">
        <v>2020</v>
      </c>
      <c r="H5" s="477">
        <v>2019</v>
      </c>
      <c r="I5" s="476" t="s">
        <v>476</v>
      </c>
      <c r="J5" s="477">
        <v>2018</v>
      </c>
      <c r="K5" s="476" t="s">
        <v>423</v>
      </c>
      <c r="L5" s="19"/>
    </row>
    <row r="6" spans="1:12" ht="11.25" customHeight="1">
      <c r="A6" s="139" t="s">
        <v>44</v>
      </c>
      <c r="B6" s="287">
        <v>2731.0932930724998</v>
      </c>
      <c r="C6" s="288">
        <v>2153.3551646150004</v>
      </c>
      <c r="D6" s="289">
        <v>2043.4385303474994</v>
      </c>
      <c r="E6" s="287">
        <v>2070.9468782574995</v>
      </c>
      <c r="F6" s="252">
        <f>IF(E6=0,"",D6/E6-1)</f>
        <v>-1.328298093920488E-2</v>
      </c>
      <c r="G6" s="287">
        <v>19011.547974722496</v>
      </c>
      <c r="H6" s="288">
        <v>18664.025510720006</v>
      </c>
      <c r="I6" s="252">
        <f t="shared" ref="I6:I16" si="0">IF(H6=0,"",G6/H6-1)</f>
        <v>1.8619909397513679E-2</v>
      </c>
      <c r="J6" s="287">
        <v>18325.8867875875</v>
      </c>
      <c r="K6" s="252">
        <f>IF(J6=0,"",H6/J6-1)</f>
        <v>1.8451424864281751E-2</v>
      </c>
      <c r="L6" s="24"/>
    </row>
    <row r="7" spans="1:12" ht="11.25" customHeight="1">
      <c r="A7" s="140" t="s">
        <v>50</v>
      </c>
      <c r="B7" s="290">
        <v>378.57778005749992</v>
      </c>
      <c r="C7" s="247">
        <v>1303.3500004725004</v>
      </c>
      <c r="D7" s="291">
        <v>1784.8507810725</v>
      </c>
      <c r="E7" s="290">
        <v>1990.5337986899995</v>
      </c>
      <c r="F7" s="253">
        <f t="shared" ref="F7:F18" si="1">IF(E7=0,"",D7/E7-1)</f>
        <v>-0.10333058285815722</v>
      </c>
      <c r="G7" s="290">
        <v>6428.8481556825009</v>
      </c>
      <c r="H7" s="247">
        <v>9986.6223478845313</v>
      </c>
      <c r="I7" s="253">
        <f t="shared" si="0"/>
        <v>-0.35625400343246927</v>
      </c>
      <c r="J7" s="290">
        <v>9168.6644676100004</v>
      </c>
      <c r="K7" s="253">
        <f t="shared" ref="K7:K19" si="2">IF(J7=0,"",H7/J7-1)</f>
        <v>8.921232565158399E-2</v>
      </c>
      <c r="L7" s="22"/>
    </row>
    <row r="8" spans="1:12" ht="11.25" customHeight="1">
      <c r="A8" s="141" t="s">
        <v>51</v>
      </c>
      <c r="B8" s="292">
        <v>25.945443839999999</v>
      </c>
      <c r="C8" s="248">
        <v>61.168153509999996</v>
      </c>
      <c r="D8" s="293">
        <v>66.205388729999996</v>
      </c>
      <c r="E8" s="292">
        <v>64.338034285000006</v>
      </c>
      <c r="F8" s="404">
        <f t="shared" si="1"/>
        <v>2.9024114052476513E-2</v>
      </c>
      <c r="G8" s="292">
        <v>293.64369171749996</v>
      </c>
      <c r="H8" s="248">
        <v>315.18083659999991</v>
      </c>
      <c r="I8" s="404">
        <f t="shared" si="0"/>
        <v>-6.8332659798834849E-2</v>
      </c>
      <c r="J8" s="292">
        <v>290.84472570249994</v>
      </c>
      <c r="K8" s="404">
        <f t="shared" si="2"/>
        <v>8.3673894510959634E-2</v>
      </c>
      <c r="L8" s="22"/>
    </row>
    <row r="9" spans="1:12" ht="11.25" customHeight="1">
      <c r="A9" s="140" t="s">
        <v>52</v>
      </c>
      <c r="B9" s="290">
        <v>0</v>
      </c>
      <c r="C9" s="247">
        <v>1.3787250000000002E-4</v>
      </c>
      <c r="D9" s="291">
        <v>0</v>
      </c>
      <c r="E9" s="290">
        <v>27.007340322499999</v>
      </c>
      <c r="F9" s="253">
        <f t="shared" si="1"/>
        <v>-1</v>
      </c>
      <c r="G9" s="290">
        <v>15.849400752499999</v>
      </c>
      <c r="H9" s="247">
        <v>134.0848241875</v>
      </c>
      <c r="I9" s="253">
        <f t="shared" si="0"/>
        <v>-0.88179571514866817</v>
      </c>
      <c r="J9" s="290">
        <v>175.03820562000001</v>
      </c>
      <c r="K9" s="253">
        <f t="shared" si="2"/>
        <v>-0.23396824303265507</v>
      </c>
      <c r="L9" s="22"/>
    </row>
    <row r="10" spans="1:12" ht="11.25" customHeight="1">
      <c r="A10" s="141" t="s">
        <v>53</v>
      </c>
      <c r="B10" s="292">
        <v>0</v>
      </c>
      <c r="C10" s="248">
        <v>0</v>
      </c>
      <c r="D10" s="293">
        <v>0</v>
      </c>
      <c r="E10" s="292">
        <v>0</v>
      </c>
      <c r="F10" s="404" t="str">
        <f t="shared" si="1"/>
        <v/>
      </c>
      <c r="G10" s="292">
        <v>0</v>
      </c>
      <c r="H10" s="248">
        <v>0</v>
      </c>
      <c r="I10" s="404" t="str">
        <f t="shared" si="0"/>
        <v/>
      </c>
      <c r="J10" s="292">
        <v>0</v>
      </c>
      <c r="K10" s="404" t="str">
        <f t="shared" si="2"/>
        <v/>
      </c>
      <c r="L10" s="22"/>
    </row>
    <row r="11" spans="1:12" ht="11.25" customHeight="1">
      <c r="A11" s="140" t="s">
        <v>26</v>
      </c>
      <c r="B11" s="290">
        <v>0</v>
      </c>
      <c r="C11" s="247">
        <v>0</v>
      </c>
      <c r="D11" s="291">
        <v>0</v>
      </c>
      <c r="E11" s="290">
        <v>4.104278055</v>
      </c>
      <c r="F11" s="253">
        <f t="shared" si="1"/>
        <v>-1</v>
      </c>
      <c r="G11" s="290">
        <v>0</v>
      </c>
      <c r="H11" s="247">
        <v>22.387534665</v>
      </c>
      <c r="I11" s="253">
        <f t="shared" si="0"/>
        <v>-1</v>
      </c>
      <c r="J11" s="290">
        <v>37.679417740000005</v>
      </c>
      <c r="K11" s="253">
        <f t="shared" si="2"/>
        <v>-0.40584180945997816</v>
      </c>
      <c r="L11" s="24"/>
    </row>
    <row r="12" spans="1:12" ht="11.25" customHeight="1">
      <c r="A12" s="141" t="s">
        <v>45</v>
      </c>
      <c r="B12" s="292">
        <v>0</v>
      </c>
      <c r="C12" s="248">
        <v>0</v>
      </c>
      <c r="D12" s="293">
        <v>0</v>
      </c>
      <c r="E12" s="292">
        <v>7.51934925E-2</v>
      </c>
      <c r="F12" s="404">
        <f t="shared" si="1"/>
        <v>-1</v>
      </c>
      <c r="G12" s="292">
        <v>1.2236413724999999</v>
      </c>
      <c r="H12" s="248">
        <v>42.024336214999991</v>
      </c>
      <c r="I12" s="404">
        <f t="shared" si="0"/>
        <v>-0.97088255323677808</v>
      </c>
      <c r="J12" s="292">
        <v>4.3479444000000003</v>
      </c>
      <c r="K12" s="404">
        <f t="shared" si="2"/>
        <v>8.6653343163725793</v>
      </c>
      <c r="L12" s="22"/>
    </row>
    <row r="13" spans="1:12" ht="11.25" customHeight="1">
      <c r="A13" s="140" t="s">
        <v>46</v>
      </c>
      <c r="B13" s="290">
        <v>0</v>
      </c>
      <c r="C13" s="247">
        <v>0</v>
      </c>
      <c r="D13" s="291">
        <v>0</v>
      </c>
      <c r="E13" s="290">
        <v>0.13735237749999998</v>
      </c>
      <c r="F13" s="253">
        <f>IF(E13=0,"",D13/E13-1)</f>
        <v>-1</v>
      </c>
      <c r="G13" s="290">
        <v>0</v>
      </c>
      <c r="H13" s="247">
        <v>0.226881735</v>
      </c>
      <c r="I13" s="253">
        <f t="shared" si="0"/>
        <v>-1</v>
      </c>
      <c r="J13" s="290">
        <v>1.99292362</v>
      </c>
      <c r="K13" s="253">
        <f t="shared" si="2"/>
        <v>-0.88615633197222077</v>
      </c>
      <c r="L13" s="22"/>
    </row>
    <row r="14" spans="1:12" ht="11.25" customHeight="1">
      <c r="A14" s="141" t="s">
        <v>47</v>
      </c>
      <c r="B14" s="292">
        <v>7.8229167499999988E-2</v>
      </c>
      <c r="C14" s="248">
        <v>2.45639E-2</v>
      </c>
      <c r="D14" s="293">
        <v>0.21856425000000002</v>
      </c>
      <c r="E14" s="292">
        <v>0.84243127000000007</v>
      </c>
      <c r="F14" s="404">
        <f>IF(E14=0,"",D14/E14-1)</f>
        <v>-0.74055539272657822</v>
      </c>
      <c r="G14" s="292">
        <v>8.2789819600000012</v>
      </c>
      <c r="H14" s="248">
        <v>97.011641615468776</v>
      </c>
      <c r="I14" s="404">
        <f t="shared" si="0"/>
        <v>-0.91465991274721514</v>
      </c>
      <c r="J14" s="292">
        <v>71.633362834999986</v>
      </c>
      <c r="K14" s="404">
        <f t="shared" si="2"/>
        <v>0.35428015349391062</v>
      </c>
      <c r="L14" s="22"/>
    </row>
    <row r="15" spans="1:12" ht="11.25" customHeight="1">
      <c r="A15" s="140" t="s">
        <v>48</v>
      </c>
      <c r="B15" s="290">
        <v>18.817505542500001</v>
      </c>
      <c r="C15" s="247">
        <v>19.396027994999997</v>
      </c>
      <c r="D15" s="291">
        <v>9.6006175975000012</v>
      </c>
      <c r="E15" s="290">
        <v>19.2527546725</v>
      </c>
      <c r="F15" s="253">
        <f t="shared" si="1"/>
        <v>-0.5013379767824494</v>
      </c>
      <c r="G15" s="290">
        <v>115.9836123</v>
      </c>
      <c r="H15" s="247">
        <v>95.716811860000007</v>
      </c>
      <c r="I15" s="253">
        <f>IF(H15=0,"",G15/H15-1)</f>
        <v>0.21173710287847025</v>
      </c>
      <c r="J15" s="290">
        <v>50.502784532499994</v>
      </c>
      <c r="K15" s="253">
        <f t="shared" si="2"/>
        <v>0.89527790885279779</v>
      </c>
      <c r="L15" s="22"/>
    </row>
    <row r="16" spans="1:12" ht="11.25" customHeight="1">
      <c r="A16" s="141" t="s">
        <v>49</v>
      </c>
      <c r="B16" s="292">
        <v>0.78229174000000001</v>
      </c>
      <c r="C16" s="248">
        <v>2.4690675999999998</v>
      </c>
      <c r="D16" s="293">
        <v>4.605365795</v>
      </c>
      <c r="E16" s="292">
        <v>6.2322597924999998</v>
      </c>
      <c r="F16" s="404">
        <f t="shared" si="1"/>
        <v>-0.26104399554361157</v>
      </c>
      <c r="G16" s="292">
        <v>25.625671309999998</v>
      </c>
      <c r="H16" s="248">
        <v>37.850314109999999</v>
      </c>
      <c r="I16" s="404">
        <f t="shared" si="0"/>
        <v>-0.32297335140926264</v>
      </c>
      <c r="J16" s="292">
        <v>25.804943254999998</v>
      </c>
      <c r="K16" s="404">
        <f t="shared" si="2"/>
        <v>0.46678540371004607</v>
      </c>
      <c r="L16" s="22"/>
    </row>
    <row r="17" spans="1:12" ht="11.25" customHeight="1">
      <c r="A17" s="140" t="s">
        <v>30</v>
      </c>
      <c r="B17" s="290">
        <v>58.921325104999994</v>
      </c>
      <c r="C17" s="247">
        <v>55.064190197499997</v>
      </c>
      <c r="D17" s="291">
        <v>61.040101507499998</v>
      </c>
      <c r="E17" s="290">
        <v>57.339797814999997</v>
      </c>
      <c r="F17" s="253">
        <f t="shared" si="1"/>
        <v>6.4532904431204852E-2</v>
      </c>
      <c r="G17" s="290">
        <v>411.66914550499996</v>
      </c>
      <c r="H17" s="247">
        <v>398.70179571499995</v>
      </c>
      <c r="I17" s="253">
        <f>IF(H17=0,"",G17/H17-1)</f>
        <v>3.2523931242259385E-2</v>
      </c>
      <c r="J17" s="290">
        <v>380.15961603249997</v>
      </c>
      <c r="K17" s="253">
        <f t="shared" si="2"/>
        <v>4.8774722249600444E-2</v>
      </c>
      <c r="L17" s="22"/>
    </row>
    <row r="18" spans="1:12" ht="11.25" customHeight="1">
      <c r="A18" s="141" t="s">
        <v>29</v>
      </c>
      <c r="B18" s="292">
        <v>130.50410392499998</v>
      </c>
      <c r="C18" s="248">
        <v>161.8844647825</v>
      </c>
      <c r="D18" s="293">
        <v>169.46536025500001</v>
      </c>
      <c r="E18" s="292">
        <v>157.13154374249999</v>
      </c>
      <c r="F18" s="404">
        <f t="shared" si="1"/>
        <v>7.8493574356477414E-2</v>
      </c>
      <c r="G18" s="292">
        <v>970.46055232249989</v>
      </c>
      <c r="H18" s="248">
        <v>952.25199118749993</v>
      </c>
      <c r="I18" s="404">
        <f>IF(H18=0,"",G18/H18-1)</f>
        <v>1.9121578430403741E-2</v>
      </c>
      <c r="J18" s="292">
        <v>788.91402797000001</v>
      </c>
      <c r="K18" s="404">
        <f t="shared" si="2"/>
        <v>0.20704152471188042</v>
      </c>
      <c r="L18" s="22"/>
    </row>
    <row r="19" spans="1:12" ht="11.25" customHeight="1">
      <c r="A19" s="146" t="s">
        <v>42</v>
      </c>
      <c r="B19" s="294">
        <f>SUM(B6:B18)</f>
        <v>3344.7199724499997</v>
      </c>
      <c r="C19" s="295">
        <f>SUM(C6:C18)</f>
        <v>3756.7117709450013</v>
      </c>
      <c r="D19" s="739">
        <f>SUM(D6:D18)</f>
        <v>4139.424709554999</v>
      </c>
      <c r="E19" s="294">
        <f>SUM(E6:E18)</f>
        <v>4397.9416627724977</v>
      </c>
      <c r="F19" s="405">
        <f>IF(E19=0,"",D19/E19-1)</f>
        <v>-5.8781351150194117E-2</v>
      </c>
      <c r="G19" s="294">
        <f>SUM(G6:G18)</f>
        <v>27283.130827644996</v>
      </c>
      <c r="H19" s="295">
        <f>SUM(H6:H18)</f>
        <v>30746.084826495004</v>
      </c>
      <c r="I19" s="405">
        <f>IF(H19=0,"",G19/H19-1)</f>
        <v>-0.11263073065699269</v>
      </c>
      <c r="J19" s="294">
        <f>SUM(J6:J18)</f>
        <v>29321.469206905</v>
      </c>
      <c r="K19" s="405">
        <f t="shared" si="2"/>
        <v>4.8586092652359802E-2</v>
      </c>
      <c r="L19" s="30"/>
    </row>
    <row r="20" spans="1:12" ht="11.25" customHeight="1">
      <c r="A20" s="22"/>
      <c r="B20" s="22"/>
      <c r="C20" s="22"/>
      <c r="D20" s="22"/>
      <c r="E20" s="22"/>
      <c r="F20" s="22"/>
      <c r="G20" s="22"/>
      <c r="H20" s="22"/>
      <c r="I20" s="22"/>
      <c r="J20" s="22"/>
      <c r="K20" s="22"/>
      <c r="L20" s="22"/>
    </row>
    <row r="21" spans="1:12" ht="11.25" customHeight="1">
      <c r="A21" s="142" t="s">
        <v>39</v>
      </c>
      <c r="B21" s="235">
        <v>4.0240467399999975</v>
      </c>
      <c r="C21" s="236">
        <v>16.997148410000005</v>
      </c>
      <c r="D21" s="345">
        <v>11.404668589999995</v>
      </c>
      <c r="E21" s="696">
        <v>8.3070756200000098</v>
      </c>
      <c r="F21" s="120">
        <f>IF(E21=0,"",D21/E21-1)</f>
        <v>0.37288609273548201</v>
      </c>
      <c r="G21" s="235">
        <v>34.021143199999997</v>
      </c>
      <c r="H21" s="344">
        <v>38.304252080000019</v>
      </c>
      <c r="I21" s="123">
        <f>IF(H21=0,"",G21/H21-1)</f>
        <v>-0.11181810497316513</v>
      </c>
      <c r="J21" s="235">
        <v>7.5429587299999996</v>
      </c>
      <c r="K21" s="120">
        <f>IF(J21=0,"",H21/J21-1)</f>
        <v>4.0781468454355467</v>
      </c>
      <c r="L21" s="22"/>
    </row>
    <row r="22" spans="1:12" ht="11.25" customHeight="1">
      <c r="A22" s="143" t="s">
        <v>40</v>
      </c>
      <c r="B22" s="232">
        <v>0</v>
      </c>
      <c r="C22" s="233">
        <v>0</v>
      </c>
      <c r="D22" s="234">
        <v>0</v>
      </c>
      <c r="E22" s="697">
        <v>0</v>
      </c>
      <c r="F22" s="695" t="str">
        <f>IF(E22=0,"",D22/E22-1)</f>
        <v/>
      </c>
      <c r="G22" s="232">
        <v>0</v>
      </c>
      <c r="H22" s="233">
        <v>0</v>
      </c>
      <c r="I22" s="115" t="str">
        <f>IF(H22=0,"",G22/H22-1)</f>
        <v/>
      </c>
      <c r="J22" s="232">
        <v>0</v>
      </c>
      <c r="K22" s="121" t="str">
        <f>IF(J22=0,"",H22/J22-1)</f>
        <v/>
      </c>
      <c r="L22" s="22"/>
    </row>
    <row r="23" spans="1:12" ht="23.25" customHeight="1">
      <c r="A23" s="144" t="s">
        <v>41</v>
      </c>
      <c r="B23" s="245">
        <f>+B22-B21</f>
        <v>-4.0240467399999975</v>
      </c>
      <c r="C23" s="246">
        <f>+C22-C21</f>
        <v>-16.997148410000005</v>
      </c>
      <c r="D23" s="406">
        <f>+D22-D21</f>
        <v>-11.404668589999995</v>
      </c>
      <c r="E23" s="698">
        <f>+E22-E21</f>
        <v>-8.3070756200000098</v>
      </c>
      <c r="F23" s="246"/>
      <c r="G23" s="245">
        <f>+G22-G21</f>
        <v>-34.021143199999997</v>
      </c>
      <c r="H23" s="246">
        <f>+H22-H21</f>
        <v>-38.304252080000019</v>
      </c>
      <c r="I23" s="124"/>
      <c r="J23" s="245">
        <f>+J22-J21</f>
        <v>-7.5429587299999996</v>
      </c>
      <c r="K23" s="122"/>
      <c r="L23" s="30"/>
    </row>
    <row r="24" spans="1:12" ht="11.25" customHeight="1">
      <c r="A24" s="230" t="s">
        <v>222</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0" t="str">
        <f>"Gráfico N° 5: Comparación de la producción de energía eléctrica (GWh) por tipo de recurso energético acumulado a "&amp;'1. Resumen'!Q4&amp;"."</f>
        <v>Gráfico N° 5: Comparación de la producción de energía eléctrica (GWh) por tipo de recurso energético acumulado a julio.</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 Julio 2020
INFSGI-MES-07-2020
13/08/2020
Versión: 01</oddHeader>
    <oddFooter>&amp;L&amp;7COES, 2020&amp;C4&amp;R&amp;7Dirección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45" workbookViewId="0">
      <selection activeCell="N42" sqref="N42"/>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558"/>
  </cols>
  <sheetData>
    <row r="1" spans="1:12" ht="11.25" customHeight="1"/>
    <row r="2" spans="1:12" ht="11.25" customHeight="1">
      <c r="A2" s="930" t="s">
        <v>230</v>
      </c>
      <c r="B2" s="930"/>
      <c r="C2" s="930"/>
      <c r="D2" s="930"/>
      <c r="E2" s="930"/>
      <c r="F2" s="930"/>
      <c r="G2" s="930"/>
      <c r="H2" s="930"/>
      <c r="I2" s="930"/>
      <c r="J2" s="930"/>
      <c r="K2" s="930"/>
      <c r="L2" s="559"/>
    </row>
    <row r="3" spans="1:12" ht="11.25" customHeight="1">
      <c r="A3" s="74"/>
      <c r="B3" s="73"/>
      <c r="C3" s="73"/>
      <c r="D3" s="73"/>
      <c r="E3" s="73"/>
      <c r="F3" s="73"/>
      <c r="G3" s="73"/>
      <c r="H3" s="73"/>
      <c r="I3" s="73"/>
      <c r="J3" s="73"/>
      <c r="K3" s="73"/>
      <c r="L3" s="559"/>
    </row>
    <row r="4" spans="1:12" ht="15.75" customHeight="1">
      <c r="A4" s="928" t="s">
        <v>226</v>
      </c>
      <c r="B4" s="925" t="s">
        <v>33</v>
      </c>
      <c r="C4" s="926"/>
      <c r="D4" s="926"/>
      <c r="E4" s="926" t="s">
        <v>34</v>
      </c>
      <c r="F4" s="926"/>
      <c r="G4" s="927" t="str">
        <f>+'4. Tipo Recurso'!G4:K4</f>
        <v>Generación Acumulada a julio</v>
      </c>
      <c r="H4" s="927"/>
      <c r="I4" s="927"/>
      <c r="J4" s="927"/>
      <c r="K4" s="927"/>
      <c r="L4" s="560"/>
    </row>
    <row r="5" spans="1:12" ht="29.25" customHeight="1">
      <c r="A5" s="928"/>
      <c r="B5" s="475">
        <f>+'4. Tipo Recurso'!B5</f>
        <v>43955</v>
      </c>
      <c r="C5" s="475">
        <f>+'4. Tipo Recurso'!C5</f>
        <v>43985</v>
      </c>
      <c r="D5" s="475">
        <f>+'4. Tipo Recurso'!D5</f>
        <v>44013</v>
      </c>
      <c r="E5" s="475">
        <f>+'4. Tipo Recurso'!E5</f>
        <v>43648</v>
      </c>
      <c r="F5" s="475" t="s">
        <v>35</v>
      </c>
      <c r="G5" s="477">
        <v>2020</v>
      </c>
      <c r="H5" s="477">
        <v>2019</v>
      </c>
      <c r="I5" s="476" t="s">
        <v>476</v>
      </c>
      <c r="J5" s="477">
        <v>2018</v>
      </c>
      <c r="K5" s="476" t="s">
        <v>423</v>
      </c>
      <c r="L5" s="561"/>
    </row>
    <row r="6" spans="1:12" ht="11.25" customHeight="1">
      <c r="A6" s="139" t="s">
        <v>44</v>
      </c>
      <c r="B6" s="287">
        <v>205.34114510749998</v>
      </c>
      <c r="C6" s="288">
        <v>143.43081614249999</v>
      </c>
      <c r="D6" s="289">
        <v>126.10076339999996</v>
      </c>
      <c r="E6" s="287">
        <v>121.25612798000002</v>
      </c>
      <c r="F6" s="252">
        <f t="shared" ref="F6:F11" si="0">IF(E6=0,"",D6/E6-1)</f>
        <v>3.9953736777732285E-2</v>
      </c>
      <c r="G6" s="287">
        <v>1396.4754959024999</v>
      </c>
      <c r="H6" s="288">
        <v>1079.5675434675002</v>
      </c>
      <c r="I6" s="256">
        <f t="shared" ref="I6:I11" si="1">IF(H6=0,"",G6/H6-1)</f>
        <v>0.29355083371357393</v>
      </c>
      <c r="J6" s="287">
        <v>741.27550776999999</v>
      </c>
      <c r="K6" s="252">
        <f t="shared" ref="K6:K11" si="2">IF(J6=0,"",H6/J6-1)</f>
        <v>0.45636478225915433</v>
      </c>
      <c r="L6" s="562"/>
    </row>
    <row r="7" spans="1:12" ht="11.25" customHeight="1">
      <c r="A7" s="140" t="s">
        <v>38</v>
      </c>
      <c r="B7" s="290">
        <v>130.50410392499998</v>
      </c>
      <c r="C7" s="247">
        <v>161.8844647825</v>
      </c>
      <c r="D7" s="291">
        <v>169.46536025500001</v>
      </c>
      <c r="E7" s="290">
        <v>157.13154374249999</v>
      </c>
      <c r="F7" s="253">
        <f t="shared" si="0"/>
        <v>7.8493574356477414E-2</v>
      </c>
      <c r="G7" s="290">
        <v>970.46055232249989</v>
      </c>
      <c r="H7" s="247">
        <v>952.25199118749993</v>
      </c>
      <c r="I7" s="242">
        <f t="shared" si="1"/>
        <v>1.9121578430403741E-2</v>
      </c>
      <c r="J7" s="290">
        <v>788.91402797000001</v>
      </c>
      <c r="K7" s="253">
        <f t="shared" si="2"/>
        <v>0.20704152471188042</v>
      </c>
      <c r="L7" s="562"/>
    </row>
    <row r="8" spans="1:12" ht="11.25" customHeight="1">
      <c r="A8" s="250" t="s">
        <v>30</v>
      </c>
      <c r="B8" s="417">
        <v>58.921325104999994</v>
      </c>
      <c r="C8" s="296">
        <v>55.064190197499997</v>
      </c>
      <c r="D8" s="418">
        <v>61.040101507499998</v>
      </c>
      <c r="E8" s="417">
        <v>57.339797814999997</v>
      </c>
      <c r="F8" s="254">
        <f t="shared" si="0"/>
        <v>6.4532904431204852E-2</v>
      </c>
      <c r="G8" s="417">
        <v>411.66914550499996</v>
      </c>
      <c r="H8" s="296">
        <v>398.70179571499995</v>
      </c>
      <c r="I8" s="249">
        <f t="shared" si="1"/>
        <v>3.2523931242259385E-2</v>
      </c>
      <c r="J8" s="417">
        <v>380.15961603249997</v>
      </c>
      <c r="K8" s="254">
        <f t="shared" si="2"/>
        <v>4.8774722249600444E-2</v>
      </c>
      <c r="L8" s="562"/>
    </row>
    <row r="9" spans="1:12" ht="11.25" customHeight="1">
      <c r="A9" s="140" t="s">
        <v>48</v>
      </c>
      <c r="B9" s="290">
        <v>18.817505542500001</v>
      </c>
      <c r="C9" s="247">
        <v>19.396027994999997</v>
      </c>
      <c r="D9" s="291">
        <v>9.6006175975000012</v>
      </c>
      <c r="E9" s="290">
        <v>19.2527546725</v>
      </c>
      <c r="F9" s="253">
        <f t="shared" si="0"/>
        <v>-0.5013379767824494</v>
      </c>
      <c r="G9" s="290">
        <v>115.9836123</v>
      </c>
      <c r="H9" s="247">
        <v>95.716811860000007</v>
      </c>
      <c r="I9" s="242">
        <f t="shared" si="1"/>
        <v>0.21173710287847025</v>
      </c>
      <c r="J9" s="290">
        <v>50.502784532499994</v>
      </c>
      <c r="K9" s="253">
        <f t="shared" si="2"/>
        <v>0.89527790885279779</v>
      </c>
      <c r="L9" s="563"/>
    </row>
    <row r="10" spans="1:12" ht="11.25" customHeight="1">
      <c r="A10" s="251" t="s">
        <v>49</v>
      </c>
      <c r="B10" s="419">
        <v>0.78229174000000001</v>
      </c>
      <c r="C10" s="420">
        <v>2.4690675999999998</v>
      </c>
      <c r="D10" s="421">
        <v>4.605365795</v>
      </c>
      <c r="E10" s="419">
        <v>6.2322597924999998</v>
      </c>
      <c r="F10" s="255">
        <f t="shared" si="0"/>
        <v>-0.26104399554361157</v>
      </c>
      <c r="G10" s="419">
        <v>25.625671309999998</v>
      </c>
      <c r="H10" s="420">
        <v>37.850314109999999</v>
      </c>
      <c r="I10" s="257">
        <f t="shared" si="1"/>
        <v>-0.32297335140926264</v>
      </c>
      <c r="J10" s="419">
        <v>25.804943254999998</v>
      </c>
      <c r="K10" s="255">
        <f t="shared" si="2"/>
        <v>0.46678540371004607</v>
      </c>
      <c r="L10" s="562"/>
    </row>
    <row r="11" spans="1:12" ht="11.25" customHeight="1">
      <c r="A11" s="258" t="s">
        <v>223</v>
      </c>
      <c r="B11" s="357">
        <f>+B6+B7+B8+B9+B10</f>
        <v>414.36637141999995</v>
      </c>
      <c r="C11" s="358">
        <f t="shared" ref="C11:D11" si="3">+C6+C7+C8+C9+C10</f>
        <v>382.24456671750005</v>
      </c>
      <c r="D11" s="359">
        <f t="shared" si="3"/>
        <v>370.81220855499998</v>
      </c>
      <c r="E11" s="360">
        <f>+E6+E7+E8+E9+E10</f>
        <v>361.21248400249993</v>
      </c>
      <c r="F11" s="259">
        <f t="shared" si="0"/>
        <v>2.6576391951153022E-2</v>
      </c>
      <c r="G11" s="415">
        <f>+G6+G7+G8+G9+G10</f>
        <v>2920.21447734</v>
      </c>
      <c r="H11" s="416">
        <f>+H6+H7+H8+H9+H10</f>
        <v>2564.0884563400004</v>
      </c>
      <c r="I11" s="260">
        <f t="shared" si="1"/>
        <v>0.13888991236610315</v>
      </c>
      <c r="J11" s="415">
        <f>+J6+J7+J8+J9+J10</f>
        <v>1986.6568795599999</v>
      </c>
      <c r="K11" s="259">
        <f t="shared" si="2"/>
        <v>0.29065491012614553</v>
      </c>
      <c r="L11" s="560"/>
    </row>
    <row r="12" spans="1:12" ht="24.75" customHeight="1">
      <c r="A12" s="261" t="s">
        <v>224</v>
      </c>
      <c r="B12" s="262">
        <f>B11/'4. Tipo Recurso'!B19</f>
        <v>0.12388671543001477</v>
      </c>
      <c r="C12" s="729">
        <f>C11/'4. Tipo Recurso'!C19</f>
        <v>0.10174977214750398</v>
      </c>
      <c r="D12" s="566">
        <f>D11/'4. Tipo Recurso'!D19</f>
        <v>8.9580614354225915E-2</v>
      </c>
      <c r="E12" s="262">
        <f>E11/'4. Tipo Recurso'!E19</f>
        <v>8.2132168114023754E-2</v>
      </c>
      <c r="F12" s="263"/>
      <c r="G12" s="262">
        <f>G11/'4. Tipo Recurso'!G19</f>
        <v>0.10703370136615896</v>
      </c>
      <c r="H12" s="260">
        <f>H11/'4. Tipo Recurso'!H19</f>
        <v>8.3395608605438876E-2</v>
      </c>
      <c r="I12" s="260"/>
      <c r="J12" s="262">
        <f>J11/'4. Tipo Recurso'!J19</f>
        <v>6.7754342919902399E-2</v>
      </c>
      <c r="K12" s="263"/>
      <c r="L12" s="560"/>
    </row>
    <row r="13" spans="1:12" ht="11.25" customHeight="1">
      <c r="A13" s="264" t="s">
        <v>225</v>
      </c>
      <c r="B13" s="134"/>
      <c r="C13" s="134"/>
      <c r="D13" s="134"/>
      <c r="E13" s="134"/>
      <c r="F13" s="134"/>
      <c r="G13" s="134"/>
      <c r="H13" s="134"/>
      <c r="I13" s="134"/>
      <c r="J13" s="134"/>
      <c r="K13" s="135"/>
      <c r="L13" s="560"/>
    </row>
    <row r="14" spans="1:12" ht="35.25" customHeight="1">
      <c r="A14" s="931" t="s">
        <v>462</v>
      </c>
      <c r="B14" s="931"/>
      <c r="C14" s="931"/>
      <c r="D14" s="931"/>
      <c r="E14" s="931"/>
      <c r="F14" s="931"/>
      <c r="G14" s="931"/>
      <c r="H14" s="931"/>
      <c r="I14" s="931"/>
      <c r="J14" s="931"/>
      <c r="K14" s="931"/>
      <c r="L14" s="560"/>
    </row>
    <row r="15" spans="1:12" ht="11.25" customHeight="1">
      <c r="A15" s="31"/>
      <c r="L15" s="560"/>
    </row>
    <row r="16" spans="1:12" ht="11.25" customHeight="1">
      <c r="A16" s="136"/>
      <c r="B16" s="147"/>
      <c r="C16" s="147"/>
      <c r="D16" s="147"/>
      <c r="E16" s="147"/>
      <c r="F16" s="147"/>
      <c r="G16" s="147"/>
      <c r="H16" s="147"/>
      <c r="I16" s="147"/>
      <c r="J16" s="147"/>
      <c r="K16" s="147"/>
      <c r="L16" s="560"/>
    </row>
    <row r="17" spans="1:12" ht="11.25" customHeight="1">
      <c r="A17" s="147"/>
      <c r="B17" s="147"/>
      <c r="C17" s="147"/>
      <c r="D17" s="147"/>
      <c r="E17" s="147"/>
      <c r="F17" s="147"/>
      <c r="G17" s="147"/>
      <c r="H17" s="147"/>
      <c r="I17" s="147"/>
      <c r="J17" s="147"/>
      <c r="K17" s="147"/>
      <c r="L17" s="560"/>
    </row>
    <row r="18" spans="1:12" ht="11.25" customHeight="1">
      <c r="A18" s="147"/>
      <c r="B18" s="147"/>
      <c r="C18" s="147"/>
      <c r="D18" s="147"/>
      <c r="E18" s="147"/>
      <c r="F18" s="147"/>
      <c r="G18" s="147"/>
      <c r="H18" s="147"/>
      <c r="I18" s="147"/>
      <c r="J18" s="147"/>
      <c r="K18" s="147"/>
      <c r="L18" s="564"/>
    </row>
    <row r="19" spans="1:12" ht="11.25" customHeight="1">
      <c r="A19" s="136"/>
      <c r="B19" s="138"/>
      <c r="C19" s="138"/>
      <c r="D19" s="138"/>
      <c r="E19" s="138"/>
      <c r="F19" s="138"/>
      <c r="G19" s="138"/>
      <c r="H19" s="138"/>
      <c r="I19" s="138"/>
      <c r="J19" s="138"/>
      <c r="K19" s="138"/>
      <c r="L19" s="560"/>
    </row>
    <row r="20" spans="1:12" ht="11.25" customHeight="1">
      <c r="A20" s="136"/>
      <c r="B20" s="138"/>
      <c r="C20" s="138"/>
      <c r="D20" s="138"/>
      <c r="E20" s="138"/>
      <c r="F20" s="138"/>
      <c r="G20" s="138"/>
      <c r="H20" s="138"/>
      <c r="I20" s="138"/>
      <c r="J20" s="138"/>
      <c r="K20" s="138"/>
      <c r="L20" s="560"/>
    </row>
    <row r="21" spans="1:12" ht="11.25" customHeight="1">
      <c r="A21" s="136"/>
      <c r="B21" s="138"/>
      <c r="C21" s="138"/>
      <c r="D21" s="138"/>
      <c r="E21" s="138"/>
      <c r="F21" s="138"/>
      <c r="G21" s="138"/>
      <c r="H21" s="138"/>
      <c r="I21" s="138"/>
      <c r="J21" s="138"/>
      <c r="K21" s="138"/>
      <c r="L21" s="560"/>
    </row>
    <row r="22" spans="1:12" ht="11.25" customHeight="1">
      <c r="A22" s="136"/>
      <c r="B22" s="138"/>
      <c r="C22" s="138"/>
      <c r="D22" s="138"/>
      <c r="E22" s="138"/>
      <c r="F22" s="138"/>
      <c r="G22" s="138"/>
      <c r="H22" s="138"/>
      <c r="I22" s="138"/>
      <c r="J22" s="138"/>
      <c r="K22" s="138"/>
      <c r="L22" s="564"/>
    </row>
    <row r="23" spans="1:12" ht="11.25" customHeight="1">
      <c r="A23" s="136"/>
      <c r="B23" s="138"/>
      <c r="C23" s="138"/>
      <c r="D23" s="138"/>
      <c r="E23" s="138"/>
      <c r="F23" s="138"/>
      <c r="G23" s="138"/>
      <c r="H23" s="138"/>
      <c r="I23" s="138"/>
      <c r="J23" s="138"/>
      <c r="K23" s="138"/>
      <c r="L23" s="560"/>
    </row>
    <row r="24" spans="1:12" ht="11.25" customHeight="1">
      <c r="A24" s="136"/>
      <c r="B24" s="138"/>
      <c r="C24" s="138"/>
      <c r="D24" s="138"/>
      <c r="E24" s="138"/>
      <c r="F24" s="138"/>
      <c r="G24" s="138"/>
      <c r="H24" s="138"/>
      <c r="I24" s="138"/>
      <c r="J24" s="138"/>
      <c r="K24" s="138"/>
      <c r="L24" s="560"/>
    </row>
    <row r="25" spans="1:12" ht="11.25" customHeight="1">
      <c r="A25" s="136"/>
      <c r="B25" s="138"/>
      <c r="C25" s="138"/>
      <c r="D25" s="138"/>
      <c r="E25" s="138"/>
      <c r="F25" s="138"/>
      <c r="G25" s="138"/>
      <c r="H25" s="138"/>
      <c r="I25" s="138"/>
      <c r="J25" s="138"/>
      <c r="K25" s="138"/>
      <c r="L25" s="560"/>
    </row>
    <row r="26" spans="1:12" ht="11.25" customHeight="1">
      <c r="A26" s="136"/>
      <c r="B26" s="138"/>
      <c r="C26" s="138"/>
      <c r="D26" s="138"/>
      <c r="E26" s="138"/>
      <c r="F26" s="138"/>
      <c r="G26" s="138"/>
      <c r="H26" s="138"/>
      <c r="I26" s="138"/>
      <c r="J26" s="138"/>
      <c r="K26" s="138"/>
      <c r="L26" s="560"/>
    </row>
    <row r="27" spans="1:12" ht="11.25" customHeight="1">
      <c r="A27" s="136"/>
      <c r="B27" s="138"/>
      <c r="C27" s="138"/>
      <c r="D27" s="138"/>
      <c r="E27" s="138"/>
      <c r="F27" s="138"/>
      <c r="G27" s="138"/>
      <c r="H27" s="138"/>
      <c r="I27" s="138"/>
      <c r="J27" s="138"/>
      <c r="K27" s="138"/>
      <c r="L27" s="560"/>
    </row>
    <row r="28" spans="1:12" ht="11.25" customHeight="1">
      <c r="A28" s="136"/>
      <c r="B28" s="138"/>
      <c r="C28" s="138"/>
      <c r="D28" s="138"/>
      <c r="E28" s="138"/>
      <c r="F28" s="138"/>
      <c r="G28" s="138"/>
      <c r="H28" s="138"/>
      <c r="I28" s="138"/>
      <c r="J28" s="138"/>
      <c r="K28" s="138"/>
      <c r="L28" s="560"/>
    </row>
    <row r="29" spans="1:12" ht="11.25" customHeight="1">
      <c r="A29" s="136"/>
      <c r="B29" s="138"/>
      <c r="C29" s="138"/>
      <c r="D29" s="138"/>
      <c r="E29" s="138"/>
      <c r="F29" s="138"/>
      <c r="G29" s="138"/>
      <c r="H29" s="138"/>
      <c r="I29" s="138"/>
      <c r="J29" s="138"/>
      <c r="K29" s="138"/>
      <c r="L29" s="560"/>
    </row>
    <row r="30" spans="1:12" ht="11.25" customHeight="1">
      <c r="A30" s="136"/>
      <c r="B30" s="138"/>
      <c r="C30" s="138"/>
      <c r="D30" s="138"/>
      <c r="E30" s="138"/>
      <c r="F30" s="138"/>
      <c r="G30" s="138"/>
      <c r="H30" s="138"/>
      <c r="I30" s="138"/>
      <c r="J30" s="138"/>
      <c r="K30" s="138"/>
      <c r="L30" s="560"/>
    </row>
    <row r="31" spans="1:12" ht="11.25" customHeight="1">
      <c r="A31" s="136"/>
      <c r="B31" s="138"/>
      <c r="C31" s="138"/>
      <c r="D31" s="138"/>
      <c r="E31" s="138"/>
      <c r="F31" s="138"/>
      <c r="G31" s="138"/>
      <c r="H31" s="138"/>
      <c r="I31" s="138"/>
      <c r="J31" s="138"/>
      <c r="K31" s="138"/>
      <c r="L31" s="560"/>
    </row>
    <row r="32" spans="1:12" ht="11.25" customHeight="1">
      <c r="A32" s="136"/>
      <c r="B32" s="138"/>
      <c r="C32" s="138"/>
      <c r="D32" s="138"/>
      <c r="E32" s="138"/>
      <c r="F32" s="138"/>
      <c r="G32" s="138"/>
      <c r="H32" s="138"/>
      <c r="I32" s="138"/>
      <c r="J32" s="138"/>
      <c r="K32" s="138"/>
      <c r="L32" s="560"/>
    </row>
    <row r="33" spans="1:16" ht="11.25" customHeight="1">
      <c r="A33" s="136"/>
      <c r="B33" s="138"/>
      <c r="C33" s="138"/>
      <c r="D33" s="138"/>
      <c r="E33" s="138"/>
      <c r="F33" s="138"/>
      <c r="G33" s="138"/>
      <c r="H33" s="138"/>
      <c r="I33" s="138"/>
      <c r="J33" s="138"/>
      <c r="K33" s="138"/>
      <c r="L33" s="560"/>
    </row>
    <row r="34" spans="1:16" ht="11.25" customHeight="1">
      <c r="A34" s="929" t="str">
        <f>"Gráfico N° 6: Comparación de la producción de energía eléctrica acumulada (GWh) con recursos energéticos renovables en "&amp;'1. Resumen'!Q4&amp;"."</f>
        <v>Gráfico N° 6: Comparación de la producción de energía eléctrica acumulada (GWh) con recursos energéticos renovables en julio.</v>
      </c>
      <c r="B34" s="929"/>
      <c r="C34" s="929"/>
      <c r="D34" s="929"/>
      <c r="E34" s="929"/>
      <c r="F34" s="929"/>
      <c r="G34" s="929"/>
      <c r="H34" s="929"/>
      <c r="I34" s="929"/>
      <c r="J34" s="929"/>
      <c r="K34" s="929"/>
      <c r="L34" s="841"/>
      <c r="M34" s="286"/>
      <c r="N34" s="286"/>
      <c r="O34" s="286"/>
    </row>
    <row r="35" spans="1:16" ht="11.25" customHeight="1">
      <c r="L35" s="842"/>
      <c r="M35" s="286"/>
      <c r="N35" s="286"/>
      <c r="O35" s="286"/>
    </row>
    <row r="36" spans="1:16" ht="11.25" customHeight="1">
      <c r="A36" s="136"/>
      <c r="B36" s="138"/>
      <c r="C36" s="138"/>
      <c r="D36" s="138"/>
      <c r="E36" s="138"/>
      <c r="F36" s="138"/>
      <c r="G36" s="138"/>
      <c r="H36" s="138"/>
      <c r="I36" s="138"/>
      <c r="J36" s="138"/>
      <c r="K36" s="138"/>
      <c r="L36" s="841"/>
      <c r="M36" s="286"/>
      <c r="N36" s="286"/>
      <c r="O36" s="286"/>
    </row>
    <row r="37" spans="1:16" ht="11.25" customHeight="1">
      <c r="A37" s="136"/>
      <c r="B37" s="138"/>
      <c r="C37" s="138"/>
      <c r="D37" s="138"/>
      <c r="E37" s="138"/>
      <c r="F37" s="138"/>
      <c r="G37" s="138"/>
      <c r="H37" s="138"/>
      <c r="I37" s="138"/>
      <c r="J37" s="138"/>
      <c r="K37" s="138"/>
      <c r="L37" s="841"/>
      <c r="M37" s="286"/>
      <c r="N37" s="286"/>
      <c r="O37" s="286"/>
    </row>
    <row r="38" spans="1:16" ht="11.25" customHeight="1">
      <c r="A38" s="136"/>
      <c r="B38" s="138"/>
      <c r="C38" s="138"/>
      <c r="D38" s="138"/>
      <c r="E38" s="138"/>
      <c r="F38" s="138"/>
      <c r="G38" s="138"/>
      <c r="H38" s="138"/>
      <c r="I38" s="138"/>
      <c r="J38" s="138"/>
      <c r="K38" s="138"/>
      <c r="L38" s="841"/>
      <c r="M38" s="286"/>
      <c r="N38" s="286"/>
      <c r="O38" s="286"/>
    </row>
    <row r="39" spans="1:16" ht="11.25" customHeight="1">
      <c r="A39" s="136"/>
      <c r="B39" s="138"/>
      <c r="C39" s="265" t="s">
        <v>228</v>
      </c>
      <c r="D39" s="158"/>
      <c r="E39" s="158"/>
      <c r="F39" s="414">
        <f>+'4. Tipo Recurso'!D19</f>
        <v>4139.424709554999</v>
      </c>
      <c r="G39" s="265" t="s">
        <v>227</v>
      </c>
      <c r="H39" s="138"/>
      <c r="I39" s="138"/>
      <c r="J39" s="138"/>
      <c r="K39" s="138"/>
      <c r="L39" s="841"/>
      <c r="M39" s="843">
        <f>+F39-F40</f>
        <v>3768.6147095549991</v>
      </c>
      <c r="N39" s="286"/>
      <c r="O39" s="286"/>
      <c r="P39" s="565"/>
    </row>
    <row r="40" spans="1:16" ht="11.25" customHeight="1">
      <c r="A40" s="136"/>
      <c r="B40" s="138"/>
      <c r="C40" s="265" t="s">
        <v>229</v>
      </c>
      <c r="D40" s="158"/>
      <c r="E40" s="158"/>
      <c r="F40" s="414">
        <f>ROUND(D11,2)</f>
        <v>370.81</v>
      </c>
      <c r="G40" s="265" t="s">
        <v>227</v>
      </c>
      <c r="H40" s="138"/>
      <c r="I40" s="138"/>
      <c r="J40" s="138"/>
      <c r="K40" s="138"/>
      <c r="L40" s="841"/>
      <c r="M40" s="844"/>
      <c r="N40" s="286"/>
      <c r="O40" s="286"/>
      <c r="P40" s="565"/>
    </row>
    <row r="41" spans="1:16" ht="11.25" customHeight="1">
      <c r="A41" s="136"/>
      <c r="B41" s="138"/>
      <c r="C41" s="138"/>
      <c r="D41" s="138"/>
      <c r="E41" s="138"/>
      <c r="F41" s="138"/>
      <c r="G41" s="138"/>
      <c r="H41" s="138"/>
      <c r="I41" s="138"/>
      <c r="J41" s="138"/>
      <c r="K41" s="138"/>
      <c r="L41" s="841"/>
      <c r="M41" s="286"/>
      <c r="N41" s="286"/>
      <c r="O41" s="286"/>
      <c r="P41" s="565"/>
    </row>
    <row r="42" spans="1:16" ht="11.25" customHeight="1">
      <c r="A42" s="136"/>
      <c r="B42" s="138"/>
      <c r="C42" s="138"/>
      <c r="D42" s="138"/>
      <c r="E42" s="138"/>
      <c r="F42" s="138"/>
      <c r="G42" s="138"/>
      <c r="H42" s="138"/>
      <c r="I42" s="138"/>
      <c r="J42" s="138"/>
      <c r="K42" s="138"/>
      <c r="L42" s="841"/>
      <c r="M42" s="286"/>
      <c r="N42" s="286"/>
      <c r="O42" s="286"/>
      <c r="P42" s="565"/>
    </row>
    <row r="43" spans="1:16" ht="11.25" customHeight="1">
      <c r="A43" s="136"/>
      <c r="B43" s="138"/>
      <c r="C43" s="138"/>
      <c r="D43" s="138"/>
      <c r="E43" s="138"/>
      <c r="F43" s="138"/>
      <c r="G43" s="138"/>
      <c r="H43" s="138"/>
      <c r="I43" s="138"/>
      <c r="J43" s="138"/>
      <c r="K43" s="138"/>
      <c r="L43" s="560"/>
      <c r="P43" s="565"/>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0" t="str">
        <f>"Gráfico N° 7: Participación de las RER en la Matriz de Generación del SEIN en "&amp;'1. Resumen'!Q4&amp;" "&amp;'1. Resumen'!Q5&amp;"."</f>
        <v>Gráfico N° 7: Participación de las RER en la Matriz de Generación del SEIN en julio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Normal="100" zoomScaleSheetLayoutView="100" zoomScalePageLayoutView="160" workbookViewId="0">
      <selection activeCell="M17" sqref="M17"/>
    </sheetView>
  </sheetViews>
  <sheetFormatPr baseColWidth="10" defaultColWidth="9.28515625" defaultRowHeight="10.199999999999999"/>
  <cols>
    <col min="1" max="11" width="10.28515625" customWidth="1"/>
    <col min="12" max="12" width="21.140625" style="715" bestFit="1" customWidth="1"/>
    <col min="13" max="14" width="9.28515625" style="715"/>
    <col min="15" max="15" width="11.85546875" style="715" customWidth="1"/>
    <col min="16" max="17" width="9.28515625" style="715"/>
    <col min="18" max="18" width="9.28515625" style="731"/>
    <col min="19" max="19" width="9.28515625" style="754"/>
    <col min="20" max="20" width="15" style="754" customWidth="1"/>
    <col min="21" max="22" width="9.28515625" style="754"/>
    <col min="23" max="24" width="9.28515625" style="558"/>
    <col min="25" max="25" width="17.85546875" style="558" bestFit="1" customWidth="1"/>
  </cols>
  <sheetData>
    <row r="2" spans="1:25" ht="11.25" customHeight="1">
      <c r="A2" s="932" t="s">
        <v>234</v>
      </c>
      <c r="B2" s="932"/>
      <c r="C2" s="932"/>
      <c r="D2" s="932"/>
      <c r="E2" s="932"/>
      <c r="F2" s="932"/>
      <c r="G2" s="932"/>
      <c r="H2" s="932"/>
      <c r="I2" s="932"/>
      <c r="J2" s="932"/>
      <c r="K2" s="932"/>
    </row>
    <row r="3" spans="1:25" ht="11.25" customHeight="1"/>
    <row r="4" spans="1:25" ht="11.25" customHeight="1">
      <c r="L4" s="716" t="s">
        <v>54</v>
      </c>
      <c r="M4" s="717" t="s">
        <v>31</v>
      </c>
      <c r="N4" s="716"/>
      <c r="O4" s="718"/>
      <c r="P4" s="719"/>
      <c r="Q4" s="719"/>
    </row>
    <row r="5" spans="1:25" ht="10.5" customHeight="1">
      <c r="A5" s="149"/>
      <c r="B5" s="138"/>
      <c r="C5" s="138"/>
      <c r="D5" s="138"/>
      <c r="E5" s="138"/>
      <c r="F5" s="138"/>
      <c r="G5" s="138"/>
      <c r="H5" s="138"/>
      <c r="I5" s="138"/>
      <c r="J5" s="138"/>
      <c r="K5" s="138"/>
      <c r="L5" s="716"/>
      <c r="M5" s="717"/>
      <c r="N5" s="716"/>
      <c r="O5" s="716" t="s">
        <v>55</v>
      </c>
      <c r="P5" s="716" t="s">
        <v>56</v>
      </c>
      <c r="Q5" s="716"/>
      <c r="U5" s="754">
        <v>2020</v>
      </c>
      <c r="V5" s="757">
        <v>2019</v>
      </c>
      <c r="W5" s="733"/>
    </row>
    <row r="6" spans="1:25" ht="10.5" customHeight="1">
      <c r="A6" s="111"/>
      <c r="B6" s="138"/>
      <c r="C6" s="138"/>
      <c r="D6" s="138"/>
      <c r="E6" s="138"/>
      <c r="F6" s="138"/>
      <c r="G6" s="138"/>
      <c r="H6" s="138"/>
      <c r="I6" s="138"/>
      <c r="J6" s="138"/>
      <c r="K6" s="138"/>
      <c r="L6" s="720" t="s">
        <v>406</v>
      </c>
      <c r="M6" s="720" t="s">
        <v>58</v>
      </c>
      <c r="N6" s="721">
        <v>19.605</v>
      </c>
      <c r="O6" s="722">
        <v>14.841791402499998</v>
      </c>
      <c r="P6" s="722">
        <v>1</v>
      </c>
      <c r="Q6" s="722"/>
      <c r="S6" s="754" t="s">
        <v>452</v>
      </c>
      <c r="T6" s="754" t="s">
        <v>59</v>
      </c>
      <c r="U6" s="755">
        <v>1</v>
      </c>
      <c r="V6" s="756">
        <v>1</v>
      </c>
      <c r="W6" s="734"/>
      <c r="X6" s="754"/>
      <c r="Y6" s="755"/>
    </row>
    <row r="7" spans="1:25" ht="10.5" customHeight="1">
      <c r="A7" s="136"/>
      <c r="B7" s="138"/>
      <c r="C7" s="138"/>
      <c r="D7" s="138"/>
      <c r="E7" s="138"/>
      <c r="F7" s="138"/>
      <c r="G7" s="138"/>
      <c r="H7" s="138"/>
      <c r="I7" s="138"/>
      <c r="J7" s="138"/>
      <c r="K7" s="138"/>
      <c r="L7" s="720" t="s">
        <v>461</v>
      </c>
      <c r="M7" s="720" t="s">
        <v>58</v>
      </c>
      <c r="N7" s="721">
        <v>20</v>
      </c>
      <c r="O7" s="722">
        <v>12.491518962499999</v>
      </c>
      <c r="P7" s="722">
        <v>0.83948380124327948</v>
      </c>
      <c r="Q7" s="722"/>
      <c r="T7" s="754" t="s">
        <v>406</v>
      </c>
      <c r="U7" s="755">
        <v>1</v>
      </c>
      <c r="V7" s="756">
        <v>0.92702943358833012</v>
      </c>
      <c r="W7" s="734"/>
      <c r="X7" s="754"/>
      <c r="Y7" s="755"/>
    </row>
    <row r="8" spans="1:25" ht="10.5" customHeight="1">
      <c r="A8" s="136"/>
      <c r="B8" s="138"/>
      <c r="C8" s="138"/>
      <c r="D8" s="138"/>
      <c r="E8" s="138"/>
      <c r="F8" s="138"/>
      <c r="G8" s="138"/>
      <c r="H8" s="138"/>
      <c r="I8" s="138"/>
      <c r="J8" s="138"/>
      <c r="K8" s="138"/>
      <c r="L8" s="720" t="s">
        <v>59</v>
      </c>
      <c r="M8" s="720" t="s">
        <v>58</v>
      </c>
      <c r="N8" s="721">
        <v>15</v>
      </c>
      <c r="O8" s="722">
        <v>10.821367370000001</v>
      </c>
      <c r="P8" s="722">
        <v>1</v>
      </c>
      <c r="Q8" s="722"/>
      <c r="T8" s="754" t="s">
        <v>62</v>
      </c>
      <c r="U8" s="755">
        <v>0.97380105304604681</v>
      </c>
      <c r="V8" s="756">
        <v>0.84293252238514549</v>
      </c>
      <c r="W8" s="734"/>
      <c r="X8" s="754"/>
      <c r="Y8" s="755"/>
    </row>
    <row r="9" spans="1:25" ht="10.5" customHeight="1">
      <c r="A9" s="136"/>
      <c r="B9" s="138"/>
      <c r="C9" s="138"/>
      <c r="D9" s="138"/>
      <c r="E9" s="138"/>
      <c r="F9" s="138"/>
      <c r="G9" s="138"/>
      <c r="H9" s="138"/>
      <c r="I9" s="138"/>
      <c r="J9" s="138"/>
      <c r="K9" s="138"/>
      <c r="L9" s="720" t="s">
        <v>420</v>
      </c>
      <c r="M9" s="723" t="s">
        <v>58</v>
      </c>
      <c r="N9" s="721">
        <v>20</v>
      </c>
      <c r="O9" s="722">
        <v>9.2961763949999998</v>
      </c>
      <c r="P9" s="722">
        <v>0.62474303729838709</v>
      </c>
      <c r="Q9" s="722"/>
      <c r="T9" s="754" t="s">
        <v>461</v>
      </c>
      <c r="U9" s="755">
        <v>0.94006781785504689</v>
      </c>
      <c r="V9" s="756"/>
      <c r="W9" s="734"/>
      <c r="X9" s="754"/>
      <c r="Y9" s="755"/>
    </row>
    <row r="10" spans="1:25" ht="10.5" customHeight="1">
      <c r="A10" s="136"/>
      <c r="B10" s="138"/>
      <c r="C10" s="138"/>
      <c r="D10" s="138"/>
      <c r="E10" s="138"/>
      <c r="F10" s="138"/>
      <c r="G10" s="138"/>
      <c r="H10" s="138"/>
      <c r="I10" s="138"/>
      <c r="J10" s="138"/>
      <c r="K10" s="138"/>
      <c r="L10" s="720" t="s">
        <v>61</v>
      </c>
      <c r="M10" s="723" t="s">
        <v>58</v>
      </c>
      <c r="N10" s="721">
        <v>19.1995</v>
      </c>
      <c r="O10" s="722">
        <v>7.9397423199999997</v>
      </c>
      <c r="P10" s="722">
        <v>0.55583200951413658</v>
      </c>
      <c r="Q10" s="722"/>
      <c r="T10" s="754" t="s">
        <v>66</v>
      </c>
      <c r="U10" s="755">
        <v>0.87539976767029271</v>
      </c>
      <c r="V10" s="756">
        <v>0.81440564172564167</v>
      </c>
      <c r="W10" s="734"/>
      <c r="X10" s="754"/>
      <c r="Y10" s="755"/>
    </row>
    <row r="11" spans="1:25" ht="10.5" customHeight="1">
      <c r="A11" s="136"/>
      <c r="B11" s="138"/>
      <c r="C11" s="138"/>
      <c r="D11" s="138"/>
      <c r="E11" s="138"/>
      <c r="F11" s="138"/>
      <c r="G11" s="138"/>
      <c r="H11" s="138"/>
      <c r="I11" s="138"/>
      <c r="J11" s="138"/>
      <c r="K11" s="138"/>
      <c r="L11" s="720" t="s">
        <v>460</v>
      </c>
      <c r="M11" s="723" t="s">
        <v>58</v>
      </c>
      <c r="N11" s="721">
        <v>20</v>
      </c>
      <c r="O11" s="722">
        <v>7.6888222000000006</v>
      </c>
      <c r="P11" s="722">
        <v>0.51672192204301082</v>
      </c>
      <c r="Q11" s="722"/>
      <c r="T11" s="754" t="s">
        <v>460</v>
      </c>
      <c r="U11" s="755">
        <v>0.84968111145344283</v>
      </c>
      <c r="V11" s="756"/>
      <c r="W11" s="734"/>
      <c r="X11" s="754"/>
      <c r="Y11" s="755"/>
    </row>
    <row r="12" spans="1:25" ht="10.5" customHeight="1">
      <c r="A12" s="136"/>
      <c r="B12" s="138"/>
      <c r="C12" s="138"/>
      <c r="D12" s="138"/>
      <c r="E12" s="138"/>
      <c r="F12" s="138"/>
      <c r="G12" s="138"/>
      <c r="H12" s="138"/>
      <c r="I12" s="138"/>
      <c r="J12" s="138"/>
      <c r="K12" s="138"/>
      <c r="L12" s="720" t="s">
        <v>62</v>
      </c>
      <c r="M12" s="720" t="s">
        <v>58</v>
      </c>
      <c r="N12" s="721">
        <v>9.9830000000000005</v>
      </c>
      <c r="O12" s="722">
        <v>6.7422930975000002</v>
      </c>
      <c r="P12" s="722">
        <v>0.90776539169006654</v>
      </c>
      <c r="Q12" s="722"/>
      <c r="T12" s="754" t="s">
        <v>71</v>
      </c>
      <c r="U12" s="755">
        <v>0.81369858606370749</v>
      </c>
      <c r="V12" s="756">
        <v>0.82099758890788466</v>
      </c>
      <c r="W12" s="734"/>
      <c r="X12" s="754"/>
      <c r="Y12" s="755"/>
    </row>
    <row r="13" spans="1:25" ht="10.5" customHeight="1">
      <c r="A13" s="136"/>
      <c r="B13" s="138"/>
      <c r="C13" s="138"/>
      <c r="D13" s="138"/>
      <c r="E13" s="138"/>
      <c r="F13" s="138"/>
      <c r="G13" s="138"/>
      <c r="H13" s="138"/>
      <c r="I13" s="138"/>
      <c r="J13" s="138"/>
      <c r="K13" s="138"/>
      <c r="L13" s="720" t="s">
        <v>66</v>
      </c>
      <c r="M13" s="720" t="s">
        <v>58</v>
      </c>
      <c r="N13" s="721">
        <v>7.7450000000000001</v>
      </c>
      <c r="O13" s="722">
        <v>5.2861174050000006</v>
      </c>
      <c r="P13" s="722">
        <v>0.91736559226556169</v>
      </c>
      <c r="Q13" s="722"/>
      <c r="T13" s="754" t="s">
        <v>73</v>
      </c>
      <c r="U13" s="755">
        <v>0.81032130013828518</v>
      </c>
      <c r="V13" s="756">
        <v>0.69415846264407466</v>
      </c>
      <c r="W13" s="734"/>
      <c r="X13" s="754"/>
      <c r="Y13" s="755"/>
    </row>
    <row r="14" spans="1:25" ht="10.5" customHeight="1">
      <c r="A14" s="136"/>
      <c r="B14" s="138"/>
      <c r="C14" s="138"/>
      <c r="D14" s="138"/>
      <c r="E14" s="138"/>
      <c r="F14" s="138"/>
      <c r="G14" s="138"/>
      <c r="H14" s="138"/>
      <c r="I14" s="138"/>
      <c r="J14" s="138"/>
      <c r="K14" s="138"/>
      <c r="L14" s="720" t="s">
        <v>424</v>
      </c>
      <c r="M14" s="720" t="s">
        <v>58</v>
      </c>
      <c r="N14" s="721">
        <v>13.2</v>
      </c>
      <c r="O14" s="722">
        <v>5.1288364674999993</v>
      </c>
      <c r="P14" s="722">
        <v>0.5222422274661942</v>
      </c>
      <c r="Q14" s="722"/>
      <c r="T14" s="754" t="s">
        <v>74</v>
      </c>
      <c r="U14" s="755">
        <v>0.80959464602391784</v>
      </c>
      <c r="V14" s="756">
        <v>0.8021932058336404</v>
      </c>
      <c r="W14" s="734"/>
      <c r="X14" s="754"/>
      <c r="Y14" s="755"/>
    </row>
    <row r="15" spans="1:25" ht="11.25" customHeight="1">
      <c r="A15" s="136"/>
      <c r="B15" s="138"/>
      <c r="C15" s="138"/>
      <c r="D15" s="138"/>
      <c r="E15" s="138"/>
      <c r="F15" s="138"/>
      <c r="G15" s="138"/>
      <c r="H15" s="138"/>
      <c r="I15" s="138"/>
      <c r="J15" s="138"/>
      <c r="K15" s="138"/>
      <c r="L15" s="720" t="s">
        <v>463</v>
      </c>
      <c r="M15" s="720" t="s">
        <v>58</v>
      </c>
      <c r="N15" s="721">
        <v>19</v>
      </c>
      <c r="O15" s="722">
        <v>4.4528898574999998</v>
      </c>
      <c r="P15" s="722">
        <v>0.31500352698783246</v>
      </c>
      <c r="Q15" s="722"/>
      <c r="T15" s="754" t="s">
        <v>424</v>
      </c>
      <c r="U15" s="755">
        <v>0.77899780155575726</v>
      </c>
      <c r="V15" s="756">
        <v>0.7510473887980631</v>
      </c>
      <c r="W15" s="734"/>
      <c r="X15" s="754"/>
      <c r="Y15" s="755"/>
    </row>
    <row r="16" spans="1:25" ht="11.25" customHeight="1">
      <c r="A16" s="136"/>
      <c r="B16" s="138"/>
      <c r="C16" s="138"/>
      <c r="D16" s="138"/>
      <c r="E16" s="138"/>
      <c r="F16" s="138"/>
      <c r="G16" s="138"/>
      <c r="H16" s="138"/>
      <c r="I16" s="138"/>
      <c r="J16" s="138"/>
      <c r="K16" s="138"/>
      <c r="L16" s="720" t="s">
        <v>414</v>
      </c>
      <c r="M16" s="720" t="s">
        <v>58</v>
      </c>
      <c r="N16" s="721">
        <v>20.16</v>
      </c>
      <c r="O16" s="722">
        <v>4.148478645</v>
      </c>
      <c r="P16" s="722">
        <v>0.27658294430843572</v>
      </c>
      <c r="Q16" s="722"/>
      <c r="T16" s="754" t="s">
        <v>57</v>
      </c>
      <c r="U16" s="755">
        <v>0.75106003028897173</v>
      </c>
      <c r="V16" s="756">
        <v>0.76159283335719452</v>
      </c>
      <c r="W16" s="734"/>
      <c r="X16" s="754"/>
      <c r="Y16" s="755"/>
    </row>
    <row r="17" spans="1:25" ht="11.25" customHeight="1">
      <c r="A17" s="136"/>
      <c r="B17" s="138"/>
      <c r="C17" s="138"/>
      <c r="D17" s="138"/>
      <c r="E17" s="138"/>
      <c r="F17" s="138"/>
      <c r="G17" s="138"/>
      <c r="H17" s="138"/>
      <c r="I17" s="138"/>
      <c r="J17" s="138"/>
      <c r="K17" s="138"/>
      <c r="L17" s="720" t="s">
        <v>413</v>
      </c>
      <c r="M17" s="720" t="s">
        <v>58</v>
      </c>
      <c r="N17" s="721">
        <v>20.16</v>
      </c>
      <c r="O17" s="722">
        <v>4.1176321374999993</v>
      </c>
      <c r="P17" s="722">
        <v>0.27452637885491338</v>
      </c>
      <c r="Q17" s="722"/>
      <c r="T17" s="754" t="s">
        <v>413</v>
      </c>
      <c r="U17" s="755">
        <v>0.7466409364510751</v>
      </c>
      <c r="V17" s="756">
        <v>0.47977354717683063</v>
      </c>
      <c r="W17" s="734"/>
      <c r="X17" s="754"/>
      <c r="Y17" s="755"/>
    </row>
    <row r="18" spans="1:25">
      <c r="A18" s="136"/>
      <c r="B18" s="138"/>
      <c r="C18" s="138"/>
      <c r="D18" s="138"/>
      <c r="E18" s="138"/>
      <c r="F18" s="138"/>
      <c r="G18" s="138"/>
      <c r="H18" s="138"/>
      <c r="I18" s="138"/>
      <c r="J18" s="138"/>
      <c r="K18" s="138"/>
      <c r="L18" s="720" t="s">
        <v>69</v>
      </c>
      <c r="M18" s="720" t="s">
        <v>58</v>
      </c>
      <c r="N18" s="721">
        <v>9.5660000000000007</v>
      </c>
      <c r="O18" s="722">
        <v>3.7467210850000003</v>
      </c>
      <c r="P18" s="722">
        <v>0.52643899611414979</v>
      </c>
      <c r="Q18" s="722"/>
      <c r="T18" s="754" t="s">
        <v>416</v>
      </c>
      <c r="U18" s="755">
        <v>0.72930012645316356</v>
      </c>
      <c r="V18" s="756">
        <v>0.621464428206424</v>
      </c>
      <c r="W18" s="734"/>
      <c r="X18" s="754"/>
      <c r="Y18" s="755"/>
    </row>
    <row r="19" spans="1:25">
      <c r="A19" s="136"/>
      <c r="B19" s="138"/>
      <c r="C19" s="138"/>
      <c r="D19" s="138"/>
      <c r="E19" s="138"/>
      <c r="F19" s="138"/>
      <c r="G19" s="138"/>
      <c r="H19" s="138"/>
      <c r="I19" s="138"/>
      <c r="J19" s="138"/>
      <c r="K19" s="138"/>
      <c r="L19" s="720" t="s">
        <v>57</v>
      </c>
      <c r="M19" s="720" t="s">
        <v>58</v>
      </c>
      <c r="N19" s="721">
        <v>19.966000000000001</v>
      </c>
      <c r="O19" s="722">
        <v>3.239539535</v>
      </c>
      <c r="P19" s="722">
        <v>0.21808172919500782</v>
      </c>
      <c r="Q19" s="722"/>
      <c r="T19" s="754" t="s">
        <v>70</v>
      </c>
      <c r="U19" s="755">
        <v>0.72911850366023467</v>
      </c>
      <c r="V19" s="756">
        <v>0.70744135315195644</v>
      </c>
      <c r="W19" s="734"/>
      <c r="X19" s="754"/>
      <c r="Y19" s="755"/>
    </row>
    <row r="20" spans="1:25">
      <c r="A20" s="136"/>
      <c r="B20" s="138"/>
      <c r="C20" s="138"/>
      <c r="D20" s="138"/>
      <c r="E20" s="138"/>
      <c r="F20" s="138"/>
      <c r="G20" s="138"/>
      <c r="H20" s="138"/>
      <c r="I20" s="138"/>
      <c r="J20" s="138"/>
      <c r="K20" s="138"/>
      <c r="L20" s="720" t="s">
        <v>63</v>
      </c>
      <c r="M20" s="720" t="s">
        <v>58</v>
      </c>
      <c r="N20" s="721">
        <v>19.899999999999999</v>
      </c>
      <c r="O20" s="722">
        <v>3.0129477499999999</v>
      </c>
      <c r="P20" s="722">
        <v>0.20350055046739071</v>
      </c>
      <c r="Q20" s="722"/>
      <c r="T20" s="754" t="s">
        <v>69</v>
      </c>
      <c r="U20" s="755">
        <v>0.72355176939543964</v>
      </c>
      <c r="V20" s="756">
        <v>0.65880802486318157</v>
      </c>
      <c r="W20" s="734"/>
      <c r="X20" s="754"/>
      <c r="Y20" s="755"/>
    </row>
    <row r="21" spans="1:25">
      <c r="A21" s="136"/>
      <c r="B21" s="138"/>
      <c r="C21" s="138"/>
      <c r="D21" s="138"/>
      <c r="E21" s="138"/>
      <c r="F21" s="138"/>
      <c r="G21" s="138"/>
      <c r="H21" s="138"/>
      <c r="I21" s="138"/>
      <c r="J21" s="138"/>
      <c r="K21" s="138"/>
      <c r="L21" s="720" t="s">
        <v>415</v>
      </c>
      <c r="M21" s="720" t="s">
        <v>58</v>
      </c>
      <c r="N21" s="721">
        <v>20.16</v>
      </c>
      <c r="O21" s="722">
        <v>2.8502502525</v>
      </c>
      <c r="P21" s="722">
        <v>0.19002884534610215</v>
      </c>
      <c r="Q21" s="722"/>
      <c r="T21" s="754" t="s">
        <v>65</v>
      </c>
      <c r="U21" s="755">
        <v>0.72301567978797765</v>
      </c>
      <c r="V21" s="756">
        <v>0.68445808217005066</v>
      </c>
      <c r="W21" s="734"/>
      <c r="X21" s="754"/>
      <c r="Y21" s="755"/>
    </row>
    <row r="22" spans="1:25">
      <c r="A22" s="136"/>
      <c r="B22" s="138"/>
      <c r="C22" s="138"/>
      <c r="D22" s="138"/>
      <c r="E22" s="138"/>
      <c r="F22" s="138"/>
      <c r="G22" s="138"/>
      <c r="H22" s="138"/>
      <c r="I22" s="138"/>
      <c r="J22" s="138"/>
      <c r="K22" s="138"/>
      <c r="L22" s="720" t="s">
        <v>690</v>
      </c>
      <c r="M22" s="720" t="s">
        <v>58</v>
      </c>
      <c r="N22" s="721">
        <v>20</v>
      </c>
      <c r="O22" s="722">
        <v>1.7350000000000001</v>
      </c>
      <c r="P22" s="722">
        <v>0.22591145833333334</v>
      </c>
      <c r="Q22" s="722"/>
      <c r="T22" s="754" t="s">
        <v>64</v>
      </c>
      <c r="U22" s="755">
        <v>0.71259576725718776</v>
      </c>
      <c r="V22" s="756">
        <v>0.6947276285064341</v>
      </c>
      <c r="W22" s="734"/>
      <c r="X22" s="754"/>
      <c r="Y22" s="755"/>
    </row>
    <row r="23" spans="1:25">
      <c r="A23" s="136"/>
      <c r="B23" s="138"/>
      <c r="C23" s="138"/>
      <c r="D23" s="138"/>
      <c r="E23" s="138"/>
      <c r="F23" s="138"/>
      <c r="G23" s="138"/>
      <c r="H23" s="138"/>
      <c r="I23" s="138"/>
      <c r="J23" s="138"/>
      <c r="K23" s="138"/>
      <c r="L23" s="720" t="s">
        <v>71</v>
      </c>
      <c r="M23" s="720" t="s">
        <v>58</v>
      </c>
      <c r="N23" s="721">
        <v>5.67</v>
      </c>
      <c r="O23" s="722">
        <v>2.5572662449999997</v>
      </c>
      <c r="P23" s="722">
        <v>0.60620561078872015</v>
      </c>
      <c r="Q23" s="722"/>
      <c r="T23" s="754" t="s">
        <v>415</v>
      </c>
      <c r="U23" s="755">
        <v>0.70362525313435387</v>
      </c>
      <c r="V23" s="756">
        <v>0.43005923214227221</v>
      </c>
      <c r="W23" s="734"/>
      <c r="X23" s="754"/>
      <c r="Y23" s="755"/>
    </row>
    <row r="24" spans="1:25">
      <c r="A24" s="136"/>
      <c r="B24" s="138"/>
      <c r="C24" s="138"/>
      <c r="D24" s="138"/>
      <c r="E24" s="138"/>
      <c r="F24" s="138"/>
      <c r="G24" s="138"/>
      <c r="H24" s="138"/>
      <c r="I24" s="138"/>
      <c r="J24" s="138"/>
      <c r="K24" s="138"/>
      <c r="L24" s="720" t="s">
        <v>60</v>
      </c>
      <c r="M24" s="720" t="s">
        <v>58</v>
      </c>
      <c r="N24" s="721">
        <v>19.966999999999999</v>
      </c>
      <c r="O24" s="722">
        <v>2.4534559574999997</v>
      </c>
      <c r="P24" s="722">
        <v>0.16515529908623422</v>
      </c>
      <c r="Q24" s="722"/>
      <c r="T24" s="754" t="s">
        <v>61</v>
      </c>
      <c r="U24" s="755">
        <v>0.70314875757739514</v>
      </c>
      <c r="V24" s="756">
        <v>0.75169793449912137</v>
      </c>
      <c r="W24" s="734"/>
      <c r="X24" s="754"/>
      <c r="Y24" s="755"/>
    </row>
    <row r="25" spans="1:25">
      <c r="A25" s="136"/>
      <c r="B25" s="138"/>
      <c r="C25" s="138"/>
      <c r="D25" s="138"/>
      <c r="E25" s="138"/>
      <c r="F25" s="138"/>
      <c r="G25" s="138"/>
      <c r="H25" s="138"/>
      <c r="I25" s="138"/>
      <c r="J25" s="138"/>
      <c r="K25" s="138"/>
      <c r="L25" s="720" t="s">
        <v>74</v>
      </c>
      <c r="M25" s="720" t="s">
        <v>58</v>
      </c>
      <c r="N25" s="721">
        <v>3.964</v>
      </c>
      <c r="O25" s="722">
        <v>2.3858000000000001</v>
      </c>
      <c r="P25" s="722">
        <v>0.80896075431572334</v>
      </c>
      <c r="Q25" s="722"/>
      <c r="T25" s="754" t="s">
        <v>420</v>
      </c>
      <c r="U25" s="755">
        <v>0.68148519987284817</v>
      </c>
      <c r="V25" s="756">
        <v>0.66606059502751536</v>
      </c>
      <c r="W25" s="734"/>
      <c r="X25" s="754"/>
      <c r="Y25" s="755"/>
    </row>
    <row r="26" spans="1:25">
      <c r="A26" s="136"/>
      <c r="B26" s="138"/>
      <c r="C26" s="138"/>
      <c r="D26" s="138"/>
      <c r="E26" s="138"/>
      <c r="F26" s="138"/>
      <c r="G26" s="138"/>
      <c r="H26" s="138"/>
      <c r="I26" s="138"/>
      <c r="J26" s="138"/>
      <c r="K26" s="138"/>
      <c r="L26" s="720" t="s">
        <v>64</v>
      </c>
      <c r="M26" s="720" t="s">
        <v>58</v>
      </c>
      <c r="N26" s="721">
        <v>10.222</v>
      </c>
      <c r="O26" s="722">
        <v>1.6654359349999999</v>
      </c>
      <c r="P26" s="722">
        <v>0.21898739580769289</v>
      </c>
      <c r="Q26" s="722"/>
      <c r="T26" s="754" t="s">
        <v>63</v>
      </c>
      <c r="U26" s="755">
        <v>0.67968144362756666</v>
      </c>
      <c r="V26" s="756">
        <v>0.7538800854459009</v>
      </c>
      <c r="W26" s="734"/>
      <c r="X26" s="754"/>
      <c r="Y26" s="755"/>
    </row>
    <row r="27" spans="1:25">
      <c r="A27" s="136"/>
      <c r="B27" s="138"/>
      <c r="C27" s="138"/>
      <c r="D27" s="138"/>
      <c r="E27" s="138"/>
      <c r="F27" s="138"/>
      <c r="G27" s="138"/>
      <c r="H27" s="138"/>
      <c r="I27" s="138"/>
      <c r="J27" s="138"/>
      <c r="K27" s="138"/>
      <c r="L27" s="720" t="s">
        <v>65</v>
      </c>
      <c r="M27" s="720" t="s">
        <v>58</v>
      </c>
      <c r="N27" s="721">
        <v>9.85</v>
      </c>
      <c r="O27" s="722">
        <v>1.5727042524999999</v>
      </c>
      <c r="P27" s="722">
        <v>0.21460404078652912</v>
      </c>
      <c r="Q27" s="722"/>
      <c r="T27" s="754" t="s">
        <v>414</v>
      </c>
      <c r="U27" s="755">
        <v>0.66916122720116988</v>
      </c>
      <c r="V27" s="756">
        <v>0.47371061283220872</v>
      </c>
      <c r="W27" s="734"/>
      <c r="X27" s="754"/>
      <c r="Y27" s="755"/>
    </row>
    <row r="28" spans="1:25">
      <c r="A28" s="136"/>
      <c r="B28" s="138"/>
      <c r="C28" s="138"/>
      <c r="D28" s="138"/>
      <c r="E28" s="138"/>
      <c r="F28" s="138"/>
      <c r="G28" s="138"/>
      <c r="H28" s="138"/>
      <c r="I28" s="138"/>
      <c r="J28" s="138"/>
      <c r="K28" s="138"/>
      <c r="L28" s="720" t="s">
        <v>73</v>
      </c>
      <c r="M28" s="720" t="s">
        <v>58</v>
      </c>
      <c r="N28" s="721">
        <v>3.91621</v>
      </c>
      <c r="O28" s="722">
        <v>1.4926283625000001</v>
      </c>
      <c r="P28" s="722">
        <v>0.51228634760105041</v>
      </c>
      <c r="Q28" s="722"/>
      <c r="T28" s="754" t="s">
        <v>463</v>
      </c>
      <c r="U28" s="755">
        <v>0.62612742937155097</v>
      </c>
      <c r="V28" s="756"/>
      <c r="W28" s="734"/>
      <c r="X28" s="754"/>
      <c r="Y28" s="755"/>
    </row>
    <row r="29" spans="1:25">
      <c r="A29" s="136"/>
      <c r="B29" s="138"/>
      <c r="C29" s="138"/>
      <c r="D29" s="138"/>
      <c r="E29" s="138"/>
      <c r="F29" s="138"/>
      <c r="G29" s="138"/>
      <c r="H29" s="138"/>
      <c r="I29" s="138"/>
      <c r="J29" s="138"/>
      <c r="K29" s="138"/>
      <c r="L29" s="720" t="s">
        <v>67</v>
      </c>
      <c r="M29" s="720" t="s">
        <v>58</v>
      </c>
      <c r="N29" s="721">
        <v>7.4240000000000004</v>
      </c>
      <c r="O29" s="722">
        <v>1.41893169</v>
      </c>
      <c r="P29" s="722">
        <v>0.25689200565732756</v>
      </c>
      <c r="Q29" s="722"/>
      <c r="T29" s="754" t="s">
        <v>72</v>
      </c>
      <c r="U29" s="755">
        <v>0.62583245234899187</v>
      </c>
      <c r="V29" s="756">
        <v>0.55299460529169409</v>
      </c>
      <c r="W29" s="734"/>
      <c r="X29" s="754"/>
      <c r="Y29" s="755"/>
    </row>
    <row r="30" spans="1:25">
      <c r="A30" s="136"/>
      <c r="B30" s="138"/>
      <c r="C30" s="138"/>
      <c r="D30" s="138"/>
      <c r="E30" s="138"/>
      <c r="F30" s="138"/>
      <c r="G30" s="138"/>
      <c r="H30" s="138"/>
      <c r="I30" s="138"/>
      <c r="J30" s="138"/>
      <c r="K30" s="138"/>
      <c r="L30" s="715" t="s">
        <v>70</v>
      </c>
      <c r="M30" s="720" t="s">
        <v>58</v>
      </c>
      <c r="N30" s="721">
        <v>5.1890000000000001</v>
      </c>
      <c r="O30" s="722">
        <v>1.4166281825000002</v>
      </c>
      <c r="P30" s="722">
        <v>0.36694356094985886</v>
      </c>
      <c r="Q30" s="722"/>
      <c r="T30" s="754" t="s">
        <v>60</v>
      </c>
      <c r="U30" s="755">
        <v>0.62266943660286744</v>
      </c>
      <c r="V30" s="756">
        <v>0.62669924060824622</v>
      </c>
      <c r="W30" s="734"/>
      <c r="X30" s="754"/>
      <c r="Y30" s="755"/>
    </row>
    <row r="31" spans="1:25">
      <c r="A31" s="136"/>
      <c r="B31" s="138"/>
      <c r="C31" s="138"/>
      <c r="D31" s="138"/>
      <c r="E31" s="138"/>
      <c r="F31" s="138"/>
      <c r="G31" s="138"/>
      <c r="H31" s="138"/>
      <c r="I31" s="138"/>
      <c r="J31" s="138"/>
      <c r="K31" s="138"/>
      <c r="L31" s="720" t="s">
        <v>68</v>
      </c>
      <c r="M31" s="720" t="s">
        <v>58</v>
      </c>
      <c r="N31" s="721">
        <v>6.9580000000000002</v>
      </c>
      <c r="O31" s="722">
        <v>1.1940567849999999</v>
      </c>
      <c r="P31" s="722">
        <v>0.23065752135702075</v>
      </c>
      <c r="Q31" s="722"/>
      <c r="T31" s="754" t="s">
        <v>67</v>
      </c>
      <c r="U31" s="755">
        <v>0.58590899202687374</v>
      </c>
      <c r="V31" s="756">
        <v>0.63851774422110497</v>
      </c>
      <c r="W31" s="734"/>
      <c r="X31" s="754"/>
      <c r="Y31" s="755"/>
    </row>
    <row r="32" spans="1:25">
      <c r="A32" s="136"/>
      <c r="B32" s="138"/>
      <c r="C32" s="138"/>
      <c r="D32" s="138"/>
      <c r="E32" s="138"/>
      <c r="F32" s="138"/>
      <c r="G32" s="138"/>
      <c r="H32" s="138"/>
      <c r="I32" s="138"/>
      <c r="J32" s="138"/>
      <c r="K32" s="138"/>
      <c r="L32" s="720" t="s">
        <v>72</v>
      </c>
      <c r="M32" s="720" t="s">
        <v>58</v>
      </c>
      <c r="N32" s="721">
        <v>3.48</v>
      </c>
      <c r="O32" s="722">
        <v>0.73321645000000002</v>
      </c>
      <c r="P32" s="722">
        <v>0.28319137390310223</v>
      </c>
      <c r="Q32" s="722"/>
      <c r="T32" s="754" t="s">
        <v>68</v>
      </c>
      <c r="U32" s="755">
        <v>0.55753652103488349</v>
      </c>
      <c r="V32" s="756">
        <v>0.63025424609370018</v>
      </c>
      <c r="W32" s="734"/>
      <c r="X32" s="754"/>
      <c r="Y32" s="755"/>
    </row>
    <row r="33" spans="1:25">
      <c r="A33" s="136"/>
      <c r="B33" s="138"/>
      <c r="C33" s="138"/>
      <c r="D33" s="138"/>
      <c r="E33" s="138"/>
      <c r="F33" s="138"/>
      <c r="G33" s="138"/>
      <c r="H33" s="138"/>
      <c r="I33" s="138"/>
      <c r="J33" s="138"/>
      <c r="K33" s="138"/>
      <c r="L33" s="720" t="s">
        <v>416</v>
      </c>
      <c r="M33" s="720" t="s">
        <v>58</v>
      </c>
      <c r="N33" s="721">
        <v>0.7</v>
      </c>
      <c r="O33" s="722">
        <v>0.42738746999999999</v>
      </c>
      <c r="P33" s="722">
        <v>0.82063646313364069</v>
      </c>
      <c r="Q33" s="722"/>
      <c r="T33" s="754" t="s">
        <v>75</v>
      </c>
      <c r="U33" s="755">
        <v>0.34377401886197256</v>
      </c>
      <c r="V33" s="756">
        <v>0.12166041267622175</v>
      </c>
      <c r="W33" s="734"/>
      <c r="X33" s="754"/>
      <c r="Y33" s="755"/>
    </row>
    <row r="34" spans="1:25">
      <c r="B34" s="138"/>
      <c r="C34" s="138"/>
      <c r="D34" s="138"/>
      <c r="E34" s="138"/>
      <c r="F34" s="138"/>
      <c r="G34" s="138"/>
      <c r="H34" s="138"/>
      <c r="I34" s="138"/>
      <c r="J34" s="138"/>
      <c r="K34" s="138"/>
      <c r="L34" s="720" t="s">
        <v>75</v>
      </c>
      <c r="M34" s="720" t="s">
        <v>58</v>
      </c>
      <c r="N34" s="721">
        <v>1.714</v>
      </c>
      <c r="O34" s="722">
        <v>0.31237861249999999</v>
      </c>
      <c r="P34" s="722">
        <v>0.24496133400145545</v>
      </c>
      <c r="Q34" s="722"/>
      <c r="T34" s="754" t="s">
        <v>690</v>
      </c>
      <c r="U34" s="755">
        <v>0.22591145833333334</v>
      </c>
      <c r="V34" s="756"/>
      <c r="W34" s="734"/>
      <c r="X34" s="754"/>
      <c r="Y34" s="755"/>
    </row>
    <row r="35" spans="1:25">
      <c r="A35" s="136"/>
      <c r="B35" s="138"/>
      <c r="C35" s="138"/>
      <c r="D35" s="138"/>
      <c r="E35" s="138"/>
      <c r="F35" s="138"/>
      <c r="G35" s="138"/>
      <c r="H35" s="138"/>
      <c r="I35" s="138"/>
      <c r="J35" s="138"/>
      <c r="K35" s="138"/>
      <c r="L35" s="720" t="s">
        <v>459</v>
      </c>
      <c r="M35" s="720" t="s">
        <v>58</v>
      </c>
      <c r="N35" s="721">
        <v>8.4</v>
      </c>
      <c r="O35" s="722">
        <v>3.9980135E-2</v>
      </c>
      <c r="P35" s="722">
        <v>6.3972310227854573E-3</v>
      </c>
      <c r="Q35" s="722"/>
      <c r="T35" s="754" t="s">
        <v>459</v>
      </c>
      <c r="U35" s="755">
        <v>0.21806897624170951</v>
      </c>
      <c r="V35" s="756"/>
      <c r="W35" s="734"/>
      <c r="X35" s="754"/>
      <c r="Y35" s="755"/>
    </row>
    <row r="36" spans="1:25">
      <c r="A36" s="136"/>
      <c r="B36" s="138"/>
      <c r="C36" s="138"/>
      <c r="D36" s="138"/>
      <c r="E36" s="138"/>
      <c r="F36" s="138"/>
      <c r="G36" s="138"/>
      <c r="H36" s="138"/>
      <c r="I36" s="138"/>
      <c r="J36" s="138"/>
      <c r="K36" s="138"/>
      <c r="L36" s="720" t="s">
        <v>426</v>
      </c>
      <c r="M36" s="720" t="s">
        <v>217</v>
      </c>
      <c r="N36" s="721">
        <v>132.30000000000001</v>
      </c>
      <c r="O36" s="722">
        <v>61.208444825000001</v>
      </c>
      <c r="P36" s="722">
        <v>0.62183987216451686</v>
      </c>
      <c r="Q36" s="722"/>
      <c r="S36" s="754" t="s">
        <v>445</v>
      </c>
      <c r="T36" s="754" t="s">
        <v>83</v>
      </c>
      <c r="U36" s="755">
        <v>0.70583512958640771</v>
      </c>
      <c r="V36" s="756">
        <v>0.81444546070124613</v>
      </c>
      <c r="W36" s="734"/>
      <c r="X36" s="754"/>
      <c r="Y36" s="755"/>
    </row>
    <row r="37" spans="1:25">
      <c r="A37" s="136"/>
      <c r="B37" s="138"/>
      <c r="C37" s="138"/>
      <c r="D37" s="138"/>
      <c r="E37" s="138"/>
      <c r="F37" s="138"/>
      <c r="G37" s="138"/>
      <c r="H37" s="138"/>
      <c r="I37" s="138"/>
      <c r="J37" s="138"/>
      <c r="K37" s="138"/>
      <c r="L37" s="720" t="s">
        <v>76</v>
      </c>
      <c r="M37" s="720" t="s">
        <v>217</v>
      </c>
      <c r="N37" s="721">
        <v>97.15</v>
      </c>
      <c r="O37" s="722">
        <v>49.661995284999996</v>
      </c>
      <c r="P37" s="722">
        <v>0.68708176698542867</v>
      </c>
      <c r="Q37" s="722"/>
      <c r="T37" s="754" t="s">
        <v>85</v>
      </c>
      <c r="U37" s="755">
        <v>0.52569889332193775</v>
      </c>
      <c r="V37" s="756">
        <v>0.61082734192063304</v>
      </c>
      <c r="W37" s="734"/>
      <c r="X37" s="754"/>
      <c r="Y37" s="755"/>
    </row>
    <row r="38" spans="1:25" ht="11.25" customHeight="1">
      <c r="A38" s="136"/>
      <c r="B38" s="138"/>
      <c r="C38" s="138"/>
      <c r="D38" s="138"/>
      <c r="E38" s="138"/>
      <c r="F38" s="138"/>
      <c r="G38" s="138"/>
      <c r="H38" s="138"/>
      <c r="I38" s="138"/>
      <c r="J38" s="138"/>
      <c r="K38" s="138"/>
      <c r="L38" s="720" t="s">
        <v>77</v>
      </c>
      <c r="M38" s="720" t="s">
        <v>217</v>
      </c>
      <c r="N38" s="721">
        <v>83.15</v>
      </c>
      <c r="O38" s="722">
        <v>27.029502667500001</v>
      </c>
      <c r="P38" s="722">
        <v>0.43692094652590535</v>
      </c>
      <c r="Q38" s="724"/>
      <c r="T38" s="754" t="s">
        <v>84</v>
      </c>
      <c r="U38" s="755">
        <v>0.51786480743371932</v>
      </c>
      <c r="V38" s="756">
        <v>0.89638895002213215</v>
      </c>
      <c r="W38" s="734"/>
      <c r="X38" s="754"/>
      <c r="Y38" s="755"/>
    </row>
    <row r="39" spans="1:25">
      <c r="A39" s="136"/>
      <c r="B39" s="138"/>
      <c r="C39" s="138"/>
      <c r="D39" s="138"/>
      <c r="E39" s="138"/>
      <c r="F39" s="138"/>
      <c r="G39" s="138"/>
      <c r="H39" s="138"/>
      <c r="I39" s="138"/>
      <c r="J39" s="138"/>
      <c r="K39" s="138"/>
      <c r="L39" s="720" t="s">
        <v>78</v>
      </c>
      <c r="M39" s="720" t="s">
        <v>217</v>
      </c>
      <c r="N39" s="721">
        <v>32</v>
      </c>
      <c r="O39" s="722">
        <v>17.020225054999997</v>
      </c>
      <c r="P39" s="722">
        <v>0.71489520560315856</v>
      </c>
      <c r="T39" s="754" t="s">
        <v>429</v>
      </c>
      <c r="U39" s="755">
        <v>0.43324562711919667</v>
      </c>
      <c r="V39" s="756">
        <v>0.75586476799986946</v>
      </c>
      <c r="W39" s="734"/>
      <c r="X39" s="754"/>
      <c r="Y39" s="755"/>
    </row>
    <row r="40" spans="1:25">
      <c r="A40" s="136"/>
      <c r="B40" s="138"/>
      <c r="C40" s="138"/>
      <c r="D40" s="138"/>
      <c r="E40" s="138"/>
      <c r="F40" s="138"/>
      <c r="G40" s="138"/>
      <c r="H40" s="138"/>
      <c r="I40" s="138"/>
      <c r="J40" s="138"/>
      <c r="K40" s="138"/>
      <c r="L40" s="720" t="s">
        <v>79</v>
      </c>
      <c r="M40" s="720" t="s">
        <v>217</v>
      </c>
      <c r="N40" s="721">
        <v>30.86</v>
      </c>
      <c r="O40" s="722">
        <v>14.5451924225</v>
      </c>
      <c r="P40" s="722">
        <v>0.63350582680454215</v>
      </c>
      <c r="T40" s="754" t="s">
        <v>688</v>
      </c>
      <c r="U40" s="755">
        <v>0.11614451754385963</v>
      </c>
      <c r="V40" s="756"/>
      <c r="W40" s="734"/>
      <c r="X40" s="754"/>
      <c r="Y40" s="755"/>
    </row>
    <row r="41" spans="1:25">
      <c r="A41" s="136"/>
      <c r="B41" s="138"/>
      <c r="C41" s="138"/>
      <c r="D41" s="138"/>
      <c r="E41" s="138"/>
      <c r="F41" s="138"/>
      <c r="G41" s="138"/>
      <c r="H41" s="138"/>
      <c r="I41" s="138"/>
      <c r="J41" s="138"/>
      <c r="K41" s="138"/>
      <c r="L41" s="720" t="s">
        <v>427</v>
      </c>
      <c r="M41" s="720" t="s">
        <v>80</v>
      </c>
      <c r="N41" s="721">
        <v>144.47999999999999</v>
      </c>
      <c r="O41" s="722">
        <v>33.953613977499998</v>
      </c>
      <c r="P41" s="722">
        <v>0.31586778742211596</v>
      </c>
      <c r="S41" s="754" t="s">
        <v>437</v>
      </c>
      <c r="T41" s="754" t="s">
        <v>78</v>
      </c>
      <c r="U41" s="755">
        <v>0.56929372817634971</v>
      </c>
      <c r="V41" s="756">
        <v>0.57434254646349259</v>
      </c>
      <c r="W41" s="734"/>
      <c r="X41" s="754"/>
      <c r="Y41" s="755"/>
    </row>
    <row r="42" spans="1:25">
      <c r="A42" s="136"/>
      <c r="B42" s="138"/>
      <c r="C42" s="138"/>
      <c r="D42" s="138"/>
      <c r="E42" s="138"/>
      <c r="F42" s="138"/>
      <c r="G42" s="138"/>
      <c r="H42" s="138"/>
      <c r="I42" s="138"/>
      <c r="J42" s="138"/>
      <c r="K42" s="138"/>
      <c r="L42" s="720" t="s">
        <v>428</v>
      </c>
      <c r="M42" s="720" t="s">
        <v>80</v>
      </c>
      <c r="N42" s="721">
        <v>44.54</v>
      </c>
      <c r="O42" s="722">
        <v>8.1632218774999998</v>
      </c>
      <c r="P42" s="722">
        <v>0.24634199407262289</v>
      </c>
      <c r="T42" s="754" t="s">
        <v>76</v>
      </c>
      <c r="U42" s="755">
        <v>0.55106165388352868</v>
      </c>
      <c r="V42" s="756">
        <v>0.55707522702343026</v>
      </c>
      <c r="W42" s="734"/>
      <c r="X42" s="754"/>
      <c r="Y42" s="755"/>
    </row>
    <row r="43" spans="1:25" ht="36" customHeight="1">
      <c r="A43" s="929"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julio 2020.
Nota: Son consideradas las centrales con operación comercial</v>
      </c>
      <c r="B43" s="929"/>
      <c r="C43" s="929"/>
      <c r="D43" s="929"/>
      <c r="E43" s="929"/>
      <c r="F43" s="929"/>
      <c r="G43" s="929"/>
      <c r="H43" s="929"/>
      <c r="I43" s="929"/>
      <c r="J43" s="929"/>
      <c r="K43" s="929"/>
      <c r="L43" s="720" t="s">
        <v>232</v>
      </c>
      <c r="M43" s="720" t="s">
        <v>80</v>
      </c>
      <c r="N43" s="721">
        <v>20</v>
      </c>
      <c r="O43" s="722">
        <v>4.4507572149999994</v>
      </c>
      <c r="P43" s="722">
        <v>0.29911002788978491</v>
      </c>
      <c r="T43" s="754" t="s">
        <v>426</v>
      </c>
      <c r="U43" s="755">
        <v>0.48423904599333212</v>
      </c>
      <c r="V43" s="756">
        <v>0.49295078228247091</v>
      </c>
      <c r="W43" s="734"/>
      <c r="X43" s="754"/>
      <c r="Y43" s="755"/>
    </row>
    <row r="44" spans="1:25" ht="18" customHeight="1">
      <c r="A44" s="136"/>
      <c r="B44" s="138"/>
      <c r="C44" s="138"/>
      <c r="D44" s="138"/>
      <c r="E44" s="138"/>
      <c r="F44" s="138"/>
      <c r="G44" s="138"/>
      <c r="H44" s="138"/>
      <c r="I44" s="138"/>
      <c r="J44" s="138"/>
      <c r="K44" s="138"/>
      <c r="L44" s="720" t="s">
        <v>81</v>
      </c>
      <c r="M44" s="720" t="s">
        <v>80</v>
      </c>
      <c r="N44" s="721">
        <v>16</v>
      </c>
      <c r="O44" s="722">
        <v>3.7366510650000002</v>
      </c>
      <c r="P44" s="722">
        <v>0.31389877898185486</v>
      </c>
      <c r="T44" s="754" t="s">
        <v>77</v>
      </c>
      <c r="U44" s="755">
        <v>0.48068534477728936</v>
      </c>
      <c r="V44" s="756">
        <v>0.44169937798297759</v>
      </c>
      <c r="W44" s="734"/>
      <c r="X44" s="754"/>
      <c r="Y44" s="755"/>
    </row>
    <row r="45" spans="1:25" ht="12">
      <c r="A45" s="136"/>
      <c r="B45" s="138"/>
      <c r="C45" s="933" t="str">
        <f>"Factor de planta de las centrales RER  Acumulado al "&amp;'1. Resumen'!Q7&amp;" de "&amp;'1. Resumen'!Q4</f>
        <v>Factor de planta de las centrales RER  Acumulado al 31 de julio</v>
      </c>
      <c r="D45" s="933"/>
      <c r="E45" s="933"/>
      <c r="F45" s="933"/>
      <c r="G45" s="933"/>
      <c r="H45" s="933"/>
      <c r="I45" s="933"/>
      <c r="J45" s="138"/>
      <c r="K45" s="138"/>
      <c r="L45" s="720" t="s">
        <v>231</v>
      </c>
      <c r="M45" s="720" t="s">
        <v>80</v>
      </c>
      <c r="N45" s="721">
        <v>20</v>
      </c>
      <c r="O45" s="722">
        <v>3.7283089899999999</v>
      </c>
      <c r="P45" s="722">
        <v>0.25055839986559142</v>
      </c>
      <c r="T45" s="754" t="s">
        <v>79</v>
      </c>
      <c r="U45" s="755">
        <v>0.45537427021941179</v>
      </c>
      <c r="V45" s="756">
        <v>0.41195506291155121</v>
      </c>
      <c r="W45" s="734"/>
      <c r="X45" s="754"/>
      <c r="Y45" s="755"/>
    </row>
    <row r="46" spans="1:25" ht="9.75" customHeight="1">
      <c r="A46" s="136"/>
      <c r="B46" s="138"/>
      <c r="C46" s="138"/>
      <c r="D46" s="138"/>
      <c r="E46" s="138"/>
      <c r="F46" s="138"/>
      <c r="G46" s="138"/>
      <c r="H46" s="138"/>
      <c r="I46" s="138"/>
      <c r="J46" s="138"/>
      <c r="K46" s="138"/>
      <c r="L46" s="720" t="s">
        <v>82</v>
      </c>
      <c r="M46" s="720" t="s">
        <v>80</v>
      </c>
      <c r="N46" s="721">
        <v>20</v>
      </c>
      <c r="O46" s="722">
        <v>3.5239659825</v>
      </c>
      <c r="P46" s="722">
        <v>0.23682567086693548</v>
      </c>
      <c r="T46" s="754" t="s">
        <v>427</v>
      </c>
      <c r="U46" s="755">
        <v>0.31045404364914186</v>
      </c>
      <c r="V46" s="756">
        <v>0.29602837182150077</v>
      </c>
      <c r="W46" s="734"/>
      <c r="X46" s="754"/>
      <c r="Y46" s="755"/>
    </row>
    <row r="47" spans="1:25" ht="9.75" customHeight="1">
      <c r="A47" s="136"/>
      <c r="B47" s="138"/>
      <c r="C47" s="138"/>
      <c r="D47" s="138"/>
      <c r="E47" s="138"/>
      <c r="F47" s="138"/>
      <c r="G47" s="138"/>
      <c r="H47" s="138"/>
      <c r="I47" s="138"/>
      <c r="J47" s="138"/>
      <c r="K47" s="138"/>
      <c r="L47" s="720" t="s">
        <v>233</v>
      </c>
      <c r="M47" s="720" t="s">
        <v>80</v>
      </c>
      <c r="N47" s="721">
        <v>20</v>
      </c>
      <c r="O47" s="722">
        <v>3.4835824</v>
      </c>
      <c r="P47" s="722">
        <v>0.2341117204301075</v>
      </c>
      <c r="T47" s="754" t="s">
        <v>81</v>
      </c>
      <c r="U47" s="755">
        <v>0.30749834552890259</v>
      </c>
      <c r="V47" s="756">
        <v>0.30861600991303056</v>
      </c>
      <c r="X47" s="754"/>
      <c r="Y47" s="755"/>
    </row>
    <row r="48" spans="1:25" ht="9.75" customHeight="1">
      <c r="A48" s="136"/>
      <c r="B48" s="138"/>
      <c r="C48" s="138"/>
      <c r="D48" s="138"/>
      <c r="E48" s="138"/>
      <c r="F48" s="138"/>
      <c r="G48" s="138"/>
      <c r="H48" s="138"/>
      <c r="I48" s="138"/>
      <c r="J48" s="138"/>
      <c r="K48" s="138"/>
      <c r="L48" s="720" t="s">
        <v>83</v>
      </c>
      <c r="M48" s="720" t="s">
        <v>403</v>
      </c>
      <c r="N48" s="721">
        <v>12.74105</v>
      </c>
      <c r="O48" s="722">
        <v>4.2733535975000008</v>
      </c>
      <c r="P48" s="722">
        <v>0.45080702417378971</v>
      </c>
      <c r="S48" s="754" t="s">
        <v>438</v>
      </c>
      <c r="T48" s="754" t="s">
        <v>232</v>
      </c>
      <c r="U48" s="755">
        <v>0.28139734223395929</v>
      </c>
      <c r="V48" s="756">
        <v>0.26766363342669031</v>
      </c>
      <c r="X48" s="754"/>
      <c r="Y48" s="755"/>
    </row>
    <row r="49" spans="1:25" ht="9.75" customHeight="1">
      <c r="A49" s="136"/>
      <c r="B49" s="138"/>
      <c r="C49" s="138"/>
      <c r="D49" s="138"/>
      <c r="E49" s="138"/>
      <c r="F49" s="138"/>
      <c r="G49" s="138"/>
      <c r="H49" s="138"/>
      <c r="I49" s="138"/>
      <c r="J49" s="138"/>
      <c r="K49" s="138"/>
      <c r="L49" s="720" t="s">
        <v>84</v>
      </c>
      <c r="M49" s="720" t="s">
        <v>403</v>
      </c>
      <c r="N49" s="721">
        <v>4.2625000000000002</v>
      </c>
      <c r="O49" s="722">
        <v>2.2567155274999999</v>
      </c>
      <c r="P49" s="722">
        <v>0.71160581701510417</v>
      </c>
      <c r="T49" s="754" t="s">
        <v>231</v>
      </c>
      <c r="U49" s="755">
        <v>0.25795542348884981</v>
      </c>
      <c r="V49" s="756">
        <v>0.25299442189956761</v>
      </c>
      <c r="X49" s="754"/>
      <c r="Y49" s="755"/>
    </row>
    <row r="50" spans="1:25" ht="9.75" customHeight="1">
      <c r="A50" s="136"/>
      <c r="B50" s="138"/>
      <c r="C50" s="138"/>
      <c r="D50" s="138"/>
      <c r="E50" s="138"/>
      <c r="F50" s="138"/>
      <c r="G50" s="138"/>
      <c r="H50" s="138"/>
      <c r="I50" s="138"/>
      <c r="J50" s="138"/>
      <c r="K50" s="138"/>
      <c r="L50" s="720" t="s">
        <v>85</v>
      </c>
      <c r="M50" s="720" t="s">
        <v>403</v>
      </c>
      <c r="N50" s="721">
        <v>2.9537</v>
      </c>
      <c r="O50" s="722">
        <v>1.289411745</v>
      </c>
      <c r="P50" s="722">
        <v>0.58674892589611505</v>
      </c>
      <c r="T50" s="754" t="s">
        <v>428</v>
      </c>
      <c r="U50" s="755">
        <v>0.23882674827246417</v>
      </c>
      <c r="V50" s="756">
        <v>0.23956347256626434</v>
      </c>
    </row>
    <row r="51" spans="1:25" ht="20.25" customHeight="1">
      <c r="A51" s="136"/>
      <c r="B51" s="138"/>
      <c r="C51" s="138"/>
      <c r="D51" s="138"/>
      <c r="E51" s="138"/>
      <c r="F51" s="138"/>
      <c r="G51" s="138"/>
      <c r="H51" s="138"/>
      <c r="I51" s="138"/>
      <c r="J51" s="138"/>
      <c r="K51" s="138"/>
      <c r="L51" s="720" t="s">
        <v>688</v>
      </c>
      <c r="M51" s="720" t="s">
        <v>403</v>
      </c>
      <c r="N51" s="721">
        <v>2.4</v>
      </c>
      <c r="O51" s="722">
        <v>1.0592379999999999</v>
      </c>
      <c r="P51" s="722">
        <v>0.11614451754385963</v>
      </c>
      <c r="T51" s="885" t="s">
        <v>233</v>
      </c>
      <c r="U51" s="755">
        <v>0.23616527582159622</v>
      </c>
      <c r="V51" s="756">
        <v>0.24270940315448114</v>
      </c>
    </row>
    <row r="52" spans="1:25" ht="9.75" customHeight="1">
      <c r="A52" s="136"/>
      <c r="B52" s="138"/>
      <c r="C52" s="138"/>
      <c r="D52" s="138"/>
      <c r="E52" s="138"/>
      <c r="F52" s="138"/>
      <c r="G52" s="138"/>
      <c r="H52" s="138"/>
      <c r="I52" s="138"/>
      <c r="J52" s="138"/>
      <c r="K52" s="138"/>
      <c r="L52" s="715" t="s">
        <v>429</v>
      </c>
      <c r="M52" s="720" t="s">
        <v>403</v>
      </c>
      <c r="N52" s="721">
        <v>2.4</v>
      </c>
      <c r="O52" s="722">
        <v>0</v>
      </c>
      <c r="P52" s="722">
        <v>0</v>
      </c>
      <c r="T52" s="754" t="s">
        <v>82</v>
      </c>
      <c r="U52" s="755">
        <v>0.2303940043525039</v>
      </c>
      <c r="V52" s="756">
        <v>0.235783021545794</v>
      </c>
    </row>
    <row r="53" spans="1:25" ht="9.75" customHeight="1">
      <c r="B53" s="138"/>
      <c r="C53" s="138"/>
      <c r="D53" s="138"/>
      <c r="E53" s="138"/>
      <c r="F53" s="138"/>
      <c r="G53" s="138"/>
      <c r="H53" s="138"/>
      <c r="I53" s="138"/>
      <c r="J53" s="138"/>
      <c r="K53" s="138"/>
    </row>
    <row r="54" spans="1:25" ht="30.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29"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julio.
Nota: Son consideradas las centrales con operación comercial</v>
      </c>
      <c r="B64" s="929"/>
      <c r="C64" s="929"/>
      <c r="D64" s="929"/>
      <c r="E64" s="929"/>
      <c r="F64" s="929"/>
      <c r="G64" s="929"/>
      <c r="H64" s="929"/>
      <c r="I64" s="929"/>
      <c r="J64" s="929"/>
      <c r="K64" s="929"/>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4"/>
  <sheetViews>
    <sheetView showGridLines="0" view="pageBreakPreview" zoomScaleNormal="100" zoomScaleSheetLayoutView="100" zoomScalePageLayoutView="85" workbookViewId="0">
      <selection activeCell="N53" sqref="N53"/>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customWidth="1"/>
    <col min="12" max="12" width="19.140625" customWidth="1"/>
    <col min="13" max="14" width="9.42578125" bestFit="1" customWidth="1"/>
  </cols>
  <sheetData>
    <row r="1" spans="1:14" ht="11.25" customHeight="1"/>
    <row r="2" spans="1:14" ht="11.25" customHeight="1">
      <c r="A2" s="930" t="s">
        <v>235</v>
      </c>
      <c r="B2" s="930"/>
      <c r="C2" s="930"/>
      <c r="D2" s="930"/>
      <c r="E2" s="930"/>
      <c r="F2" s="930"/>
      <c r="G2" s="930"/>
      <c r="H2" s="930"/>
      <c r="I2" s="930"/>
      <c r="J2" s="17"/>
    </row>
    <row r="3" spans="1:14" ht="6" customHeight="1">
      <c r="A3" s="17"/>
      <c r="B3" s="17"/>
      <c r="C3" s="17"/>
      <c r="D3" s="17"/>
      <c r="E3" s="17"/>
      <c r="F3" s="17"/>
      <c r="G3" s="17"/>
      <c r="H3" s="17"/>
      <c r="I3" s="17"/>
      <c r="J3" s="17"/>
      <c r="K3" s="329"/>
      <c r="L3" s="329"/>
    </row>
    <row r="4" spans="1:14" ht="11.25" customHeight="1">
      <c r="A4" s="936" t="s">
        <v>245</v>
      </c>
      <c r="B4" s="937" t="str">
        <f>+'1. Resumen'!Q4</f>
        <v>julio</v>
      </c>
      <c r="C4" s="938"/>
      <c r="D4" s="938"/>
      <c r="E4" s="138"/>
      <c r="F4" s="138"/>
      <c r="G4" s="939" t="s">
        <v>477</v>
      </c>
      <c r="H4" s="939"/>
      <c r="I4" s="939"/>
      <c r="J4" s="138"/>
      <c r="L4" s="330"/>
      <c r="M4" s="331">
        <v>2020</v>
      </c>
      <c r="N4" s="331">
        <v>2019</v>
      </c>
    </row>
    <row r="5" spans="1:14" ht="11.25" customHeight="1">
      <c r="A5" s="936"/>
      <c r="B5" s="478">
        <f>+'1. Resumen'!Q5</f>
        <v>2020</v>
      </c>
      <c r="C5" s="479">
        <f>+B5-1</f>
        <v>2019</v>
      </c>
      <c r="D5" s="479" t="s">
        <v>35</v>
      </c>
      <c r="E5" s="138"/>
      <c r="F5" s="138"/>
      <c r="G5" s="138"/>
      <c r="H5" s="138"/>
      <c r="I5" s="138"/>
      <c r="J5" s="138"/>
      <c r="K5" s="332"/>
      <c r="L5" s="336" t="s">
        <v>105</v>
      </c>
      <c r="M5" s="334">
        <v>0</v>
      </c>
      <c r="N5" s="334">
        <v>27.007340322499999</v>
      </c>
    </row>
    <row r="6" spans="1:14" ht="10.5" customHeight="1">
      <c r="A6" s="390" t="s">
        <v>410</v>
      </c>
      <c r="B6" s="407">
        <v>766.07872023499999</v>
      </c>
      <c r="C6" s="408">
        <v>759.43477554499998</v>
      </c>
      <c r="D6" s="391">
        <f>IF(C6=0,"",B6/C6-1)</f>
        <v>8.748538918608384E-3</v>
      </c>
      <c r="E6" s="138"/>
      <c r="F6" s="138"/>
      <c r="G6" s="138"/>
      <c r="H6" s="138"/>
      <c r="I6" s="138"/>
      <c r="J6" s="138"/>
      <c r="K6" s="335"/>
      <c r="L6" s="336" t="s">
        <v>100</v>
      </c>
      <c r="M6" s="334">
        <v>0</v>
      </c>
      <c r="N6" s="334">
        <v>194.84912664500001</v>
      </c>
    </row>
    <row r="7" spans="1:14" ht="10.5" customHeight="1">
      <c r="A7" s="392" t="s">
        <v>87</v>
      </c>
      <c r="B7" s="409">
        <v>670.71926315500002</v>
      </c>
      <c r="C7" s="409">
        <v>601.88591489999976</v>
      </c>
      <c r="D7" s="393">
        <f t="shared" ref="D7:D64" si="0">IF(C7=0,"",B7/C7-1)</f>
        <v>0.11436278296433722</v>
      </c>
      <c r="E7" s="403"/>
      <c r="F7" s="138"/>
      <c r="G7" s="138"/>
      <c r="H7" s="138"/>
      <c r="I7" s="138"/>
      <c r="J7" s="138"/>
      <c r="L7" s="334" t="s">
        <v>119</v>
      </c>
      <c r="M7" s="334">
        <v>0</v>
      </c>
      <c r="N7" s="334">
        <v>7.51934925E-2</v>
      </c>
    </row>
    <row r="8" spans="1:14" ht="10.5" customHeight="1">
      <c r="A8" s="390" t="s">
        <v>89</v>
      </c>
      <c r="B8" s="408">
        <v>619.89949139999999</v>
      </c>
      <c r="C8" s="408">
        <v>629.67828553749996</v>
      </c>
      <c r="D8" s="391">
        <f t="shared" si="0"/>
        <v>-1.5529825884265103E-2</v>
      </c>
      <c r="E8" s="138"/>
      <c r="F8" s="138"/>
      <c r="G8" s="138"/>
      <c r="H8" s="138"/>
      <c r="I8" s="138"/>
      <c r="J8" s="138"/>
      <c r="L8" s="336" t="s">
        <v>102</v>
      </c>
      <c r="M8" s="334">
        <v>0</v>
      </c>
      <c r="N8" s="334">
        <v>20.584662175000002</v>
      </c>
    </row>
    <row r="9" spans="1:14" ht="10.5" customHeight="1">
      <c r="A9" s="392" t="s">
        <v>88</v>
      </c>
      <c r="B9" s="409">
        <v>593.37509311750011</v>
      </c>
      <c r="C9" s="409">
        <v>578.89770246500007</v>
      </c>
      <c r="D9" s="393">
        <f t="shared" si="0"/>
        <v>2.5008547435676487E-2</v>
      </c>
      <c r="E9" s="138"/>
      <c r="F9" s="138"/>
      <c r="G9" s="138"/>
      <c r="H9" s="138"/>
      <c r="I9" s="138"/>
      <c r="J9" s="138"/>
      <c r="L9" s="336" t="s">
        <v>244</v>
      </c>
      <c r="M9" s="334">
        <v>0</v>
      </c>
      <c r="N9" s="334">
        <v>0.40410757000000003</v>
      </c>
    </row>
    <row r="10" spans="1:14" ht="10.5" customHeight="1">
      <c r="A10" s="390" t="s">
        <v>239</v>
      </c>
      <c r="B10" s="408">
        <v>311.54440941249999</v>
      </c>
      <c r="C10" s="408">
        <v>404.84561240500005</v>
      </c>
      <c r="D10" s="391">
        <f t="shared" si="0"/>
        <v>-0.23046119343677918</v>
      </c>
      <c r="E10" s="138"/>
      <c r="F10" s="138"/>
      <c r="G10" s="138"/>
      <c r="H10" s="138"/>
      <c r="I10" s="138"/>
      <c r="J10" s="138"/>
      <c r="K10" s="332"/>
      <c r="L10" s="334" t="s">
        <v>236</v>
      </c>
      <c r="M10" s="334">
        <v>0</v>
      </c>
      <c r="N10" s="334">
        <v>0</v>
      </c>
    </row>
    <row r="11" spans="1:14" ht="10.5" customHeight="1">
      <c r="A11" s="392" t="s">
        <v>90</v>
      </c>
      <c r="B11" s="409">
        <v>151.89255702499997</v>
      </c>
      <c r="C11" s="409">
        <v>155.29043071249998</v>
      </c>
      <c r="D11" s="393">
        <f t="shared" si="0"/>
        <v>-2.1880766715051014E-2</v>
      </c>
      <c r="E11" s="138"/>
      <c r="F11" s="138"/>
      <c r="G11" s="138"/>
      <c r="H11" s="138"/>
      <c r="I11" s="138"/>
      <c r="J11" s="138"/>
      <c r="K11" s="335"/>
      <c r="L11" s="334" t="s">
        <v>121</v>
      </c>
      <c r="M11" s="334">
        <v>0</v>
      </c>
      <c r="N11" s="334">
        <v>5.9208024450000005</v>
      </c>
    </row>
    <row r="12" spans="1:14" ht="10.5" customHeight="1">
      <c r="A12" s="390" t="s">
        <v>241</v>
      </c>
      <c r="B12" s="408">
        <v>114.47956201</v>
      </c>
      <c r="C12" s="408">
        <v>91.60953804750001</v>
      </c>
      <c r="D12" s="391">
        <f t="shared" si="0"/>
        <v>0.24964675567561279</v>
      </c>
      <c r="E12" s="138"/>
      <c r="F12" s="138"/>
      <c r="G12" s="138"/>
      <c r="H12" s="138"/>
      <c r="I12" s="138"/>
      <c r="J12" s="138"/>
      <c r="K12" s="335"/>
      <c r="L12" s="334" t="s">
        <v>243</v>
      </c>
      <c r="M12" s="334">
        <v>2.2211900000000001E-3</v>
      </c>
      <c r="N12" s="334">
        <v>2.5215424999999996E-3</v>
      </c>
    </row>
    <row r="13" spans="1:14" ht="10.5" customHeight="1">
      <c r="A13" s="392" t="s">
        <v>98</v>
      </c>
      <c r="B13" s="409">
        <v>95.162058802499999</v>
      </c>
      <c r="C13" s="409">
        <v>90.229592492500004</v>
      </c>
      <c r="D13" s="394">
        <f t="shared" si="0"/>
        <v>5.4665727437591904E-2</v>
      </c>
      <c r="E13" s="138"/>
      <c r="F13" s="138"/>
      <c r="G13" s="138"/>
      <c r="H13" s="138"/>
      <c r="I13" s="138"/>
      <c r="J13" s="138"/>
      <c r="K13" s="335"/>
      <c r="L13" s="336" t="s">
        <v>412</v>
      </c>
      <c r="M13" s="334">
        <v>2.6193000000000001E-2</v>
      </c>
      <c r="N13" s="334">
        <v>9.8008250000000005E-2</v>
      </c>
    </row>
    <row r="14" spans="1:14" ht="10.5" customHeight="1">
      <c r="A14" s="390" t="s">
        <v>92</v>
      </c>
      <c r="B14" s="408">
        <v>92.219923397499997</v>
      </c>
      <c r="C14" s="408">
        <v>93.4875355625</v>
      </c>
      <c r="D14" s="391">
        <f t="shared" si="0"/>
        <v>-1.3559156922609783E-2</v>
      </c>
      <c r="E14" s="138"/>
      <c r="F14" s="138"/>
      <c r="G14" s="138"/>
      <c r="H14" s="138"/>
      <c r="I14" s="138"/>
      <c r="J14" s="138"/>
      <c r="K14" s="335"/>
      <c r="L14" s="336" t="s">
        <v>118</v>
      </c>
      <c r="M14" s="334">
        <v>0.21278664750000001</v>
      </c>
      <c r="N14" s="334">
        <v>2.73475525E-2</v>
      </c>
    </row>
    <row r="15" spans="1:14" ht="10.5" customHeight="1">
      <c r="A15" s="392" t="s">
        <v>91</v>
      </c>
      <c r="B15" s="409">
        <v>72.200469607499983</v>
      </c>
      <c r="C15" s="409">
        <v>71.220666857499992</v>
      </c>
      <c r="D15" s="393">
        <f t="shared" si="0"/>
        <v>1.3757281323417025E-2</v>
      </c>
      <c r="E15" s="138"/>
      <c r="F15" s="138"/>
      <c r="G15" s="138"/>
      <c r="H15" s="138"/>
      <c r="I15" s="138"/>
      <c r="J15" s="138"/>
      <c r="K15" s="335"/>
      <c r="L15" s="334" t="s">
        <v>453</v>
      </c>
      <c r="M15" s="334">
        <v>0.31237861249999999</v>
      </c>
      <c r="N15" s="334">
        <v>0.24919130749999999</v>
      </c>
    </row>
    <row r="16" spans="1:14" ht="10.5" customHeight="1">
      <c r="A16" s="390" t="s">
        <v>237</v>
      </c>
      <c r="B16" s="408">
        <v>71.363217202499996</v>
      </c>
      <c r="C16" s="408">
        <v>92.340128859999993</v>
      </c>
      <c r="D16" s="391">
        <f t="shared" si="0"/>
        <v>-0.22717004964660392</v>
      </c>
      <c r="E16" s="138"/>
      <c r="F16" s="138"/>
      <c r="G16" s="138"/>
      <c r="H16" s="138"/>
      <c r="I16" s="138"/>
      <c r="J16" s="138" t="s">
        <v>8</v>
      </c>
      <c r="K16" s="335"/>
      <c r="L16" s="334" t="s">
        <v>117</v>
      </c>
      <c r="M16" s="334">
        <v>0.73321645000000002</v>
      </c>
      <c r="N16" s="334">
        <v>1.1403937000000002</v>
      </c>
    </row>
    <row r="17" spans="1:14" ht="10.5" customHeight="1">
      <c r="A17" s="392" t="s">
        <v>96</v>
      </c>
      <c r="B17" s="409">
        <v>66.20538873000001</v>
      </c>
      <c r="C17" s="409">
        <v>64.338034284999992</v>
      </c>
      <c r="D17" s="393">
        <f t="shared" si="0"/>
        <v>2.9024114052476957E-2</v>
      </c>
      <c r="E17" s="138"/>
      <c r="F17" s="138"/>
      <c r="G17" s="138"/>
      <c r="H17" s="138"/>
      <c r="I17" s="138"/>
      <c r="J17" s="138"/>
      <c r="K17" s="335"/>
      <c r="L17" s="334" t="s">
        <v>114</v>
      </c>
      <c r="M17" s="334">
        <v>1.4166281825000002</v>
      </c>
      <c r="N17" s="334">
        <v>2.6711766675000002</v>
      </c>
    </row>
    <row r="18" spans="1:14" ht="10.5" customHeight="1">
      <c r="A18" s="390" t="s">
        <v>94</v>
      </c>
      <c r="B18" s="408">
        <v>52.447161485000002</v>
      </c>
      <c r="C18" s="408">
        <v>56.944604062499998</v>
      </c>
      <c r="D18" s="391">
        <f t="shared" si="0"/>
        <v>-7.8979258027043087E-2</v>
      </c>
      <c r="E18" s="138"/>
      <c r="F18" s="138"/>
      <c r="G18" s="138"/>
      <c r="H18" s="138"/>
      <c r="I18" s="138"/>
      <c r="J18" s="138"/>
      <c r="K18" s="338"/>
      <c r="L18" s="334" t="s">
        <v>115</v>
      </c>
      <c r="M18" s="334">
        <v>1.4926283625000001</v>
      </c>
      <c r="N18" s="334">
        <v>1.72368308</v>
      </c>
    </row>
    <row r="19" spans="1:14" ht="10.5" customHeight="1">
      <c r="A19" s="392" t="s">
        <v>99</v>
      </c>
      <c r="B19" s="409">
        <v>49.661995284999996</v>
      </c>
      <c r="C19" s="409">
        <v>44.431992664999996</v>
      </c>
      <c r="D19" s="393">
        <f t="shared" si="0"/>
        <v>0.11770803662649554</v>
      </c>
      <c r="E19" s="138"/>
      <c r="F19" s="138"/>
      <c r="G19" s="138"/>
      <c r="H19" s="138"/>
      <c r="I19" s="138"/>
      <c r="J19" s="138"/>
      <c r="K19" s="335"/>
      <c r="L19" s="336" t="s">
        <v>431</v>
      </c>
      <c r="M19" s="334">
        <v>1.599664</v>
      </c>
      <c r="N19" s="334">
        <v>5.0063399400000002</v>
      </c>
    </row>
    <row r="20" spans="1:14" ht="10.5" customHeight="1">
      <c r="A20" s="390" t="s">
        <v>430</v>
      </c>
      <c r="B20" s="408">
        <v>47.694664169999996</v>
      </c>
      <c r="C20" s="408">
        <v>48.790832967500002</v>
      </c>
      <c r="D20" s="391">
        <f t="shared" si="0"/>
        <v>-2.2466695705526729E-2</v>
      </c>
      <c r="E20" s="138"/>
      <c r="F20" s="138"/>
      <c r="G20" s="138"/>
      <c r="H20" s="138"/>
      <c r="I20" s="138"/>
      <c r="J20" s="138"/>
      <c r="K20" s="335"/>
      <c r="L20" s="334" t="s">
        <v>116</v>
      </c>
      <c r="M20" s="334">
        <v>2.3858000000000001</v>
      </c>
      <c r="N20" s="334">
        <v>2.3740999999999999</v>
      </c>
    </row>
    <row r="21" spans="1:14" ht="10.5" customHeight="1">
      <c r="A21" s="392" t="s">
        <v>93</v>
      </c>
      <c r="B21" s="409">
        <v>46.380362959999999</v>
      </c>
      <c r="C21" s="409">
        <v>51.123578004999999</v>
      </c>
      <c r="D21" s="393">
        <f t="shared" si="0"/>
        <v>-9.2779402970114888E-2</v>
      </c>
      <c r="E21" s="138"/>
      <c r="F21" s="138"/>
      <c r="G21" s="138"/>
      <c r="H21" s="138"/>
      <c r="I21" s="138"/>
      <c r="J21" s="138"/>
      <c r="K21" s="335"/>
      <c r="L21" s="336" t="s">
        <v>487</v>
      </c>
      <c r="M21" s="334">
        <v>2.6257684399999999</v>
      </c>
      <c r="N21" s="334"/>
    </row>
    <row r="22" spans="1:14" ht="10.5" customHeight="1">
      <c r="A22" s="390" t="s">
        <v>97</v>
      </c>
      <c r="B22" s="408">
        <v>41.574695089999999</v>
      </c>
      <c r="C22" s="408">
        <v>38.501667577500001</v>
      </c>
      <c r="D22" s="391">
        <f t="shared" si="0"/>
        <v>7.9815439326473392E-2</v>
      </c>
      <c r="E22" s="138"/>
      <c r="F22" s="138"/>
      <c r="G22" s="138"/>
      <c r="H22" s="138"/>
      <c r="I22" s="138"/>
      <c r="J22" s="138"/>
      <c r="K22" s="338"/>
      <c r="L22" s="334" t="s">
        <v>120</v>
      </c>
      <c r="M22" s="334">
        <v>3.0129477499999999</v>
      </c>
      <c r="N22" s="334">
        <v>3.8167390024999999</v>
      </c>
    </row>
    <row r="23" spans="1:14" ht="10.5" customHeight="1">
      <c r="A23" s="392" t="s">
        <v>95</v>
      </c>
      <c r="B23" s="409">
        <v>41.121345155</v>
      </c>
      <c r="C23" s="409">
        <v>42.822244964999996</v>
      </c>
      <c r="D23" s="393">
        <f t="shared" si="0"/>
        <v>-3.9720005604334752E-2</v>
      </c>
      <c r="E23" s="138"/>
      <c r="F23" s="138"/>
      <c r="G23" s="138"/>
      <c r="H23" s="138"/>
      <c r="I23" s="138"/>
      <c r="J23" s="138"/>
      <c r="K23" s="335"/>
      <c r="L23" s="336" t="s">
        <v>111</v>
      </c>
      <c r="M23" s="334">
        <v>3.4835824</v>
      </c>
      <c r="N23" s="334">
        <v>3.4995767999999998</v>
      </c>
    </row>
    <row r="24" spans="1:14" ht="10.5" customHeight="1">
      <c r="A24" s="390" t="s">
        <v>238</v>
      </c>
      <c r="B24" s="408">
        <v>36.881255449999998</v>
      </c>
      <c r="C24" s="408">
        <v>35.189583937500004</v>
      </c>
      <c r="D24" s="391">
        <f t="shared" si="0"/>
        <v>4.8073075132248233E-2</v>
      </c>
      <c r="E24" s="138"/>
      <c r="F24" s="138"/>
      <c r="G24" s="138"/>
      <c r="H24" s="138"/>
      <c r="I24" s="138"/>
      <c r="J24" s="138"/>
      <c r="K24" s="335"/>
      <c r="L24" s="336" t="s">
        <v>112</v>
      </c>
      <c r="M24" s="334">
        <v>3.5239659825</v>
      </c>
      <c r="N24" s="334">
        <v>3.5730533725</v>
      </c>
    </row>
    <row r="25" spans="1:14" ht="10.5" customHeight="1">
      <c r="A25" s="392" t="s">
        <v>242</v>
      </c>
      <c r="B25" s="409">
        <v>17.020225054999997</v>
      </c>
      <c r="C25" s="409">
        <v>15.786855662500001</v>
      </c>
      <c r="D25" s="393">
        <f t="shared" si="0"/>
        <v>7.8126348835235948E-2</v>
      </c>
      <c r="E25" s="138"/>
      <c r="F25" s="138"/>
      <c r="G25" s="138"/>
      <c r="H25" s="138"/>
      <c r="I25" s="138"/>
      <c r="J25" s="138"/>
      <c r="K25" s="335"/>
      <c r="L25" s="336" t="s">
        <v>457</v>
      </c>
      <c r="M25" s="334">
        <v>3.7275999999999998</v>
      </c>
      <c r="N25" s="334"/>
    </row>
    <row r="26" spans="1:14" ht="10.5" customHeight="1">
      <c r="A26" s="390" t="s">
        <v>108</v>
      </c>
      <c r="B26" s="408">
        <v>16.402478439999999</v>
      </c>
      <c r="C26" s="408">
        <v>17.591430482500002</v>
      </c>
      <c r="D26" s="391">
        <f t="shared" si="0"/>
        <v>-6.7587001732620555E-2</v>
      </c>
      <c r="E26" s="138"/>
      <c r="F26" s="138"/>
      <c r="G26" s="138"/>
      <c r="H26" s="138"/>
      <c r="I26" s="138"/>
      <c r="J26" s="138"/>
      <c r="K26" s="335"/>
      <c r="L26" s="334" t="s">
        <v>109</v>
      </c>
      <c r="M26" s="334">
        <v>3.7283089899999999</v>
      </c>
      <c r="N26" s="334">
        <v>2.9160315799999998</v>
      </c>
    </row>
    <row r="27" spans="1:14" ht="10.5" customHeight="1">
      <c r="A27" s="392" t="s">
        <v>113</v>
      </c>
      <c r="B27" s="409">
        <v>16.2382400475</v>
      </c>
      <c r="C27" s="409">
        <v>15.966832397499999</v>
      </c>
      <c r="D27" s="393">
        <f t="shared" si="0"/>
        <v>1.6998215002400618E-2</v>
      </c>
      <c r="E27" s="138"/>
      <c r="F27" s="138"/>
      <c r="G27" s="138"/>
      <c r="H27" s="138"/>
      <c r="I27" s="138"/>
      <c r="J27" s="138"/>
      <c r="K27" s="335"/>
      <c r="L27" s="336" t="s">
        <v>110</v>
      </c>
      <c r="M27" s="334">
        <v>3.7366510650000002</v>
      </c>
      <c r="N27" s="334">
        <v>3.669384355</v>
      </c>
    </row>
    <row r="28" spans="1:14" ht="10.5" customHeight="1">
      <c r="A28" s="395" t="s">
        <v>402</v>
      </c>
      <c r="B28" s="408">
        <v>14.841791402499998</v>
      </c>
      <c r="C28" s="408">
        <v>14.703850147499999</v>
      </c>
      <c r="D28" s="391">
        <f t="shared" si="0"/>
        <v>9.3813017418062916E-3</v>
      </c>
      <c r="E28" s="138"/>
      <c r="F28" s="138"/>
      <c r="G28" s="138"/>
      <c r="H28" s="138"/>
      <c r="I28" s="138"/>
      <c r="J28" s="138"/>
      <c r="K28" s="335"/>
      <c r="L28" s="336" t="s">
        <v>106</v>
      </c>
      <c r="M28" s="334">
        <v>4.2733535975000008</v>
      </c>
      <c r="N28" s="334">
        <v>8.3256122875000003</v>
      </c>
    </row>
    <row r="29" spans="1:14" ht="10.5" customHeight="1">
      <c r="A29" s="396" t="s">
        <v>103</v>
      </c>
      <c r="B29" s="409">
        <v>11.739442825000001</v>
      </c>
      <c r="C29" s="409">
        <v>12.621841</v>
      </c>
      <c r="D29" s="393">
        <f t="shared" si="0"/>
        <v>-6.9910417584883144E-2</v>
      </c>
      <c r="E29" s="138"/>
      <c r="F29" s="138"/>
      <c r="G29" s="138"/>
      <c r="H29" s="138"/>
      <c r="I29" s="138"/>
      <c r="J29" s="138"/>
      <c r="K29" s="335"/>
      <c r="L29" s="336" t="s">
        <v>107</v>
      </c>
      <c r="M29" s="334">
        <v>4.4507572149999994</v>
      </c>
      <c r="N29" s="334">
        <v>3.93006923</v>
      </c>
    </row>
    <row r="30" spans="1:14" ht="10.5" customHeight="1">
      <c r="A30" s="397" t="s">
        <v>455</v>
      </c>
      <c r="B30" s="408">
        <v>11.544124154999999</v>
      </c>
      <c r="C30" s="408">
        <v>13.905980764999999</v>
      </c>
      <c r="D30" s="391">
        <f t="shared" si="0"/>
        <v>-0.16984466251704899</v>
      </c>
      <c r="E30" s="138"/>
      <c r="F30" s="138"/>
      <c r="G30" s="138"/>
      <c r="H30" s="138"/>
      <c r="I30" s="138"/>
      <c r="J30" s="138"/>
      <c r="K30" s="335"/>
      <c r="L30" s="334" t="s">
        <v>458</v>
      </c>
      <c r="M30" s="334">
        <v>4.4928699924999993</v>
      </c>
      <c r="N30" s="334"/>
    </row>
    <row r="31" spans="1:14" ht="10.5" customHeight="1">
      <c r="A31" s="396" t="s">
        <v>240</v>
      </c>
      <c r="B31" s="409">
        <v>10.821367370000001</v>
      </c>
      <c r="C31" s="409">
        <v>11.135751145</v>
      </c>
      <c r="D31" s="393">
        <f t="shared" si="0"/>
        <v>-2.8231932530313308E-2</v>
      </c>
      <c r="E31" s="138"/>
      <c r="F31" s="138"/>
      <c r="G31" s="138"/>
      <c r="H31" s="138"/>
      <c r="I31" s="138"/>
      <c r="J31" s="138"/>
      <c r="K31" s="335"/>
      <c r="L31" s="334" t="s">
        <v>411</v>
      </c>
      <c r="M31" s="334">
        <v>4.605365795</v>
      </c>
      <c r="N31" s="334">
        <v>6.232259792499999</v>
      </c>
    </row>
    <row r="32" spans="1:14" ht="14.25" customHeight="1">
      <c r="A32" s="397" t="s">
        <v>634</v>
      </c>
      <c r="B32" s="408">
        <v>10.241985515</v>
      </c>
      <c r="C32" s="408">
        <v>10.435492195</v>
      </c>
      <c r="D32" s="391">
        <f t="shared" si="0"/>
        <v>-1.854312919640877E-2</v>
      </c>
      <c r="E32" s="138"/>
      <c r="F32" s="138"/>
      <c r="G32" s="138"/>
      <c r="H32" s="138"/>
      <c r="I32" s="138"/>
      <c r="J32" s="138"/>
      <c r="K32" s="335"/>
      <c r="L32" s="334" t="s">
        <v>421</v>
      </c>
      <c r="M32" s="334">
        <v>5.1288364674999993</v>
      </c>
      <c r="N32" s="334">
        <v>5.7604991300000004</v>
      </c>
    </row>
    <row r="33" spans="1:14">
      <c r="A33" s="710" t="s">
        <v>101</v>
      </c>
      <c r="B33" s="409">
        <v>9.7771559999999997</v>
      </c>
      <c r="C33" s="409">
        <v>9.4009940399999987</v>
      </c>
      <c r="D33" s="393">
        <f t="shared" si="0"/>
        <v>4.0012998455214444E-2</v>
      </c>
      <c r="E33" s="138"/>
      <c r="F33" s="138"/>
      <c r="G33" s="138"/>
      <c r="H33" s="138"/>
      <c r="I33" s="138"/>
      <c r="J33" s="138"/>
      <c r="K33" s="335"/>
      <c r="L33" s="336" t="s">
        <v>446</v>
      </c>
      <c r="M33" s="334">
        <v>7.6888222000000006</v>
      </c>
      <c r="N33" s="334">
        <v>8.3234360350000003</v>
      </c>
    </row>
    <row r="34" spans="1:14">
      <c r="A34" s="531" t="s">
        <v>418</v>
      </c>
      <c r="B34" s="408">
        <v>9.2961763949999998</v>
      </c>
      <c r="C34" s="408">
        <v>9.1813251700000009</v>
      </c>
      <c r="D34" s="391">
        <f>IF(C34=0,"",B34/C34-1)</f>
        <v>1.2509220931993026E-2</v>
      </c>
      <c r="E34" s="138"/>
      <c r="F34" s="138"/>
      <c r="G34" s="138"/>
      <c r="H34" s="138"/>
      <c r="I34" s="138"/>
      <c r="J34" s="138"/>
      <c r="K34" s="339"/>
      <c r="L34" s="336" t="s">
        <v>104</v>
      </c>
      <c r="M34" s="334">
        <v>7.9397423199999997</v>
      </c>
      <c r="N34" s="334">
        <v>3.9679316425</v>
      </c>
    </row>
    <row r="35" spans="1:14">
      <c r="A35" s="710" t="s">
        <v>104</v>
      </c>
      <c r="B35" s="409">
        <v>7.9397423199999997</v>
      </c>
      <c r="C35" s="409">
        <v>3.9679316425</v>
      </c>
      <c r="D35" s="393">
        <f t="shared" si="0"/>
        <v>1.0009775962263192</v>
      </c>
      <c r="E35" s="138"/>
      <c r="F35" s="138"/>
      <c r="G35" s="138"/>
      <c r="H35" s="138"/>
      <c r="I35" s="138"/>
      <c r="J35" s="138"/>
      <c r="K35" s="339"/>
      <c r="L35" s="336" t="s">
        <v>418</v>
      </c>
      <c r="M35" s="334">
        <v>9.2961763949999998</v>
      </c>
      <c r="N35" s="334">
        <v>9.1813251700000009</v>
      </c>
    </row>
    <row r="36" spans="1:14" ht="11.25" customHeight="1">
      <c r="A36" s="531" t="s">
        <v>446</v>
      </c>
      <c r="B36" s="408">
        <v>7.6888222000000006</v>
      </c>
      <c r="C36" s="408">
        <v>8.3234360350000003</v>
      </c>
      <c r="D36" s="391">
        <f t="shared" si="0"/>
        <v>-7.6244213607391531E-2</v>
      </c>
      <c r="E36" s="138"/>
      <c r="F36" s="138"/>
      <c r="G36" s="138"/>
      <c r="H36" s="138"/>
      <c r="I36" s="138"/>
      <c r="J36" s="138"/>
      <c r="K36" s="338"/>
      <c r="L36" s="336" t="s">
        <v>101</v>
      </c>
      <c r="M36" s="334">
        <v>9.7771559999999997</v>
      </c>
      <c r="N36" s="334">
        <v>9.4009940399999987</v>
      </c>
    </row>
    <row r="37" spans="1:14" ht="10.5" customHeight="1">
      <c r="A37" s="396" t="s">
        <v>421</v>
      </c>
      <c r="B37" s="409">
        <v>5.1288364674999993</v>
      </c>
      <c r="C37" s="409">
        <v>5.7604991300000004</v>
      </c>
      <c r="D37" s="393">
        <f t="shared" si="0"/>
        <v>-0.10965415465656025</v>
      </c>
      <c r="E37" s="138"/>
      <c r="F37" s="138"/>
      <c r="G37" s="138"/>
      <c r="H37" s="138"/>
      <c r="I37" s="138"/>
      <c r="J37" s="138"/>
      <c r="K37" s="338"/>
      <c r="L37" s="334" t="s">
        <v>425</v>
      </c>
      <c r="M37" s="334">
        <v>10.241985515</v>
      </c>
      <c r="N37" s="334">
        <v>10.435492195</v>
      </c>
    </row>
    <row r="38" spans="1:14" ht="10.5" customHeight="1">
      <c r="A38" s="531" t="s">
        <v>411</v>
      </c>
      <c r="B38" s="408">
        <v>4.605365795</v>
      </c>
      <c r="C38" s="408">
        <v>6.232259792499999</v>
      </c>
      <c r="D38" s="391">
        <f t="shared" si="0"/>
        <v>-0.26104399554361146</v>
      </c>
      <c r="E38" s="138"/>
      <c r="F38" s="138"/>
      <c r="G38" s="138"/>
      <c r="H38" s="138"/>
      <c r="I38" s="138"/>
      <c r="J38" s="138"/>
      <c r="K38" s="338"/>
      <c r="L38" s="336" t="s">
        <v>240</v>
      </c>
      <c r="M38" s="334">
        <v>10.821367370000001</v>
      </c>
      <c r="N38" s="334">
        <v>11.135751145</v>
      </c>
    </row>
    <row r="39" spans="1:14" ht="10.5" customHeight="1">
      <c r="A39" s="710" t="s">
        <v>458</v>
      </c>
      <c r="B39" s="409">
        <v>4.4928699924999993</v>
      </c>
      <c r="C39" s="409"/>
      <c r="D39" s="393" t="str">
        <f t="shared" si="0"/>
        <v/>
      </c>
      <c r="E39" s="138"/>
      <c r="F39" s="138"/>
      <c r="G39" s="138"/>
      <c r="H39" s="138"/>
      <c r="I39" s="138"/>
      <c r="J39" s="138"/>
      <c r="K39" s="339"/>
      <c r="L39" s="334" t="s">
        <v>455</v>
      </c>
      <c r="M39" s="334">
        <v>11.544124154999999</v>
      </c>
      <c r="N39" s="334">
        <v>13.905980764999999</v>
      </c>
    </row>
    <row r="40" spans="1:14" ht="10.5" customHeight="1">
      <c r="A40" s="531" t="s">
        <v>107</v>
      </c>
      <c r="B40" s="408">
        <v>4.4507572149999994</v>
      </c>
      <c r="C40" s="408">
        <v>3.93006923</v>
      </c>
      <c r="D40" s="391">
        <f t="shared" si="0"/>
        <v>0.13248824754163424</v>
      </c>
      <c r="E40" s="138"/>
      <c r="F40" s="138"/>
      <c r="G40" s="138"/>
      <c r="H40" s="138"/>
      <c r="I40" s="138"/>
      <c r="J40" s="138"/>
      <c r="K40" s="339"/>
      <c r="L40" s="336" t="s">
        <v>103</v>
      </c>
      <c r="M40" s="334">
        <v>11.739442825000001</v>
      </c>
      <c r="N40" s="334">
        <v>12.621841</v>
      </c>
    </row>
    <row r="41" spans="1:14" ht="10.5" customHeight="1">
      <c r="A41" s="396" t="s">
        <v>106</v>
      </c>
      <c r="B41" s="409">
        <v>4.2733535975000008</v>
      </c>
      <c r="C41" s="409">
        <v>8.3256122875000003</v>
      </c>
      <c r="D41" s="393">
        <f t="shared" si="0"/>
        <v>-0.48672200314732705</v>
      </c>
      <c r="E41" s="138"/>
      <c r="F41" s="138"/>
      <c r="G41" s="138"/>
      <c r="H41" s="138"/>
      <c r="I41" s="138"/>
      <c r="J41" s="138"/>
      <c r="K41" s="339"/>
      <c r="L41" s="334" t="s">
        <v>402</v>
      </c>
      <c r="M41" s="334">
        <v>14.841791402499998</v>
      </c>
      <c r="N41" s="334">
        <v>14.703850147499999</v>
      </c>
    </row>
    <row r="42" spans="1:14" ht="10.5" customHeight="1">
      <c r="A42" s="397" t="s">
        <v>110</v>
      </c>
      <c r="B42" s="408">
        <v>3.7366510650000002</v>
      </c>
      <c r="C42" s="408">
        <v>3.669384355</v>
      </c>
      <c r="D42" s="391">
        <f t="shared" si="0"/>
        <v>1.833187899990385E-2</v>
      </c>
      <c r="E42" s="138"/>
      <c r="F42" s="138"/>
      <c r="G42" s="138"/>
      <c r="H42" s="138"/>
      <c r="I42" s="138"/>
      <c r="J42" s="138"/>
      <c r="L42" s="336" t="s">
        <v>113</v>
      </c>
      <c r="M42" s="334">
        <v>16.2382400475</v>
      </c>
      <c r="N42" s="334">
        <v>15.966832397499999</v>
      </c>
    </row>
    <row r="43" spans="1:14" ht="10.5" customHeight="1">
      <c r="A43" s="396" t="s">
        <v>109</v>
      </c>
      <c r="B43" s="409">
        <v>3.7283089899999999</v>
      </c>
      <c r="C43" s="409">
        <v>2.9160315799999998</v>
      </c>
      <c r="D43" s="393">
        <f t="shared" si="0"/>
        <v>0.27855576584667863</v>
      </c>
      <c r="E43" s="138"/>
      <c r="F43" s="138"/>
      <c r="G43" s="138"/>
      <c r="H43" s="138"/>
      <c r="I43" s="138"/>
      <c r="J43" s="138"/>
      <c r="L43" s="336" t="s">
        <v>108</v>
      </c>
      <c r="M43" s="334">
        <v>16.402478439999999</v>
      </c>
      <c r="N43" s="334">
        <v>17.591430482500002</v>
      </c>
    </row>
    <row r="44" spans="1:14" ht="10.5" customHeight="1">
      <c r="A44" s="397" t="s">
        <v>457</v>
      </c>
      <c r="B44" s="408">
        <v>3.7275999999999998</v>
      </c>
      <c r="C44" s="408"/>
      <c r="D44" s="391" t="str">
        <f t="shared" si="0"/>
        <v/>
      </c>
      <c r="E44" s="138"/>
      <c r="F44" s="138"/>
      <c r="G44" s="138"/>
      <c r="H44" s="138"/>
      <c r="I44" s="138"/>
      <c r="J44" s="138"/>
      <c r="L44" s="337" t="s">
        <v>242</v>
      </c>
      <c r="M44" s="334">
        <v>17.020225054999997</v>
      </c>
      <c r="N44" s="334">
        <v>15.786855662500001</v>
      </c>
    </row>
    <row r="45" spans="1:14" ht="10.5" customHeight="1">
      <c r="A45" s="396" t="s">
        <v>112</v>
      </c>
      <c r="B45" s="409">
        <v>3.5239659825</v>
      </c>
      <c r="C45" s="409">
        <v>3.5730533725</v>
      </c>
      <c r="D45" s="393">
        <f t="shared" si="0"/>
        <v>-1.3738219075539404E-2</v>
      </c>
      <c r="E45" s="138"/>
      <c r="F45" s="138"/>
      <c r="G45" s="138"/>
      <c r="H45" s="138"/>
      <c r="I45" s="138"/>
      <c r="J45" s="138"/>
      <c r="L45" s="336" t="s">
        <v>238</v>
      </c>
      <c r="M45" s="334">
        <v>36.881255449999998</v>
      </c>
      <c r="N45" s="334">
        <v>35.189583937500004</v>
      </c>
    </row>
    <row r="46" spans="1:14" ht="10.5" customHeight="1">
      <c r="A46" s="397" t="s">
        <v>111</v>
      </c>
      <c r="B46" s="408">
        <v>3.4835824</v>
      </c>
      <c r="C46" s="408">
        <v>3.4995767999999998</v>
      </c>
      <c r="D46" s="391">
        <f t="shared" si="0"/>
        <v>-4.5703811958062168E-3</v>
      </c>
      <c r="E46" s="138"/>
      <c r="F46" s="138"/>
      <c r="G46" s="138"/>
      <c r="H46" s="138"/>
      <c r="I46" s="138"/>
      <c r="J46" s="138"/>
      <c r="L46" s="336" t="s">
        <v>95</v>
      </c>
      <c r="M46" s="334">
        <v>41.121345155</v>
      </c>
      <c r="N46" s="334">
        <v>42.822244964999996</v>
      </c>
    </row>
    <row r="47" spans="1:14" ht="10.5" customHeight="1">
      <c r="A47" s="396" t="s">
        <v>120</v>
      </c>
      <c r="B47" s="409">
        <v>3.0129477499999999</v>
      </c>
      <c r="C47" s="409">
        <v>3.8167390024999999</v>
      </c>
      <c r="D47" s="393">
        <f t="shared" si="0"/>
        <v>-0.21059633681357548</v>
      </c>
      <c r="E47" s="138"/>
      <c r="F47" s="138"/>
      <c r="G47" s="138"/>
      <c r="H47" s="138"/>
      <c r="I47" s="138"/>
      <c r="J47" s="138"/>
      <c r="L47" s="336" t="s">
        <v>97</v>
      </c>
      <c r="M47" s="334">
        <v>41.574695089999999</v>
      </c>
      <c r="N47" s="334">
        <v>38.501667577500001</v>
      </c>
    </row>
    <row r="48" spans="1:14" ht="10.5" customHeight="1">
      <c r="A48" s="397" t="s">
        <v>487</v>
      </c>
      <c r="B48" s="408">
        <v>2.6257684399999999</v>
      </c>
      <c r="C48" s="408"/>
      <c r="D48" s="391" t="str">
        <f t="shared" si="0"/>
        <v/>
      </c>
      <c r="E48" s="138"/>
      <c r="F48" s="138"/>
      <c r="G48" s="138"/>
      <c r="H48" s="138"/>
      <c r="I48" s="138"/>
      <c r="J48" s="138"/>
      <c r="L48" s="334" t="s">
        <v>93</v>
      </c>
      <c r="M48" s="334">
        <v>46.380362959999999</v>
      </c>
      <c r="N48" s="334">
        <v>51.123578004999999</v>
      </c>
    </row>
    <row r="49" spans="1:14" ht="10.5" customHeight="1">
      <c r="A49" s="396" t="s">
        <v>116</v>
      </c>
      <c r="B49" s="409">
        <v>2.3858000000000001</v>
      </c>
      <c r="C49" s="409">
        <v>2.3740999999999999</v>
      </c>
      <c r="D49" s="393">
        <f t="shared" si="0"/>
        <v>4.9281833115708551E-3</v>
      </c>
      <c r="E49" s="138"/>
      <c r="F49" s="138"/>
      <c r="G49" s="138"/>
      <c r="H49" s="138"/>
      <c r="I49" s="138"/>
      <c r="J49" s="138"/>
      <c r="L49" s="333" t="s">
        <v>430</v>
      </c>
      <c r="M49" s="334">
        <v>47.694664169999996</v>
      </c>
      <c r="N49" s="334">
        <v>48.790832967500002</v>
      </c>
    </row>
    <row r="50" spans="1:14" ht="10.5" customHeight="1">
      <c r="A50" s="397" t="s">
        <v>431</v>
      </c>
      <c r="B50" s="408">
        <v>1.599664</v>
      </c>
      <c r="C50" s="408">
        <v>5.0063399400000002</v>
      </c>
      <c r="D50" s="391">
        <f t="shared" si="0"/>
        <v>-0.6804723572167175</v>
      </c>
      <c r="E50" s="138"/>
      <c r="F50" s="138"/>
      <c r="G50" s="138"/>
      <c r="H50" s="138"/>
      <c r="I50" s="138"/>
      <c r="J50" s="138"/>
      <c r="L50" s="336" t="s">
        <v>99</v>
      </c>
      <c r="M50" s="334">
        <v>49.661995284999996</v>
      </c>
      <c r="N50" s="334">
        <v>44.431992664999996</v>
      </c>
    </row>
    <row r="51" spans="1:14" ht="10.5" customHeight="1">
      <c r="A51" s="396" t="s">
        <v>115</v>
      </c>
      <c r="B51" s="409">
        <v>1.4926283625000001</v>
      </c>
      <c r="C51" s="409">
        <v>1.72368308</v>
      </c>
      <c r="D51" s="393">
        <f t="shared" si="0"/>
        <v>-0.1340470995979145</v>
      </c>
      <c r="E51" s="138"/>
      <c r="F51" s="138"/>
      <c r="G51" s="138"/>
      <c r="H51" s="138"/>
      <c r="I51" s="138"/>
      <c r="J51" s="138"/>
      <c r="L51" s="336" t="s">
        <v>94</v>
      </c>
      <c r="M51" s="334">
        <v>52.447161485000002</v>
      </c>
      <c r="N51" s="334">
        <v>56.944604062499998</v>
      </c>
    </row>
    <row r="52" spans="1:14" ht="10.5" customHeight="1">
      <c r="A52" s="397" t="s">
        <v>114</v>
      </c>
      <c r="B52" s="408">
        <v>1.4166281825000002</v>
      </c>
      <c r="C52" s="408">
        <v>2.6711766675000002</v>
      </c>
      <c r="D52" s="391">
        <f t="shared" si="0"/>
        <v>-0.46966136694139116</v>
      </c>
      <c r="E52" s="138"/>
      <c r="F52" s="138"/>
      <c r="G52" s="138"/>
      <c r="H52" s="138"/>
      <c r="I52" s="138"/>
      <c r="J52" s="138"/>
      <c r="L52" s="336" t="s">
        <v>96</v>
      </c>
      <c r="M52" s="334">
        <v>66.20538873000001</v>
      </c>
      <c r="N52" s="334">
        <v>64.338034284999992</v>
      </c>
    </row>
    <row r="53" spans="1:14" ht="10.5" customHeight="1">
      <c r="A53" s="396" t="s">
        <v>117</v>
      </c>
      <c r="B53" s="409">
        <v>0.73321645000000002</v>
      </c>
      <c r="C53" s="409">
        <v>1.1403937000000002</v>
      </c>
      <c r="D53" s="393">
        <f t="shared" si="0"/>
        <v>-0.35704971888217207</v>
      </c>
      <c r="E53" s="138"/>
      <c r="F53" s="138"/>
      <c r="G53" s="138"/>
      <c r="H53" s="138"/>
      <c r="I53" s="138"/>
      <c r="J53" s="138"/>
      <c r="L53" s="336" t="s">
        <v>237</v>
      </c>
      <c r="M53" s="334">
        <v>71.363217202499996</v>
      </c>
      <c r="N53" s="334">
        <v>92.340128859999993</v>
      </c>
    </row>
    <row r="54" spans="1:14" ht="10.5" customHeight="1">
      <c r="A54" s="397" t="s">
        <v>453</v>
      </c>
      <c r="B54" s="408">
        <v>0.31237861249999999</v>
      </c>
      <c r="C54" s="408">
        <v>0.24919130749999999</v>
      </c>
      <c r="D54" s="391">
        <f t="shared" si="0"/>
        <v>0.25356945887849647</v>
      </c>
      <c r="E54" s="138"/>
      <c r="F54" s="138"/>
      <c r="G54" s="138"/>
      <c r="H54" s="138"/>
      <c r="I54" s="138"/>
      <c r="J54" s="138"/>
      <c r="L54" s="336" t="s">
        <v>91</v>
      </c>
      <c r="M54" s="334">
        <v>72.200469607499983</v>
      </c>
      <c r="N54" s="334">
        <v>71.220666857499992</v>
      </c>
    </row>
    <row r="55" spans="1:14" ht="10.5" customHeight="1">
      <c r="A55" s="396" t="s">
        <v>118</v>
      </c>
      <c r="B55" s="409">
        <v>0.21278664750000001</v>
      </c>
      <c r="C55" s="409">
        <v>2.73475525E-2</v>
      </c>
      <c r="D55" s="393">
        <f t="shared" si="0"/>
        <v>6.7808296555971506</v>
      </c>
      <c r="E55" s="138"/>
      <c r="F55" s="138"/>
      <c r="G55" s="138"/>
      <c r="H55" s="138"/>
      <c r="I55" s="138"/>
      <c r="J55" s="138"/>
      <c r="L55" s="336" t="s">
        <v>92</v>
      </c>
      <c r="M55" s="334">
        <v>92.219923397499997</v>
      </c>
      <c r="N55" s="334">
        <v>93.4875355625</v>
      </c>
    </row>
    <row r="56" spans="1:14" ht="10.5" customHeight="1">
      <c r="A56" s="531" t="s">
        <v>412</v>
      </c>
      <c r="B56" s="408">
        <v>2.6193000000000001E-2</v>
      </c>
      <c r="C56" s="408">
        <v>9.8008250000000005E-2</v>
      </c>
      <c r="D56" s="391">
        <f t="shared" si="0"/>
        <v>-0.73274698813620276</v>
      </c>
      <c r="E56" s="138"/>
      <c r="F56" s="138"/>
      <c r="G56" s="138"/>
      <c r="H56" s="138"/>
      <c r="I56" s="138"/>
      <c r="J56" s="138"/>
      <c r="L56" s="334" t="s">
        <v>98</v>
      </c>
      <c r="M56" s="334">
        <v>95.162058802499999</v>
      </c>
      <c r="N56" s="334">
        <v>90.229592492500004</v>
      </c>
    </row>
    <row r="57" spans="1:14" ht="10.5" customHeight="1">
      <c r="A57" s="396" t="s">
        <v>243</v>
      </c>
      <c r="B57" s="409">
        <v>2.2211900000000001E-3</v>
      </c>
      <c r="C57" s="409">
        <v>2.5215424999999996E-3</v>
      </c>
      <c r="D57" s="393">
        <f t="shared" si="0"/>
        <v>-0.11911458958157539</v>
      </c>
      <c r="E57" s="138"/>
      <c r="F57" s="138"/>
      <c r="G57" s="138"/>
      <c r="H57" s="138"/>
      <c r="I57" s="138"/>
      <c r="J57" s="138"/>
      <c r="L57" s="336" t="s">
        <v>241</v>
      </c>
      <c r="M57" s="334">
        <v>114.47956201</v>
      </c>
      <c r="N57" s="334">
        <v>91.60953804750001</v>
      </c>
    </row>
    <row r="58" spans="1:14" ht="10.5" customHeight="1">
      <c r="A58" s="397" t="s">
        <v>121</v>
      </c>
      <c r="B58" s="408">
        <v>0</v>
      </c>
      <c r="C58" s="408">
        <v>5.9208024450000005</v>
      </c>
      <c r="D58" s="391">
        <f>IF(C58=0,"",B58/C58-1)</f>
        <v>-1</v>
      </c>
      <c r="E58" s="138"/>
      <c r="F58" s="138"/>
      <c r="G58" s="138"/>
      <c r="H58" s="138"/>
      <c r="I58" s="138"/>
      <c r="J58" s="138"/>
      <c r="L58" s="336" t="s">
        <v>90</v>
      </c>
      <c r="M58" s="334">
        <v>151.89255702499997</v>
      </c>
      <c r="N58" s="334">
        <v>155.29043071249998</v>
      </c>
    </row>
    <row r="59" spans="1:14" ht="10.5" customHeight="1">
      <c r="A59" s="396" t="s">
        <v>236</v>
      </c>
      <c r="B59" s="409">
        <v>0</v>
      </c>
      <c r="C59" s="409">
        <v>0</v>
      </c>
      <c r="D59" s="393" t="str">
        <f t="shared" si="0"/>
        <v/>
      </c>
      <c r="E59" s="138"/>
      <c r="F59" s="138"/>
      <c r="G59" s="138"/>
      <c r="H59" s="138"/>
      <c r="I59" s="138"/>
      <c r="J59" s="138"/>
      <c r="L59" s="334" t="s">
        <v>239</v>
      </c>
      <c r="M59" s="334">
        <v>311.54440941249999</v>
      </c>
      <c r="N59" s="334">
        <v>404.84561240500005</v>
      </c>
    </row>
    <row r="60" spans="1:14" ht="10.5" customHeight="1">
      <c r="A60" s="397" t="s">
        <v>244</v>
      </c>
      <c r="B60" s="410">
        <v>0</v>
      </c>
      <c r="C60" s="410">
        <v>0.40410757000000003</v>
      </c>
      <c r="D60" s="398">
        <f t="shared" si="0"/>
        <v>-1</v>
      </c>
      <c r="E60" s="138"/>
      <c r="F60" s="138"/>
      <c r="G60" s="138"/>
      <c r="H60" s="138"/>
      <c r="I60" s="138"/>
      <c r="J60" s="138"/>
      <c r="L60" s="336" t="s">
        <v>88</v>
      </c>
      <c r="M60" s="334">
        <v>593.37509311750011</v>
      </c>
      <c r="N60" s="334">
        <v>578.89770246500007</v>
      </c>
    </row>
    <row r="61" spans="1:14" ht="10.5" customHeight="1">
      <c r="A61" s="399" t="s">
        <v>102</v>
      </c>
      <c r="B61" s="409">
        <v>0</v>
      </c>
      <c r="C61" s="409">
        <v>20.584662175000002</v>
      </c>
      <c r="D61" s="393">
        <f t="shared" si="0"/>
        <v>-1</v>
      </c>
      <c r="E61" s="138"/>
      <c r="F61" s="138"/>
      <c r="G61" s="138"/>
      <c r="H61" s="138"/>
      <c r="I61" s="138"/>
      <c r="J61" s="138"/>
      <c r="L61" s="336" t="s">
        <v>89</v>
      </c>
      <c r="M61" s="334">
        <v>619.89949139999999</v>
      </c>
      <c r="N61" s="334">
        <v>629.67828553749996</v>
      </c>
    </row>
    <row r="62" spans="1:14" s="730" customFormat="1" ht="10.5" customHeight="1">
      <c r="A62" s="397" t="s">
        <v>119</v>
      </c>
      <c r="B62" s="410">
        <v>0</v>
      </c>
      <c r="C62" s="410">
        <v>7.51934925E-2</v>
      </c>
      <c r="D62" s="398">
        <f t="shared" si="0"/>
        <v>-1</v>
      </c>
      <c r="E62" s="138"/>
      <c r="F62" s="138"/>
      <c r="G62" s="138"/>
      <c r="H62" s="138"/>
      <c r="I62" s="138"/>
      <c r="J62" s="138"/>
      <c r="L62" s="336" t="s">
        <v>87</v>
      </c>
      <c r="M62" s="334">
        <v>670.71926315500002</v>
      </c>
      <c r="N62" s="334">
        <v>601.88591489999976</v>
      </c>
    </row>
    <row r="63" spans="1:14" s="730" customFormat="1" ht="10.5" customHeight="1">
      <c r="A63" s="399" t="s">
        <v>100</v>
      </c>
      <c r="B63" s="409">
        <v>0</v>
      </c>
      <c r="C63" s="409">
        <v>194.84912664500001</v>
      </c>
      <c r="D63" s="393">
        <f t="shared" si="0"/>
        <v>-1</v>
      </c>
      <c r="E63" s="138"/>
      <c r="F63" s="138"/>
      <c r="G63" s="138"/>
      <c r="H63" s="138"/>
      <c r="I63" s="138"/>
      <c r="J63" s="138"/>
      <c r="L63" s="336" t="s">
        <v>410</v>
      </c>
      <c r="M63" s="334">
        <v>766.07872023499999</v>
      </c>
      <c r="N63" s="334">
        <v>759.43477554499998</v>
      </c>
    </row>
    <row r="64" spans="1:14" s="730" customFormat="1" ht="10.5" customHeight="1">
      <c r="A64" s="837" t="s">
        <v>105</v>
      </c>
      <c r="B64" s="838">
        <v>0</v>
      </c>
      <c r="C64" s="838">
        <v>27.007340322499999</v>
      </c>
      <c r="D64" s="839">
        <f t="shared" si="0"/>
        <v>-1</v>
      </c>
      <c r="E64" s="138"/>
      <c r="F64" s="138"/>
      <c r="G64" s="138"/>
      <c r="H64" s="138"/>
      <c r="I64" s="138"/>
      <c r="J64" s="138"/>
      <c r="L64" s="336"/>
      <c r="M64" s="334"/>
      <c r="N64" s="334"/>
    </row>
    <row r="65" spans="1:14" ht="10.5" customHeight="1">
      <c r="A65" s="740" t="s">
        <v>42</v>
      </c>
      <c r="B65" s="741">
        <f>+SUM(B6:B64)</f>
        <v>4139.4247095550018</v>
      </c>
      <c r="C65" s="741">
        <f>+SUM(C6:C64)</f>
        <v>4397.9416627725004</v>
      </c>
      <c r="D65" s="364">
        <f>IF(C65=0,"",B65/C65-1)</f>
        <v>-5.8781351150194006E-2</v>
      </c>
      <c r="E65" s="138"/>
      <c r="F65" s="138"/>
      <c r="G65" s="138"/>
      <c r="H65" s="138"/>
      <c r="I65" s="138"/>
      <c r="J65" s="138"/>
      <c r="L65" s="336"/>
      <c r="M65" s="334"/>
      <c r="N65" s="334"/>
    </row>
    <row r="66" spans="1:14" ht="40.5" customHeight="1">
      <c r="A66" s="941" t="str">
        <f>"Cuadro N° 6: Participación de las empresas generadoras del COES en la producción de energía eléctrica (GWh) en "&amp;'1. Resumen'!Q4</f>
        <v>Cuadro N° 6: Participación de las empresas generadoras del COES en la producción de energía eléctrica (GWh) en julio</v>
      </c>
      <c r="B66" s="941"/>
      <c r="C66" s="941"/>
      <c r="D66" s="529"/>
      <c r="E66" s="940" t="str">
        <f>"Gráfico N° 10: Comparación de producción energética (GWh) de las empresas generadoras del COES en "&amp;'1. Resumen'!Q4</f>
        <v>Gráfico N° 10: Comparación de producción energética (GWh) de las empresas generadoras del COES en julio</v>
      </c>
      <c r="F66" s="940"/>
      <c r="G66" s="940"/>
      <c r="H66" s="940"/>
      <c r="I66" s="940"/>
      <c r="J66" s="940"/>
    </row>
    <row r="67" spans="1:14" ht="24" customHeight="1">
      <c r="A67" s="943"/>
      <c r="B67" s="943"/>
      <c r="C67" s="943"/>
      <c r="D67" s="943"/>
      <c r="E67" s="943"/>
      <c r="F67" s="943"/>
      <c r="G67" s="943"/>
      <c r="H67" s="943"/>
      <c r="I67" s="943"/>
      <c r="J67" s="943"/>
    </row>
    <row r="68" spans="1:14" ht="12.75" customHeight="1">
      <c r="A68" s="942"/>
      <c r="B68" s="942"/>
      <c r="C68" s="942"/>
      <c r="D68" s="942"/>
      <c r="E68" s="942"/>
      <c r="F68" s="942"/>
      <c r="G68" s="942"/>
      <c r="H68" s="942"/>
      <c r="I68" s="942"/>
      <c r="J68" s="942"/>
    </row>
    <row r="69" spans="1:14" ht="12.75" customHeight="1">
      <c r="A69" s="738"/>
      <c r="B69" s="738"/>
      <c r="C69" s="738"/>
      <c r="D69" s="738"/>
      <c r="E69" s="738"/>
      <c r="F69" s="738"/>
      <c r="G69" s="738"/>
      <c r="H69" s="738"/>
      <c r="I69" s="738"/>
      <c r="J69" s="738"/>
    </row>
    <row r="70" spans="1:14">
      <c r="A70" s="942"/>
      <c r="B70" s="942"/>
      <c r="C70" s="942"/>
      <c r="D70" s="942"/>
      <c r="E70" s="942"/>
      <c r="F70" s="942"/>
      <c r="G70" s="942"/>
      <c r="H70" s="942"/>
      <c r="I70" s="942"/>
      <c r="J70" s="942"/>
    </row>
    <row r="71" spans="1:14">
      <c r="A71" s="934"/>
      <c r="B71" s="934"/>
      <c r="C71" s="934"/>
      <c r="D71" s="934"/>
      <c r="E71" s="934"/>
      <c r="F71" s="934"/>
      <c r="G71" s="934"/>
      <c r="H71" s="934"/>
      <c r="I71" s="934"/>
      <c r="J71" s="934"/>
    </row>
    <row r="72" spans="1:14">
      <c r="A72" s="935"/>
      <c r="B72" s="935"/>
      <c r="C72" s="935"/>
      <c r="D72" s="935"/>
      <c r="E72" s="935"/>
      <c r="F72" s="935"/>
      <c r="G72" s="935"/>
      <c r="H72" s="935"/>
      <c r="I72" s="935"/>
      <c r="J72" s="935"/>
    </row>
    <row r="73" spans="1:14">
      <c r="A73" s="934"/>
      <c r="B73" s="934"/>
      <c r="C73" s="934"/>
      <c r="D73" s="934"/>
      <c r="E73" s="934"/>
      <c r="F73" s="934"/>
      <c r="G73" s="934"/>
      <c r="H73" s="934"/>
      <c r="I73" s="934"/>
      <c r="J73" s="934"/>
    </row>
    <row r="74" spans="1:14">
      <c r="A74" s="935"/>
      <c r="B74" s="935"/>
      <c r="C74" s="935"/>
      <c r="D74" s="935"/>
      <c r="E74" s="935"/>
      <c r="F74" s="935"/>
      <c r="G74" s="935"/>
      <c r="H74" s="935"/>
      <c r="I74" s="935"/>
      <c r="J74" s="935"/>
    </row>
  </sheetData>
  <mergeCells count="13">
    <mergeCell ref="A71:J71"/>
    <mergeCell ref="A72:J72"/>
    <mergeCell ref="A73:J73"/>
    <mergeCell ref="A74:J74"/>
    <mergeCell ref="A2:I2"/>
    <mergeCell ref="A4:A5"/>
    <mergeCell ref="B4:D4"/>
    <mergeCell ref="G4:I4"/>
    <mergeCell ref="E66:J66"/>
    <mergeCell ref="A66:C66"/>
    <mergeCell ref="A70:J70"/>
    <mergeCell ref="A68:J68"/>
    <mergeCell ref="A67:J6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Julio 2020
INFSGI-MES-07-2020
13/08/2020
Versión: 01</oddHeader>
    <oddFooter>&amp;L&amp;7COES, 2020&amp;C7&amp;R&amp;7Dirección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USER</cp:lastModifiedBy>
  <cp:lastPrinted>2020-08-13T21:15:22Z</cp:lastPrinted>
  <dcterms:created xsi:type="dcterms:W3CDTF">2018-02-13T14:18:17Z</dcterms:created>
  <dcterms:modified xsi:type="dcterms:W3CDTF">2020-11-27T17:07:27Z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