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ricardo.varas\Desktop\"/>
    </mc:Choice>
  </mc:AlternateContent>
  <xr:revisionPtr revIDLastSave="0" documentId="13_ncr:1_{7B960544-AED0-4114-B02D-911AEB6C2910}" xr6:coauthVersionLast="45" xr6:coauthVersionMax="45" xr10:uidLastSave="{00000000-0000-0000-0000-000000000000}"/>
  <bookViews>
    <workbookView xWindow="-120" yWindow="-120" windowWidth="20730" windowHeight="11160" tabRatio="817" xr2:uid="{00000000-000D-0000-FFFF-FFFF00000000}"/>
  </bookViews>
  <sheets>
    <sheet name="Portada " sheetId="61" r:id="rId1"/>
    <sheet name="1. Resumen" sheetId="4" r:id="rId2"/>
    <sheet name="Índice" sheetId="2"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 sheetId="63" r:id="rId28"/>
    <sheet name="Contraportada" sheetId="59" r:id="rId29"/>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1">'1.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III'!$A$1:$F$13</definedName>
    <definedName name="_xlnm.Print_Area" localSheetId="6">'5. RER'!$A$1:$K$61</definedName>
    <definedName name="_xlnm.Print_Area" localSheetId="8">'6. FP RER'!$A$1:$K$64</definedName>
    <definedName name="_xlnm.Print_Area" localSheetId="7">'7. Generacion empresa'!$A$1:$J$69</definedName>
    <definedName name="_xlnm.Print_Area" localSheetId="9">'8. Max Potencia'!$A$1:$K$62</definedName>
    <definedName name="_xlnm.Print_Area" localSheetId="10">'9. Pot. Empresa'!$A$1:$J$70</definedName>
    <definedName name="_xlnm.Print_Area" localSheetId="2">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6" l="1"/>
  <c r="F9" i="46"/>
  <c r="E5" i="36"/>
  <c r="E4" i="36"/>
  <c r="F42" i="38"/>
  <c r="G42" i="38"/>
  <c r="C66" i="13" l="1"/>
  <c r="C65" i="11"/>
  <c r="B65" i="11"/>
  <c r="B66" i="13"/>
  <c r="D64" i="11"/>
  <c r="H8" i="21" l="1"/>
  <c r="H9" i="21"/>
  <c r="G10" i="21"/>
  <c r="H10" i="21"/>
  <c r="G11" i="21"/>
  <c r="H12" i="21"/>
  <c r="G13" i="21"/>
  <c r="H13" i="21"/>
  <c r="G15" i="21"/>
  <c r="H15" i="21"/>
  <c r="G16" i="21"/>
  <c r="I9" i="22" l="1"/>
  <c r="G12" i="7" l="1"/>
  <c r="D12" i="7"/>
  <c r="F46" i="46" l="1"/>
  <c r="D6" i="11"/>
  <c r="E2" i="46" l="1"/>
  <c r="D2" i="46"/>
  <c r="C2" i="46"/>
  <c r="E2" i="45"/>
  <c r="D2" i="45"/>
  <c r="C2" i="45"/>
  <c r="D58" i="11" l="1"/>
  <c r="D34" i="11"/>
  <c r="C47" i="46" l="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D63" i="11" l="1"/>
  <c r="J16" i="7" l="1"/>
  <c r="H16" i="7"/>
  <c r="G16" i="7"/>
  <c r="E16" i="7"/>
  <c r="D16" i="7"/>
  <c r="C16" i="7"/>
  <c r="B16" i="7"/>
  <c r="D39" i="6" l="1"/>
  <c r="I10" i="22" l="1"/>
  <c r="I8" i="22"/>
  <c r="F17" i="21"/>
  <c r="E17" i="21"/>
  <c r="D17" i="21"/>
  <c r="G17" i="21" l="1"/>
  <c r="H17" i="2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E49" i="46" l="1"/>
  <c r="D49" i="46" l="1"/>
  <c r="C49" i="46"/>
  <c r="F49" i="46" l="1"/>
  <c r="B11" i="22" l="1"/>
  <c r="I7" i="22" l="1"/>
  <c r="J11" i="22"/>
  <c r="I11" i="22" l="1"/>
  <c r="E4" i="45" l="1"/>
  <c r="E4" i="46" s="1"/>
  <c r="C11" i="22" l="1"/>
  <c r="D11" i="22"/>
  <c r="E11" i="22"/>
  <c r="F11" i="22"/>
  <c r="G11" i="22"/>
  <c r="H11" i="22"/>
  <c r="B14" i="12" l="1"/>
  <c r="F14" i="8"/>
  <c r="A64" i="10" l="1"/>
  <c r="A43" i="10"/>
  <c r="N14" i="18" l="1"/>
  <c r="J11" i="9" l="1"/>
  <c r="H11" i="9"/>
  <c r="G11" i="9"/>
  <c r="D6" i="16" l="1"/>
  <c r="C28" i="14" l="1"/>
  <c r="A36" i="22" l="1"/>
  <c r="F6" i="36" l="1"/>
  <c r="A66" i="11" l="1"/>
  <c r="F22" i="8" l="1"/>
  <c r="B19" i="8"/>
  <c r="C19" i="8"/>
  <c r="D19" i="8"/>
  <c r="E19" i="8"/>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9"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2" i="22" l="1"/>
  <c r="B58" i="18"/>
  <c r="B40" i="18"/>
  <c r="B21" i="18"/>
  <c r="A58" i="12"/>
  <c r="F67" i="13"/>
  <c r="B18" i="12" l="1"/>
  <c r="B20" i="12" s="1"/>
  <c r="C18" i="12"/>
  <c r="D18" i="12"/>
  <c r="D20" i="12" s="1"/>
  <c r="E18" i="12"/>
  <c r="E20" i="12" s="1"/>
  <c r="G18" i="12"/>
  <c r="G20" i="12" s="1"/>
  <c r="H18" i="12"/>
  <c r="H20" i="12" s="1"/>
  <c r="J18" i="12"/>
  <c r="J20" i="12" s="1"/>
  <c r="F39" i="6" l="1"/>
  <c r="F41" i="6"/>
  <c r="F11" i="14" l="1"/>
  <c r="F40" i="6" l="1"/>
  <c r="F38" i="6"/>
  <c r="A58" i="7" l="1"/>
  <c r="E37" i="6"/>
  <c r="E66" i="11" l="1"/>
  <c r="C45" i="10"/>
  <c r="D3" i="36" l="1"/>
  <c r="C3" i="36"/>
  <c r="F2" i="37"/>
  <c r="F3" i="23"/>
  <c r="C2" i="23"/>
  <c r="C1" i="37" s="1"/>
  <c r="C1" i="38" s="1"/>
  <c r="E15" i="22"/>
  <c r="A15" i="22"/>
  <c r="A12" i="22"/>
  <c r="A18" i="21"/>
  <c r="F6" i="21"/>
  <c r="E6" i="21"/>
  <c r="D6" i="21"/>
  <c r="B47" i="18"/>
  <c r="B28" i="18"/>
  <c r="B10" i="18"/>
  <c r="C31" i="16"/>
  <c r="E6" i="16"/>
  <c r="A67" i="13"/>
  <c r="B3" i="13"/>
  <c r="B5" i="11"/>
  <c r="C5" i="11" s="1"/>
  <c r="B4" i="11"/>
  <c r="G6" i="7"/>
  <c r="G4" i="8" s="1"/>
  <c r="G4" i="9" s="1"/>
  <c r="D7" i="7"/>
  <c r="E7" i="7" s="1"/>
  <c r="A57" i="6"/>
  <c r="B43"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<sst xmlns="http://schemas.openxmlformats.org/spreadsheetml/2006/main" count="1555" uniqueCount="687">
  <si>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</si>
  <si>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</si>
  <si>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</si>
  <si>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</si>
  <si>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</si>
  <si>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</si>
  <si>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</si>
  <si>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</si>
  <si>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</si>
  <si>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</si>
  <si>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</si>
  <si>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</si>
  <si>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</si>
  <si>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</si>
  <si>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</si>
  <si>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</si>
  <si>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</si>
  <si>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</si>
  <si>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</si>
  <si>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</si>
  <si>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</si>
  <si>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</si>
  <si>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</si>
  <si>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</si>
  <si>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</si>
  <si>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</si>
  <si>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</si>
  <si>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</si>
  <si>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</si>
  <si>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</si>
  <si>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</si>
  <si>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</si>
  <si>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</si>
  <si>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</si>
  <si>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</si>
  <si>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</si>
  <si>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</si>
  <si>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</si>
  <si>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</si>
  <si>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</si>
  <si>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</si>
  <si>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</si>
  <si>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</si>
  <si>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</si>
  <si>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</si>
  <si>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</si>
  <si>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</si>
  <si>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</si>
  <si>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</si>
  <si>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</si>
  <si>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</si>
  <si>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</si>
  <si>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</si>
  <si>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</si>
  <si>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</si>
  <si>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</si>
  <si>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</si>
  <si>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</si>
  <si>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</si>
  <si>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</si>
  <si>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</si>
  <si>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</si>
  <si>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</si>
  <si>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</si>
  <si>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</si>
  <si>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</si>
  <si>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</si>
  <si>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</si>
  <si>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</si>
  <si>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</si>
  <si>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</si>
  <si>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</si>
  <si>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</si>
  <si>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</si>
  <si>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</si>
  <si>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</si>
  <si>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</si>
  <si>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</si>
  <si>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</si>
  <si>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</si>
  <si>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</si>
  <si>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</si>
  <si>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</si>
  <si>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</si>
  <si>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</si>
  <si>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</si>
  <si>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</si>
  <si>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</si>
  <si>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</si>
  <si>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</si>
  <si>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</si>
  <si>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</si>
  <si>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</si>
  <si>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</si>
  <si>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</si>
  <si>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</si>
  <si>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</si>
  <si>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</si>
  <si>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</si>
  <si>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</si>
  <si>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</si>
  <si>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</si>
  <si>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</si>
  <si>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</si>
  <si>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</si>
  <si>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</si>
  <si>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</si>
  <si>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</si>
  <si>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</si>
  <si>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</si>
  <si>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</si>
  <si>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</si>
  <si>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</si>
  <si>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</si>
  <si>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</si>
  <si>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</si>
  <si>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</si>
  <si>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</si>
  <si>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</si>
  <si>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</si>
  <si>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</si>
  <si>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</si>
  <si>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</si>
  <si>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</si>
  <si>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</si>
  <si>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</si>
  <si>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</si>
  <si>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</si>
  <si>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</si>
  <si>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</si>
  <si>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</si>
  <si>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</si>
  <si>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</si>
  <si>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</si>
  <si>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</si>
  <si>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</si>
  <si>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</si>
  <si>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</si>
  <si>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</si>
  <si>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</si>
  <si>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</si>
  <si>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</si>
  <si>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</si>
  <si>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</si>
  <si>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</si>
  <si>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</si>
  <si>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</si>
  <si>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</si>
  <si>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</si>
  <si>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</si>
  <si>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</si>
  <si>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</si>
  <si>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</si>
  <si>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</si>
  <si>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</si>
  <si>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</si>
  <si>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</si>
  <si>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</si>
  <si>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</si>
  <si>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</si>
  <si>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</si>
  <si>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</si>
  <si>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</si>
  <si>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</si>
  <si>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</si>
  <si>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</si>
  <si>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</si>
  <si>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</si>
  <si>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</si>
  <si>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</si>
  <si>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</si>
  <si>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</si>
  <si>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</si>
  <si>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</si>
  <si>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</si>
  <si>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</si>
  <si>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</si>
  <si>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</si>
  <si>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</si>
  <si>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</si>
  <si>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</si>
  <si>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</si>
  <si>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</si>
  <si>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</si>
  <si>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</si>
  <si>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</si>
  <si>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</si>
  <si>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</si>
  <si>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</si>
  <si>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</si>
  <si>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</si>
  <si>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</si>
  <si>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</si>
  <si>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</si>
  <si>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</si>
  <si>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</si>
  <si>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</si>
  <si>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</si>
  <si>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</si>
  <si>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</si>
  <si>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</si>
  <si>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</si>
  <si>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</si>
  <si>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</si>
  <si>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</si>
  <si>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</si>
  <si>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</si>
  <si>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</si>
  <si>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</si>
  <si>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</si>
  <si>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</si>
  <si>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</si>
  <si>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</si>
  <si>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</si>
  <si>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</si>
  <si>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</si>
  <si>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</si>
  <si>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</si>
  <si>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</si>
  <si>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</si>
  <si>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</si>
  <si>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</si>
  <si>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</si>
  <si>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</si>
  <si>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</si>
  <si>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</si>
  <si>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</si>
  <si>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</si>
  <si>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</si>
  <si>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</si>
  <si>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</si>
  <si>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</si>
  <si>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</si>
  <si>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</si>
  <si>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</si>
  <si>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</si>
  <si>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</si>
  <si>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</si>
  <si>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</si>
  <si>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</si>
  <si>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</si>
  <si>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</si>
  <si>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</si>
  <si>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</si>
  <si>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</si>
  <si>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</si>
  <si>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</si>
  <si>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</si>
  <si>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</si>
  <si>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</si>
  <si>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</si>
  <si>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</si>
  <si>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</si>
  <si>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</si>
  <si>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</si>
  <si>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</si>
  <si>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</si>
  <si>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</si>
  <si>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</si>
  <si>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</si>
  <si>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</si>
  <si>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</si>
  <si>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</si>
  <si>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</si>
  <si>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</si>
  <si>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</si>
  <si>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</si>
  <si>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</si>
  <si>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</si>
  <si>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</si>
  <si>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</si>
  <si>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</si>
  <si>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</si>
  <si>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</si>
  <si>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</si>
  <si>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</si>
  <si>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</si>
  <si>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</si>
  <si>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</si>
  <si>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</si>
  <si>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</si>
  <si>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</si>
  <si>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</si>
  <si>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</si>
  <si>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</si>
  <si>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</si>
  <si>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</si>
  <si>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</si>
  <si>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</si>
  <si>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</si>
  <si>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</si>
  <si>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</si>
  <si>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</si>
  <si>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</si>
  <si>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</si>
  <si>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</si>
  <si>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</si>
  <si>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</si>
  <si>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</si>
  <si>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</si>
  <si>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</si>
  <si>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</si>
  <si>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</si>
  <si>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</si>
  <si>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</si>
  <si>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</si>
  <si>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</si>
  <si>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</si>
  <si>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</si>
  <si>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</si>
  <si>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</si>
  <si>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</si>
  <si>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</si>
  <si>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</si>
  <si>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</si>
  <si>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</si>
  <si>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</si>
  <si>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</si>
  <si>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</si>
  <si>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</si>
  <si>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</si>
  <si>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</si>
  <si>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</si>
  <si>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</si>
  <si>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</si>
  <si>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</si>
  <si>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</si>
  <si>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</si>
  <si>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</si>
  <si>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</si>
  <si>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</si>
  <si>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</si>
  <si>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</si>
  <si>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</si>
  <si>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</si>
  <si>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</si>
  <si>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</si>
  <si>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</si>
  <si>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</si>
  <si>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</si>
  <si>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</si>
  <si>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</si>
  <si>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</si>
  <si>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</si>
  <si>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</si>
  <si>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</si>
  <si>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</si>
  <si>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</si>
  <si>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</si>
  <si>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</si>
  <si>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</si>
  <si>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</si>
  <si>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</si>
  <si>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</si>
  <si>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</si>
  <si>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</si>
  <si>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</si>
  <si>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</si>
  <si>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</si>
  <si>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</si>
  <si>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</si>
  <si>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</si>
  <si>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</si>
  <si>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</si>
  <si>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</si>
  <si>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</si>
  <si>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</si>
  <si>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</si>
  <si>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</si>
  <si>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</si>
  <si>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</si>
  <si>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</si>
  <si>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</si>
  <si>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</si>
  <si>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</si>
  <si>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</si>
  <si>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</si>
  <si>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</si>
  <si>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</si>
  <si>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</si>
  <si>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</si>
  <si>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</si>
  <si>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</si>
  <si>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</si>
  <si>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</si>
  <si>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</si>
  <si>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</si>
  <si>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</si>
  <si>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</si>
  <si>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</si>
  <si>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</si>
  <si>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</si>
  <si>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</si>
  <si>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</si>
  <si>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</si>
  <si>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</si>
  <si>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</si>
  <si>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</si>
  <si>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</si>
  <si>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</si>
  <si>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</si>
  <si>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</si>
  <si>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</si>
  <si>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SANTA ANA</t>
  </si>
  <si>
    <t>BIOCOMBUSTIBLE</t>
  </si>
  <si>
    <t>TOTAL MÁXIMA POTENCIA COINCIDENTE</t>
  </si>
  <si>
    <t>Cuadro N°7 : Máxima potencia coincidente (MW) por tipo de generación en el SEIN.</t>
  </si>
  <si>
    <t>11:45</t>
  </si>
  <si>
    <t>11:30</t>
  </si>
  <si>
    <t>C.H. RENOVANDES H1</t>
  </si>
  <si>
    <t>Gráfico N°24: Porcentaje de participación por tipo de causa en el número de fallas.</t>
  </si>
  <si>
    <t>Gráfico N°25: Comparación en el número de fallas por tipo de equipo.</t>
  </si>
  <si>
    <t>Máxima Demanda:</t>
  </si>
  <si>
    <t>KALLPA</t>
  </si>
  <si>
    <t>PETRAMAS</t>
  </si>
  <si>
    <t>12:00</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</si>
  <si>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</si>
  <si>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</si>
  <si>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</si>
  <si>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</si>
  <si>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</si>
  <si>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</si>
  <si>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</si>
  <si>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</si>
  <si>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</si>
  <si>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</si>
  <si>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</si>
  <si>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</si>
  <si>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</si>
  <si>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</si>
  <si>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00:15</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</si>
  <si>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</si>
  <si>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</si>
  <si>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</si>
  <si>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</si>
  <si>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</si>
  <si>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</si>
  <si>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</si>
  <si>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</si>
  <si>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</si>
  <si>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</si>
  <si>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</si>
  <si>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</si>
  <si>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</si>
  <si>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</si>
  <si>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</si>
  <si>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</si>
  <si>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</si>
  <si>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</si>
  <si>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</si>
  <si>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</si>
  <si>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</si>
  <si>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20:30</t>
  </si>
  <si>
    <t>CHAVARRIA 220</t>
  </si>
  <si>
    <t>2.1.  INICIO DE OPERACIÓN COMERCIAL EN EL SEIN</t>
  </si>
  <si>
    <t>2.1. Inicio de Operación Comercial en el SEIN</t>
  </si>
  <si>
    <t>19:30</t>
  </si>
  <si>
    <t>19:45</t>
  </si>
  <si>
    <t>HIDROELÉCTRICAS</t>
  </si>
  <si>
    <t>20:00</t>
  </si>
  <si>
    <t>ELECTRICA SANTA ROSA / ATRIA</t>
  </si>
  <si>
    <t>TOTAL (CONSIDERANDO LA IMPORTACIÓN)</t>
  </si>
  <si>
    <t>ELECTRO SUR ESTE</t>
  </si>
  <si>
    <t>T-30  T3-261  T4-261</t>
  </si>
  <si>
    <t>INDEPENDENCIA</t>
  </si>
  <si>
    <t>EMGE JUNÍN / SANTA CRUZ</t>
  </si>
  <si>
    <t xml:space="preserve"> </t>
  </si>
  <si>
    <t>L-2205  L-2206</t>
  </si>
  <si>
    <t>20:45</t>
  </si>
  <si>
    <t>15:45</t>
  </si>
  <si>
    <t>L-2110</t>
  </si>
  <si>
    <t>L-2259</t>
  </si>
  <si>
    <t>L-6627  L-6628</t>
  </si>
  <si>
    <t>HUANZA-CARABAYLLO</t>
  </si>
  <si>
    <t>POMACOCHA - SAN JUAN</t>
  </si>
  <si>
    <t>CARHUAMAYO - OROYA NUEVA</t>
  </si>
  <si>
    <t>MARCONA - SAN NICOLÁS</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</si>
  <si>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</si>
  <si>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</si>
  <si>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</si>
  <si>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</si>
  <si>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</si>
  <si>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</si>
  <si>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</si>
  <si>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23:15</t>
  </si>
  <si>
    <t>C.T. CAÑA BRAVA</t>
  </si>
  <si>
    <t>C.H. CALLAHUANCA</t>
  </si>
  <si>
    <t>C.H. PATAPO</t>
  </si>
  <si>
    <t>C.T. SAN JACINTO</t>
  </si>
  <si>
    <t>2. MODIFICACIÓN DE LA OFERTA DE GENERACIÓN ELÉCTRICA DEL SEIN EN EL 2020</t>
  </si>
  <si>
    <t>12:15</t>
  </si>
  <si>
    <t>L-2003  L-2004</t>
  </si>
  <si>
    <t>SANTA ROSA N. - CHAVARRÍA</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</si>
  <si>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</si>
  <si>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</si>
  <si>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</si>
  <si>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</si>
  <si>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</si>
  <si>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</si>
  <si>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</si>
  <si>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</si>
  <si>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</si>
  <si>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</si>
  <si>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</si>
  <si>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</si>
  <si>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MINERA ARUNTANI</t>
  </si>
  <si>
    <t>L. PUNO - TUCARI - LINEA L-6007</t>
  </si>
  <si>
    <t>TRANSFORMADOR 3D</t>
  </si>
  <si>
    <t>Var. (2020/2019)</t>
  </si>
  <si>
    <t>T62-161  T6-261</t>
  </si>
  <si>
    <t>MARCONA</t>
  </si>
  <si>
    <t>15:30</t>
  </si>
  <si>
    <t>19:15</t>
  </si>
  <si>
    <t>CONENHUA</t>
  </si>
  <si>
    <t>L. ARES - HUANCARAMA - LINEA L-6017</t>
  </si>
  <si>
    <t>Desconexión de la línea L-6017 (Ares-Huancarama) de 60 kV por falla monofásica en la fase "S" originada por descargas atmosféricas, según lo informado por Conenhua, titular de la línea. Como consecuencia, se interrumpieron los suministros de las subestaciones Chipmo y Huancarama en 22 kV, con 5.58 MW y 1.45 MW respectivamente. A las 14:40 h, se conectó la línea y se procedió a recuperar los suministros interrumpidos.</t>
  </si>
  <si>
    <t>HIDRANDINA</t>
  </si>
  <si>
    <t>L. GALLITO CIEGO - TEMBLADERA - LINEA L-6042</t>
  </si>
  <si>
    <t>Desconectaron las líneas L-6042 (Gallito Ciego – Tembladera), L-6043 (Tembladera – Chilete) yL-6044 (Chilete – Cajamarca) de 60 kV por falla monofásica en la fase "R" de la L-6042 debido a descarga atmosférica en la zona de Cajamarca y Tembladera. Como consecuencia se interrumpió el suministro de Tembladera (1 MW) y Chilete (5.5 MW).  A las 14:43 h, se conectaron las líneas L-6044, L-6043 y L-6042 y se procedió a normalizar el suministro interrumpido.</t>
  </si>
  <si>
    <t>ETESELVA</t>
  </si>
  <si>
    <t>L. CONOCOCHA - VIZCARRA - LINEA L-2253</t>
  </si>
  <si>
    <t xml:space="preserve">Desconectó la línea L-2253 (Vizcarra – Conococha) de 220 kV por falla monofásica fase “S”, por descarga atmosférica de acuerdo a lo informado por ETESELVA titular de la linea. Asimismo, desconectó la línea L-2252 (Tingo María - Vizcarra) de 220 kV en el extremo de Vizcarra al aperturarse el interruptor IN-2406. Como consecuencia de la perturbación, se produjo la reducción de suministros de las mineras Antamina y Santa Luisa en 49,02 MW y 0,4 MW respectivamente. </t>
  </si>
  <si>
    <t>CONCESIONARIA LINEA DE TRANSMISION CCNCM S.A.C.</t>
  </si>
  <si>
    <t>L. BELAUNDE TERRY - TARAPOTO - LINEA L-1018</t>
  </si>
  <si>
    <t>Se coordinó rechazo manual de carga por sobrecarga de la línea L-1018 (Belaunde Terry-Tarapoto) de 138 kV originado por indisponibilidad de la línea L-1122 (Tingo María-Aucayacu) de 138 kV por mantenimiento correctivo. Se coordinó reducir carga en Industria del Espino en 1,58 MW; Supermercados Peruanos en 0,33 MW y EOR en 2,09 MW. A las 20:35 h, se coordinó con ELOR recuperar carga. A las 20:58 h, se coordinó recuperar la carga de los usuarios Industria del Espino y Supermercados Peruanos.</t>
  </si>
  <si>
    <t>ELECTRO NORTE</t>
  </si>
  <si>
    <t>S.E. CERRO CORONA - TRAFO3D TR3</t>
  </si>
  <si>
    <t>Desconectó el transformador TR3 de la S.E. Cerro Corona por falla originada cuando se energizó alimentador de 22,9 kV, según lo informado por ENSA, titular del transformador. Como consecuencia, se interrumpío la carga de ENSA de Cerro Corona que se encontraba con 6.005 MW. A las 21:34 h, Conelsur conectó el transformador TR3 y ENSA procedió a recuperar sus suministros interrumpidos.</t>
  </si>
  <si>
    <t>Desconectó la línea L-6007 (Puno - Tucari) de 60 KV por falla monofásica en la fase "R", debido a presencia de tormentas por la zona, informado por Minera Aruntani, titular de la línea. Como consecuencia se interrumpió la carga de Minera Aruntani con 3.293 MW. A las 15:31 h entró en servicio la línea L-6007 y se coordinó recuperar la carga interrumpida.</t>
  </si>
  <si>
    <t>L. PARAGSHA II - UCHUCCHACUA - LINEA L-1123</t>
  </si>
  <si>
    <t>Desconectó la línea L-1123 (Paragsha 2 - Uchucchacua) de 138 KV por falla trifasica, cuya causa no fue informada por CONENHUA, propietario de la línea, Como consecuencia se interumpiò 26.38 MW de carga de los usuarios libres Buenaventura, Iscaycruz y Raura. A las 17:08 h, se conectó la línea L-1123 y se coordinó recuperar la carga interrumpida.</t>
  </si>
  <si>
    <t>S.E. COMBAPATA - BARRA BARRA-24KV</t>
  </si>
  <si>
    <t>Desconectó la barra de 24 kV de la S.E. Combapata originada por falla en la fase T del alimentador AMT CO-02 de 24 kV, según lo informado por ELSE, titular del alimentador. Como consecuencia, se interrumpió una carga de 1,048 MW. A las 15:53 h, REP energizó la barra 24 kV y ELSE inicio el restablecimiento de sus suministros.</t>
  </si>
  <si>
    <t>L. GUADALUPE - CHEPÉN - LINEA L-6645</t>
  </si>
  <si>
    <t>Desconectó la línea L-6645 (Guadalupe – Chepén) de 60 kV por falla y cuyo origen se encuentra en investigación. Como consecuencia se interrumpió el suministro de Chepén (10.24 MW) Y el usuario libre Cementos Pacasmayo disminuyó su carga de 17 MW a 15.3 MW por actuación de sus protecciones internas. A las 12:26 h, el usuario CNP inició a normalizar su carga reducida. A las 13:35 h, se energizó la L-6645 y se inició las maniobras para el restablecimiento del suministro interrumpido.</t>
  </si>
  <si>
    <t>EMPRESA DE GENERACION ELECTRICA SANTA ANA</t>
  </si>
  <si>
    <t>L. SANTA ANA - CHANCHAMAYO - LINEA L-6085</t>
  </si>
  <si>
    <t>Desconectó la línea L-6085 (Santa Ana - Chanchamayo) de 60 kV por falla cuya causa no fue informada por la Empresa de Generación Eléctrica Santa Ana, titular de la línea. Desconectó la C.H. Renovandes H1 con 20 MW. No hubo interrumpió de suministro. A las 15:07 h, se conectó la línea L-6085 y se procedió a recuperar el suministro interrumpido. A las 15:17 h, se puso en servicio la C.H. Renovandes H1.</t>
  </si>
  <si>
    <t>L. PARAMONGA N. - 09 DE OCTUBRE - LINEA L-6655</t>
  </si>
  <si>
    <t>Desconectó la línea L-6655 (Paramonga Nueva – 9 de octubre) de 66 kV por caída de conductor de la fase T entre las estructuras N°186 y 187 de la línea, según lo informado por Hidrandina, titular de la línea. Como consecuencia se interrumpió el suministro de las SS.EE. Huarmey y Puerto Antamina con un total de 5.4 MW. A las 11:12 h, se energizó la línea y se procedió a recuperar la carga interrumpida.</t>
  </si>
  <si>
    <t>RED DE ENERGIA DEL PERU S.A.</t>
  </si>
  <si>
    <t>L. PIEDRA BLANCA-TINGO MARIA - LINEA L-1142</t>
  </si>
  <si>
    <t>Desconectó la línea L-1142 (Tingo Maria - Piedra Blanca) de 138 kV en la S.E. Tingo María por falla monofásica en la fase "R" debido a descargas atmosféricas, según lo informado por REP, titular de la línea. Asimismo salió de servicio la P.C.H. Chaglla con 6 MW y la C.H. 8 de agosto con 20 MW.  Debido a que la falla en la línea L-1142 se mantuvo, se produjo la desconexión de los transformadores T57-121 y T26-11 de la S.E. Huánuco, por actuación de su sistema de protección. Como consecuencia se interrumpió todo el suministro de la S.E. Huánuco con 17.17 MW. A las 14:22 h, se conectó el transformador T26-11 y se inició el restablecimiento del suministro interrumpido. A las 14:28 h, se conectó el transformador T57-121. Finalmente, a las 14:45 h, se conectó la línea L-1142.</t>
  </si>
  <si>
    <t>S.E. HUÁNUCO - TRAFO3D T26-11</t>
  </si>
  <si>
    <t>Se produjo la desconexión de los transformadores T57-121 y T26-11 de la S.E. Huánuco por falla en la línea L-1142 (Tingo María - Piedra Blanca), debido a causas que no han sido informadas por REP, titular de los equipos. Como consecuencia se interrumpió todo el suministro de la S.E. Huánuco con 17.17 MW. A las 14:22 h, se conectó el transformador T26-11 y se inició el restablecimiento del suministro interrumpido. A las 14:28 h, se conectó el transformador T57-121.</t>
  </si>
  <si>
    <t>SEAL</t>
  </si>
  <si>
    <t>S.E. SOCABAYA - TRAFO T6-31</t>
  </si>
  <si>
    <t>Desconectó el transformador T6-31 de 25 MVA 33/10 kV de la S.E. Socabaya por actuación de su protección diferencial debido a falla en el aislador pasamuro de la fase T de 33 kV, según lo informado por SEAL, titular del equipo. Como consecuencia se interrumpió el suministro de Socabaya (5.8 MW) y Paucarpata (4.21 MW).  A las 07:06 h, se conectó el transformador paralelo T6-321 de 25 MVA y se procedió a normalizar el suministro interrumpido. El transformador T6-31 continúa indisponible.</t>
  </si>
  <si>
    <t>SOUTHERN PERU CC</t>
  </si>
  <si>
    <t>S.E. QUEBRADA HONDA - TRAFO QHT2</t>
  </si>
  <si>
    <t>Desconectó el transformador QHT2 de la S.E. Quebrada Honda por actuación de la protección diferencial del transformador, debido a una falla en el alimentador de 13.8 kV, informada por SPCC, titular del equipo. Como consecuencia se interrumpió el suministro de la S.E. Quebrada Honda en 8.4 MW. A la 17:05 h, se conectó el transformador QHT2. A las 17:21 h, el transformador QHT2 desconectó nuevamente por falla en una línea en baja tensión. A las 17:29 h, el transformador se conectó y se inició la recuperación del suministro interrumpido.</t>
  </si>
  <si>
    <t xml:space="preserve">MINERA VOLCAN </t>
  </si>
  <si>
    <t>L. POMACOCHA - SAN ANTONIO - LINEA L-6546</t>
  </si>
  <si>
    <t>Desconectaron las líneas L-6545 (Pomacocha - San Cristobal) y L-6546 (Pomacocha - San Antonio) de 50 kV, por descargas atmosférica en la zona, según lo informado por VOLCAN propietaria de las líneas. Como consecuencia, se interrumpió la carga de las subestaciones San Cristóbal, Andaychagua, Andaychagua (Volcan), Andaychagua (Electrocentro), San Antonio, San Antonio (Volcan), Planta Victoria (Volcan) y Carahuacra Mina (Volcan), con un total de 30,02MW. A las 16:40 h entraron en servicio las líneas L-6545 y L-6546 y se procedió a recuperar la carga interrumpida.</t>
  </si>
  <si>
    <t>STATKRAFT S.A</t>
  </si>
  <si>
    <t>L. OROYA NUEVA - Der. PACHACAYO - LINEA L-6601 A</t>
  </si>
  <si>
    <t>Desconectó la línea L-6601 (Oroya Nueva - Canchayllo) de 69 kV, por falla debido a descargas atmosféricas, quedando desenegizado la línea L-6647(Canchayllo – Chumpe) de 69 kV. Como consecuencia se interrumpió la carga de Pachacayo, Azulcocha y Chumpe con un total de 4.8 MW.</t>
  </si>
  <si>
    <t>L. KIMAN AYLLU - SIHUAS - LINEA L-1132</t>
  </si>
  <si>
    <t>Desconectó la línea L-1132 (Kiman Ayllu - Sihuas) de 138 kV por falla a una distancia de 78.5 km de la SE Kiman Ayllu, debido a probable descara atmosférica, según informe de Hidrandina, titular de la línea. Como consecuencia, se interrumpió 17.1 MW en las subestaciones Sihuas, Tayabamba, Llacuabamba, Pomabamba y Huari. A las 17:42 h, se conectó la línea L-1132 y se inició la recuperación del suministro interrumpido.|</t>
  </si>
  <si>
    <t>L. CARAZ - HUARAZ - LINEA L-6684</t>
  </si>
  <si>
    <t>Desconectaron las líneas L-6681 (Huaraz - Ticapampa) de 66 kV, L-6694 (Huaraz Oeste - Huaraz) de 66 kV, L-6684 (Caraz - Huaraz) de 66 kV por falla monofásica en la fase "B",cuya causa se encuentra en investigación. Como consecuencia, se interrumpió la carga en la SE Huaraz con 5.7 MW y en la SE Ticapampa 7.45 MW. A las 06:17 h entró en servicio la línea L-6694 y se procedió a recuperar la carga interrumpida en la S.E: Huaraz, a las 06:23 h entró en servicio la línea L-6681 y se procedio a recuperar la carga interrumpida en la S.E. Ticapampa y a las 06:38 h entró en servicio la línea L-6684.</t>
  </si>
  <si>
    <t>L. NEPEÑA - SAN JACINTO - LINEA L-1114</t>
  </si>
  <si>
    <t>Desconectó la línea L-1114 (Nepeña - San Jacinto) de 138 kV por falla monofásica en la fase "S" a 15.4 km de la S.E. Nepeña,debido a conductor caído por deterioro, entre las estructuras N° 77 y 78, informado por HIDRANDINA, titular de la linea. Como consecuencia se interrumpió el suministro de la S.E. San Jacinto y también desconectó la C.T. San Jacinto con 10 MW.La línea quedó indisponible para su inspección. A las 03:19 h, se conectó la línea con lo cual se inició el restablecimiento del suministro interrumpido. De acuerdo con Hidrandina, la celda de San Jacinto queda fuera de servicio por falla en sus instalaciones interna.</t>
  </si>
  <si>
    <t>MARCOBRE S.A.C.</t>
  </si>
  <si>
    <t>S.E. MINA JUSTA - TRAFO3D TR-MINA JUSTA</t>
  </si>
  <si>
    <t>Se produjo la desconexión del transformador TR01 220/22.9 KV por falla en pararrayos de la fase R debido a pérdida de aislamiento, según lo informado por Marcobre, titular del equipo. Como consecuencia se interrumpió el suministro de Mina Justa con un total de 0.5 MW. El sistema de protección abrió el interruptor 4711-IP-101 de 220 kV del transformador. El equipo quedó fuera de servicio para su inspección. A las 17:10 h se energizó la línea en el lado de la S.E. Mina Justa.</t>
  </si>
  <si>
    <t>ELECTRO CENTRO</t>
  </si>
  <si>
    <t>L. COBRIZA I - PAMPAS - LINEA L-6066</t>
  </si>
  <si>
    <t>Desconectó la línea L-6066 (Cobriza I - Pampas) de 69 kV por falla monofásica en la fase "S" debido a descargas atmosféricas en la zona, según lo informado por Electrocentro, titular de la línea. Como consecuencia se interrumpió la carga de la S.E. Pampas con 1.57 MW aproximadamente. A las 18:36 h, entro en servicio la línea y se coordinó recuperar la carga interrumpida.</t>
  </si>
  <si>
    <t>L. CAJAMARCA - SAN MARCOS - LINEA L-6047</t>
  </si>
  <si>
    <t>Desconectó la línea L-6047 (Cajamarca – San Marcos) de 60 kV por falla trifásica originada a 25.4 km de la S.E. Cajamarca, debido a descarga atmosférica según lo informado por Hidrandina, titular de la línea. Como consecuencia desconectó la C.H. Potrero con 18 MW y se interrumpió el suministro de San Marcos, Cajabamba y el Usuario Libre Minera Poderosa en la S.E. La Morena, con un total 13.96 MW aproximadamente. A las 13:40 h, se conectó la línea y se inició el restablecimiento del suministro interrumpido. A las 13:51 h, sincronizó la C.H. Potrero con el SEIN.</t>
  </si>
  <si>
    <t>Desconectó la línea L-6007 (Puno - Tucari) de 60 kV por falla ubicada a 63 km de la S.E. Puno debido a descargas atmosféricas, según lo informado por Minera Aruntani, titular de la línea. Como consecuencia se interrumpió la carga de la Minera Aruntani en 2.879 MW. A las 18:03 h, entró en servicio la línea y a las 18:30 h se procedió a recuperar la carga interrumpida.</t>
  </si>
  <si>
    <t>01/03/2020</t>
  </si>
  <si>
    <t>21:00</t>
  </si>
  <si>
    <t>02/03/2020</t>
  </si>
  <si>
    <t>03/03/2020</t>
  </si>
  <si>
    <t>04/03/2020</t>
  </si>
  <si>
    <t>05/03/2020</t>
  </si>
  <si>
    <t>06/03/2020</t>
  </si>
  <si>
    <t>07/03/2020</t>
  </si>
  <si>
    <t>08/03/2020</t>
  </si>
  <si>
    <t>09/03/2020</t>
  </si>
  <si>
    <t>16:30</t>
  </si>
  <si>
    <t>10/03/2020</t>
  </si>
  <si>
    <t>11/03/2020</t>
  </si>
  <si>
    <t>12/03/2020</t>
  </si>
  <si>
    <t>13/03/2020</t>
  </si>
  <si>
    <t>14/03/2020</t>
  </si>
  <si>
    <t>19:00</t>
  </si>
  <si>
    <t>15/03/2020</t>
  </si>
  <si>
    <t>16/03/2020</t>
  </si>
  <si>
    <t>17/03/2020</t>
  </si>
  <si>
    <t>12:45</t>
  </si>
  <si>
    <t>18/03/2020</t>
  </si>
  <si>
    <t>12:30</t>
  </si>
  <si>
    <t>19/03/2020</t>
  </si>
  <si>
    <t>20/03/2020</t>
  </si>
  <si>
    <t>21/03/2020</t>
  </si>
  <si>
    <t>22/03/2020</t>
  </si>
  <si>
    <t>23/03/2020</t>
  </si>
  <si>
    <t>24/03/2020</t>
  </si>
  <si>
    <t>13:00</t>
  </si>
  <si>
    <t>25/03/2020</t>
  </si>
  <si>
    <t>26/03/2020</t>
  </si>
  <si>
    <t>13:30</t>
  </si>
  <si>
    <t>27/03/2020</t>
  </si>
  <si>
    <t>28/03/2020</t>
  </si>
  <si>
    <t>29/03/2020</t>
  </si>
  <si>
    <t>30/03/2020</t>
  </si>
  <si>
    <t>31/03/2020</t>
  </si>
  <si>
    <t>TRANSFORMADOR 2D</t>
  </si>
  <si>
    <t>L-2222  L-2223</t>
  </si>
  <si>
    <t>PACHACHACA - CALLAHUANCA (REP)</t>
  </si>
  <si>
    <t>L-2264</t>
  </si>
  <si>
    <t>PARAGSHA II - CONOCOCHA</t>
  </si>
  <si>
    <t>L-2294</t>
  </si>
  <si>
    <t>POMACOCHA - CARHUAMAYO</t>
  </si>
  <si>
    <t>1.1. Producción de energía eléctrica en marzo 2020 en comparación al mismo mes del año anterior</t>
  </si>
  <si>
    <t>marzo</t>
  </si>
  <si>
    <t>El total de la producción de energía eléctrica de la empresas generadoras integrantes del COES en el mes de marzo 2020 fue de 3 999,06  GWh, lo que representa una disminución de 590,80 GWh (-12,87%) en comparación con el año 2019.</t>
  </si>
  <si>
    <t>La producción de electricidad con centrales hidroeléctricas durante el mes de marzo 2020 fue de 3 109,27 GWh (2,62% mayor al registrado durante marzo del año 2019).</t>
  </si>
  <si>
    <t>La producción de energía eléctrica con centrales eólicas fue de 152,5 GWh y con centrales solares fue de 68,4 GWh, los cuales tuvieron una participación de 3,26% y 1,5% respectivamente.</t>
  </si>
  <si>
    <t>INVERSION DE ENERGÍA RENOVABLES</t>
  </si>
  <si>
    <t>VOLUMEN ÚTIL
31-03-2020</t>
  </si>
  <si>
    <t>Total AGROAURORA</t>
  </si>
  <si>
    <t>Total AGUA AZUL</t>
  </si>
  <si>
    <t>Total AIPSA</t>
  </si>
  <si>
    <t>Total ANDEAN POWER</t>
  </si>
  <si>
    <t>Total BIOENERGIA</t>
  </si>
  <si>
    <t>Total CELEPSA</t>
  </si>
  <si>
    <t>Total CERRO VERDE</t>
  </si>
  <si>
    <t>Total CHINANGO</t>
  </si>
  <si>
    <t>Total EGASA</t>
  </si>
  <si>
    <t>Total EGECSAC</t>
  </si>
  <si>
    <t>Total EGEMSA</t>
  </si>
  <si>
    <t>Total EGESUR</t>
  </si>
  <si>
    <t>Total ELECTRICA SANTA ROSA / ATRIA</t>
  </si>
  <si>
    <t>Total ELECTRICA YANAPAMPA</t>
  </si>
  <si>
    <t>Total ELECTRO ZAÑA</t>
  </si>
  <si>
    <t>Total ELECTROPERU</t>
  </si>
  <si>
    <t>Total EMGE HUALLAGA</t>
  </si>
  <si>
    <t>Total EMGE HUANZA</t>
  </si>
  <si>
    <t>Total EMGE JUNÍN / SANTA CRUZ</t>
  </si>
  <si>
    <t>Total ENEL GENERACION PERU</t>
  </si>
  <si>
    <t>Total ENEL GENERACION PIURA</t>
  </si>
  <si>
    <t>Total ENEL GREEN POWER PERU</t>
  </si>
  <si>
    <t>Total ENERGÍA EÓLICA</t>
  </si>
  <si>
    <t>Total ENGIE</t>
  </si>
  <si>
    <t>Total FENIX POWER</t>
  </si>
  <si>
    <t>Total GENERACIÓN ANDINA</t>
  </si>
  <si>
    <t>Total GEPSA</t>
  </si>
  <si>
    <t>Total GTS MAJES</t>
  </si>
  <si>
    <t>Total GTS REPARTICION</t>
  </si>
  <si>
    <t>Total HIDROCAÑETE</t>
  </si>
  <si>
    <t>Total HIDROELECTRICA HUANCHOR</t>
  </si>
  <si>
    <t>Total HIDROMARAÑON/ CELEPSA RENOVABLES</t>
  </si>
  <si>
    <t>Total HUAURA POWER</t>
  </si>
  <si>
    <t>Total HYDRO PATAPO</t>
  </si>
  <si>
    <t>Total INLAND</t>
  </si>
  <si>
    <t>C.H. MANTA I</t>
  </si>
  <si>
    <t>Total INVERSION DE ENERGÍA RENOVABLES</t>
  </si>
  <si>
    <t>Total IYEPSA</t>
  </si>
  <si>
    <t>Total KALLPA</t>
  </si>
  <si>
    <t>Total MAJA ENERGIA</t>
  </si>
  <si>
    <t>Total MOQUEGUA FV</t>
  </si>
  <si>
    <t>Total ORAZUL ENERGY PERÚ</t>
  </si>
  <si>
    <t>Total P.E. MARCONA</t>
  </si>
  <si>
    <t>Total P.E. TRES HERMANAS</t>
  </si>
  <si>
    <t>Total PANAMERICANA SOLAR</t>
  </si>
  <si>
    <t>Total PETRAMAS</t>
  </si>
  <si>
    <t>Total PLANTA  ETEN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</si>
  <si>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</si>
  <si>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</si>
  <si>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</si>
  <si>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</si>
  <si>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</si>
  <si>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</si>
  <si>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</si>
  <si>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</si>
  <si>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</si>
  <si>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</si>
  <si>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</si>
  <si>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</si>
  <si>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</si>
  <si>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 xml:space="preserve">          No se presentaron inicios de operación comercial en el mes marzo 2020.</t>
  </si>
  <si>
    <t>La producción de electricidad con centrales termoeléctricas durante el mes de marzo 2020 fue de 699,35 GWh, 47,78% menor al registrado durante marzo del año 2019. La participación del gas natural de Camisea fue de 16,14%, mientras que las del gas que proviene de los yacimientos de Aguaytía y Malacas fue del 0,71%, la producción con diesel, residual, carbón, biogás y bagazo tuvieron una intervención del 0,04%, 0,02%, 0,00%, 0,12%, 0,46% respectivamente.</t>
  </si>
  <si>
    <t>VOLUMEN ÚTIL
31-03-2019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</si>
</sst>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3">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99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174" fontId="0" fillId="0" borderId="0" xfId="0" applyNumberFormat="1"/>
    <xf numFmtId="0" fontId="3" fillId="0" borderId="0" xfId="0" applyFont="1"/>
    <xf numFmtId="0" fontId="4" fillId="0" borderId="0" xfId="0" applyFont="1"/>
    <xf numFmtId="0" fontId="30"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37" xfId="0" applyFont="1" applyBorder="1"/>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0" fontId="36" fillId="8" borderId="140"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1" xfId="0" applyFont="1" applyFill="1" applyBorder="1" applyAlignment="1">
      <alignment horizontal="center" vertical="center" wrapText="1"/>
    </xf>
    <xf numFmtId="0" fontId="61" fillId="4" borderId="143" xfId="0" applyFont="1" applyFill="1" applyBorder="1" applyAlignment="1">
      <alignment horizontal="center" vertical="center"/>
    </xf>
    <xf numFmtId="4" fontId="61" fillId="4" borderId="144"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2" xfId="0" applyFont="1" applyFill="1" applyBorder="1" applyAlignment="1">
      <alignment vertical="center"/>
    </xf>
    <xf numFmtId="0" fontId="27" fillId="4" borderId="49" xfId="0" applyFont="1" applyFill="1" applyBorder="1" applyAlignment="1">
      <alignment vertical="center" wrapText="1"/>
    </xf>
    <xf numFmtId="0" fontId="81" fillId="0" borderId="142" xfId="0" applyFont="1" applyFill="1" applyBorder="1" applyAlignment="1">
      <alignment vertical="center" wrapText="1"/>
    </xf>
    <xf numFmtId="0" fontId="62" fillId="0" borderId="143" xfId="0" applyFont="1" applyFill="1" applyBorder="1" applyAlignment="1">
      <alignment horizontal="center" vertical="center"/>
    </xf>
    <xf numFmtId="0" fontId="61" fillId="0" borderId="143" xfId="0" applyFont="1" applyFill="1" applyBorder="1" applyAlignment="1">
      <alignment horizontal="center" vertical="center"/>
    </xf>
    <xf numFmtId="4" fontId="62" fillId="0" borderId="144" xfId="0" applyNumberFormat="1" applyFont="1" applyFill="1" applyBorder="1" applyAlignment="1">
      <alignment horizontal="center"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174" fontId="84" fillId="11" borderId="93" xfId="0" applyNumberFormat="1" applyFont="1" applyFill="1" applyBorder="1"/>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45" xfId="0" applyNumberFormat="1" applyFont="1" applyBorder="1"/>
    <xf numFmtId="43" fontId="71" fillId="4" borderId="146" xfId="0" applyNumberFormat="1" applyFont="1" applyFill="1" applyBorder="1"/>
    <xf numFmtId="43" fontId="31" fillId="0" borderId="147" xfId="0" applyNumberFormat="1" applyFont="1" applyBorder="1"/>
    <xf numFmtId="43" fontId="31" fillId="0" borderId="148" xfId="0" applyNumberFormat="1" applyFont="1" applyBorder="1"/>
    <xf numFmtId="43" fontId="71" fillId="4" borderId="149" xfId="0" applyNumberFormat="1" applyFont="1" applyFill="1" applyBorder="1"/>
    <xf numFmtId="43" fontId="31" fillId="0" borderId="150"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47" xfId="0" applyNumberFormat="1" applyFont="1" applyBorder="1" applyAlignment="1">
      <alignment vertical="center"/>
    </xf>
    <xf numFmtId="43" fontId="31" fillId="0" borderId="150"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46" xfId="0" applyNumberFormat="1" applyFont="1" applyFill="1" applyBorder="1" applyAlignment="1">
      <alignment vertical="center"/>
    </xf>
    <xf numFmtId="43" fontId="71" fillId="4" borderId="149"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23" fillId="0" borderId="0" xfId="0" applyFont="1" applyAlignment="1">
      <alignment horizontal="left" vertical="center"/>
    </xf>
    <xf numFmtId="0" fontId="33" fillId="2" borderId="0" xfId="9" applyFont="1" applyFill="1" applyAlignment="1">
      <alignment horizontal="left" vertical="center"/>
    </xf>
    <xf numFmtId="0" fontId="33" fillId="2" borderId="0" xfId="9" applyFont="1" applyFill="1" applyAlignment="1">
      <alignment vertical="center"/>
    </xf>
    <xf numFmtId="0" fontId="30" fillId="0" borderId="0" xfId="9" applyFont="1" applyAlignment="1">
      <alignment vertical="center"/>
    </xf>
    <xf numFmtId="0" fontId="36" fillId="8" borderId="72" xfId="9" applyFont="1" applyFill="1" applyBorder="1" applyAlignment="1">
      <alignment horizontal="center" vertical="center"/>
    </xf>
    <xf numFmtId="43" fontId="36" fillId="8" borderId="72" xfId="10" applyFont="1" applyFill="1" applyBorder="1" applyAlignment="1">
      <alignment horizontal="center" vertical="center"/>
    </xf>
    <xf numFmtId="4" fontId="36" fillId="8" borderId="72" xfId="9" applyNumberFormat="1" applyFont="1" applyFill="1" applyBorder="1" applyAlignment="1">
      <alignment horizontal="center" vertical="center"/>
    </xf>
    <xf numFmtId="0" fontId="36" fillId="8" borderId="72" xfId="9" applyFont="1" applyFill="1" applyBorder="1" applyAlignment="1">
      <alignment horizontal="center" vertical="center" wrapText="1"/>
    </xf>
    <xf numFmtId="0" fontId="33" fillId="0" borderId="0" xfId="9" applyFont="1" applyAlignment="1">
      <alignment horizontal="left" vertical="center" wrapText="1"/>
    </xf>
    <xf numFmtId="0" fontId="33" fillId="0" borderId="0" xfId="9" applyFont="1" applyAlignment="1">
      <alignment horizontal="center" vertical="center"/>
    </xf>
    <xf numFmtId="0" fontId="33" fillId="0" borderId="0" xfId="9" applyFont="1" applyAlignment="1">
      <alignment vertical="center"/>
    </xf>
    <xf numFmtId="22" fontId="31" fillId="0" borderId="72" xfId="9" applyNumberFormat="1" applyFont="1" applyBorder="1" applyAlignment="1">
      <alignment horizontal="center" vertical="center" wrapText="1"/>
    </xf>
    <xf numFmtId="0" fontId="60" fillId="0" borderId="72" xfId="9" applyFont="1" applyBorder="1" applyAlignment="1">
      <alignment horizontal="justify" vertical="center" wrapText="1"/>
    </xf>
    <xf numFmtId="0" fontId="31" fillId="0" borderId="72" xfId="9" applyFont="1" applyBorder="1" applyAlignment="1">
      <alignment horizontal="center" vertical="center" wrapText="1"/>
    </xf>
    <xf numFmtId="0" fontId="33"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22" fontId="60" fillId="0" borderId="72" xfId="9" applyNumberFormat="1" applyFont="1" applyBorder="1" applyAlignment="1">
      <alignment horizontal="center" vertical="center" wrapText="1"/>
    </xf>
    <xf numFmtId="0" fontId="60" fillId="0" borderId="72" xfId="9" applyFont="1" applyBorder="1" applyAlignment="1">
      <alignment horizontal="center" vertical="center" wrapText="1"/>
    </xf>
    <xf numFmtId="22" fontId="31" fillId="0" borderId="151" xfId="9" applyNumberFormat="1" applyFont="1" applyBorder="1" applyAlignment="1">
      <alignment horizontal="center" vertical="center" wrapText="1"/>
    </xf>
    <xf numFmtId="0" fontId="60" fillId="0" borderId="151" xfId="9" applyFont="1" applyBorder="1" applyAlignment="1">
      <alignment horizontal="justify" vertical="center" wrapText="1"/>
    </xf>
    <xf numFmtId="0" fontId="31" fillId="0" borderId="151" xfId="9" applyFont="1" applyBorder="1" applyAlignment="1">
      <alignment horizontal="center" vertical="center" wrapText="1"/>
    </xf>
    <xf numFmtId="22" fontId="31" fillId="0" borderId="152" xfId="9" applyNumberFormat="1" applyFont="1" applyBorder="1" applyAlignment="1">
      <alignment horizontal="center" vertical="center" wrapText="1"/>
    </xf>
    <xf numFmtId="0" fontId="60" fillId="0" borderId="152" xfId="9" applyFont="1" applyBorder="1" applyAlignment="1">
      <alignment horizontal="justify" vertical="center" wrapText="1"/>
    </xf>
    <xf numFmtId="0" fontId="31" fillId="0" borderId="152" xfId="9" applyFont="1" applyBorder="1" applyAlignment="1">
      <alignment horizontal="center" vertical="center" wrapText="1"/>
    </xf>
    <xf numFmtId="22" fontId="30" fillId="0" borderId="0" xfId="9" applyNumberFormat="1" applyFont="1" applyAlignment="1">
      <alignment vertical="center"/>
    </xf>
    <xf numFmtId="0" fontId="30" fillId="0" borderId="0" xfId="9" applyFont="1" applyAlignment="1">
      <alignment horizontal="center" vertical="center"/>
    </xf>
    <xf numFmtId="0" fontId="32" fillId="8" borderId="23" xfId="0" applyNumberFormat="1" applyFont="1" applyFill="1" applyBorder="1" applyAlignment="1">
      <alignment horizontal="center"/>
    </xf>
    <xf numFmtId="43" fontId="62" fillId="0" borderId="78" xfId="1" applyFont="1" applyBorder="1" applyAlignment="1">
      <alignment vertical="center" wrapText="1"/>
    </xf>
    <xf numFmtId="0" fontId="6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5" fillId="0" borderId="0" xfId="1" applyFont="1"/>
    <xf numFmtId="43" fontId="65"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3"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4" fillId="0" borderId="0" xfId="0" applyNumberFormat="1" applyFont="1" applyAlignment="1">
      <alignment horizontal="center"/>
    </xf>
    <xf numFmtId="0" fontId="44" fillId="0" borderId="0" xfId="0" applyFont="1" applyAlignment="1">
      <alignment horizontal="center"/>
    </xf>
    <xf numFmtId="2" fontId="44" fillId="0" borderId="0" xfId="0" applyNumberFormat="1" applyFont="1"/>
    <xf numFmtId="10" fontId="44" fillId="0" borderId="0" xfId="2" applyNumberFormat="1" applyFont="1"/>
    <xf numFmtId="0" fontId="27" fillId="2" borderId="0" xfId="0" applyFont="1" applyFill="1" applyBorder="1" applyAlignment="1">
      <alignment vertical="center" wrapText="1"/>
    </xf>
    <xf numFmtId="0" fontId="12" fillId="0" borderId="0" xfId="0" applyFont="1" applyAlignment="1">
      <alignment horizontal="center" vertical="center"/>
    </xf>
    <xf numFmtId="0" fontId="89"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81" xfId="1" applyFont="1" applyBorder="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8" borderId="82" xfId="1" applyFont="1" applyFill="1" applyBorder="1" applyAlignment="1">
      <alignment horizontal="center" vertical="center" wrapText="1"/>
    </xf>
    <xf numFmtId="43" fontId="36"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cellXfs>
  <cellStyles count="11">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3109.2738750449998</c:v>
                </c:pt>
                <c:pt idx="1">
                  <c:v>673.84085703500011</c:v>
                </c:pt>
                <c:pt idx="2">
                  <c:v>0</c:v>
                </c:pt>
                <c:pt idx="3">
                  <c:v>2.2965012200000001</c:v>
                </c:pt>
                <c:pt idx="4">
                  <c:v>23.211399157499997</c:v>
                </c:pt>
                <c:pt idx="5">
                  <c:v>130.312314775</c:v>
                </c:pt>
                <c:pt idx="6">
                  <c:v>60.122201322499997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673.84085703500011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2.2965012200000001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23.211399157499997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130.312314775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60.122201322499997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MARCONA</c:v>
                </c:pt>
                <c:pt idx="4">
                  <c:v>C.E. TALARA</c:v>
                </c:pt>
              </c:strCache>
            </c:strRef>
          </c:cat>
          <c:val>
            <c:numRef>
              <c:f>'6. FP RER'!$O$35:$O$39</c:f>
              <c:numCache>
                <c:formatCode>0.00</c:formatCode>
                <c:ptCount val="5"/>
                <c:pt idx="0">
                  <c:v>42.941802405000004</c:v>
                </c:pt>
                <c:pt idx="1">
                  <c:v>40.093562445000003</c:v>
                </c:pt>
                <c:pt idx="2">
                  <c:v>28.078673330000001</c:v>
                </c:pt>
                <c:pt idx="3">
                  <c:v>13.8185211275</c:v>
                </c:pt>
                <c:pt idx="4">
                  <c:v>5.3797554674999999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MARCONA</c:v>
                </c:pt>
                <c:pt idx="4">
                  <c:v>C.E. TALARA</c:v>
                </c:pt>
              </c:strCache>
            </c:strRef>
          </c:cat>
          <c:val>
            <c:numRef>
              <c:f>'6. FP RER'!$P$35:$P$39</c:f>
              <c:numCache>
                <c:formatCode>0.00</c:formatCode>
                <c:ptCount val="5"/>
                <c:pt idx="0">
                  <c:v>0.46634914558735374</c:v>
                </c:pt>
                <c:pt idx="1">
                  <c:v>0.59295618289349916</c:v>
                </c:pt>
                <c:pt idx="2">
                  <c:v>0.48518245882320415</c:v>
                </c:pt>
                <c:pt idx="3">
                  <c:v>0.62044365694594106</c:v>
                </c:pt>
                <c:pt idx="4">
                  <c:v>0.25047095650267054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RER'!$O$40:$O$46</c:f>
              <c:numCache>
                <c:formatCode>0.00</c:formatCode>
                <c:ptCount val="7"/>
                <c:pt idx="0">
                  <c:v>33.764511957499998</c:v>
                </c:pt>
                <c:pt idx="1">
                  <c:v>7.6085142249999995</c:v>
                </c:pt>
                <c:pt idx="2">
                  <c:v>4.0166999925000004</c:v>
                </c:pt>
                <c:pt idx="3">
                  <c:v>3.9183697999999998</c:v>
                </c:pt>
                <c:pt idx="4">
                  <c:v>3.7421603000000001</c:v>
                </c:pt>
                <c:pt idx="5">
                  <c:v>3.6113244249999998</c:v>
                </c:pt>
                <c:pt idx="6">
                  <c:v>3.4606206225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RER'!$P$40:$P$46</c:f>
              <c:numCache>
                <c:formatCode>0.00</c:formatCode>
                <c:ptCount val="7"/>
                <c:pt idx="0">
                  <c:v>0.33577124739752395</c:v>
                </c:pt>
                <c:pt idx="1">
                  <c:v>0.24543720951462974</c:v>
                </c:pt>
                <c:pt idx="2">
                  <c:v>0.28855603394396556</c:v>
                </c:pt>
                <c:pt idx="3">
                  <c:v>0.28149208333333331</c:v>
                </c:pt>
                <c:pt idx="4">
                  <c:v>0.2688333548850575</c:v>
                </c:pt>
                <c:pt idx="5">
                  <c:v>0.32429278241738502</c:v>
                </c:pt>
                <c:pt idx="6">
                  <c:v>0.24860780334051724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HUAYCOLORO</c:v>
                </c:pt>
                <c:pt idx="2">
                  <c:v>C.T. LA GRINGA</c:v>
                </c:pt>
                <c:pt idx="3">
                  <c:v>C.T. DOÑA CATALINA</c:v>
                </c:pt>
              </c:strCache>
            </c:strRef>
          </c:cat>
          <c:val>
            <c:numRef>
              <c:f>'6. FP RER'!$O$47:$O$50</c:f>
              <c:numCache>
                <c:formatCode>0.00</c:formatCode>
                <c:ptCount val="4"/>
                <c:pt idx="0">
                  <c:v>6.5569284574999998</c:v>
                </c:pt>
                <c:pt idx="1">
                  <c:v>1.8175178750000001</c:v>
                </c:pt>
                <c:pt idx="2">
                  <c:v>1.615740475</c:v>
                </c:pt>
                <c:pt idx="3">
                  <c:v>1.338039725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HUAYCOLORO</c:v>
                </c:pt>
                <c:pt idx="2">
                  <c:v>C.T. LA GRINGA</c:v>
                </c:pt>
                <c:pt idx="3">
                  <c:v>C.T. DOÑA CATALINA</c:v>
                </c:pt>
              </c:strCache>
            </c:strRef>
          </c:cat>
          <c:val>
            <c:numRef>
              <c:f>'6. FP RER'!$P$47:$P$50</c:f>
              <c:numCache>
                <c:formatCode>0.00</c:formatCode>
                <c:ptCount val="4"/>
                <c:pt idx="0">
                  <c:v>0.73941113334819175</c:v>
                </c:pt>
                <c:pt idx="1">
                  <c:v>0.61263959112818955</c:v>
                </c:pt>
                <c:pt idx="2">
                  <c:v>0.78595192460732088</c:v>
                </c:pt>
                <c:pt idx="3">
                  <c:v>0.80102952885536416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PURMACANA</c:v>
                  </c:pt>
                  <c:pt idx="1">
                    <c:v>C.H. EL CARMEN</c:v>
                  </c:pt>
                  <c:pt idx="2">
                    <c:v>C.H. CARHUAC</c:v>
                  </c:pt>
                  <c:pt idx="3">
                    <c:v>C.H. POECHOS II</c:v>
                  </c:pt>
                  <c:pt idx="4">
                    <c:v>C.H. 8 DE AGOSTO</c:v>
                  </c:pt>
                  <c:pt idx="5">
                    <c:v>C.H. LAS PIZARRAS</c:v>
                  </c:pt>
                  <c:pt idx="6">
                    <c:v>C.H. ZAÑA</c:v>
                  </c:pt>
                  <c:pt idx="7">
                    <c:v>C.H. LA JOYA</c:v>
                  </c:pt>
                  <c:pt idx="8">
                    <c:v>C.H. SANTA CRUZ I</c:v>
                  </c:pt>
                  <c:pt idx="9">
                    <c:v>C.H. RONCADOR</c:v>
                  </c:pt>
                  <c:pt idx="10">
                    <c:v>C.H. SANTA CRUZ II</c:v>
                  </c:pt>
                  <c:pt idx="11">
                    <c:v>C.H. HER 1</c:v>
                  </c:pt>
                  <c:pt idx="12">
                    <c:v>C.H. CANCHAYLLO</c:v>
                  </c:pt>
                  <c:pt idx="13">
                    <c:v>C.H. CAÑA BRAVA</c:v>
                  </c:pt>
                  <c:pt idx="14">
                    <c:v>C.H. IMPERIAL</c:v>
                  </c:pt>
                  <c:pt idx="15">
                    <c:v>C.H. RUNATULLO II</c:v>
                  </c:pt>
                  <c:pt idx="16">
                    <c:v>C.H. YANAPAMPA</c:v>
                  </c:pt>
                  <c:pt idx="17">
                    <c:v>C.H. POTRERO</c:v>
                  </c:pt>
                  <c:pt idx="18">
                    <c:v>C.H. RUCUY</c:v>
                  </c:pt>
                  <c:pt idx="19">
                    <c:v>C.H. HUASAHUASI II</c:v>
                  </c:pt>
                  <c:pt idx="20">
                    <c:v>C.H. HUASAHUASI I</c:v>
                  </c:pt>
                  <c:pt idx="21">
                    <c:v>C.H. ÁNGEL III</c:v>
                  </c:pt>
                  <c:pt idx="22">
                    <c:v>C.H. CHANCAY</c:v>
                  </c:pt>
                  <c:pt idx="23">
                    <c:v>C.H. ÁNGEL II</c:v>
                  </c:pt>
                  <c:pt idx="24">
                    <c:v>C.H. ÁNGEL I</c:v>
                  </c:pt>
                  <c:pt idx="25">
                    <c:v>C.H. CARHUAQUERO IV</c:v>
                  </c:pt>
                  <c:pt idx="26">
                    <c:v>C.H. RUNATULLO III</c:v>
                  </c:pt>
                  <c:pt idx="27">
                    <c:v>C.H. RENOVANDES H1</c:v>
                  </c:pt>
                  <c:pt idx="28">
                    <c:v>C.H. YARUCAYA</c:v>
                  </c:pt>
                  <c:pt idx="29">
                    <c:v>C.E. TALARA</c:v>
                  </c:pt>
                  <c:pt idx="30">
                    <c:v>C.E. WAYRA I</c:v>
                  </c:pt>
                  <c:pt idx="31">
                    <c:v>C.E. CUPISNIQUE</c:v>
                  </c:pt>
                  <c:pt idx="32">
                    <c:v>C.E. TRES HERMANAS</c:v>
                  </c:pt>
                  <c:pt idx="33">
                    <c:v>C.E. MARCONA</c:v>
                  </c:pt>
                  <c:pt idx="34">
                    <c:v>C.S. REPARTICION</c:v>
                  </c:pt>
                  <c:pt idx="35">
                    <c:v>C.S. INTIPAMPA</c:v>
                  </c:pt>
                  <c:pt idx="36">
                    <c:v>C.S. MAJES SOLAR</c:v>
                  </c:pt>
                  <c:pt idx="37">
                    <c:v>C.S. TACNA SOLAR</c:v>
                  </c:pt>
                  <c:pt idx="38">
                    <c:v>C.S. PANAMERICANA SOLAR</c:v>
                  </c:pt>
                  <c:pt idx="39">
                    <c:v>C.S. RUBI</c:v>
                  </c:pt>
                  <c:pt idx="40">
                    <c:v>C.S. MOQUEGUA FV</c:v>
                  </c:pt>
                  <c:pt idx="41">
                    <c:v>C.T. LA GRINGA</c:v>
                  </c:pt>
                  <c:pt idx="42">
                    <c:v>C.T. PARAMONGA</c:v>
                  </c:pt>
                  <c:pt idx="43">
                    <c:v>C.T. HUAYCOLORO</c:v>
                  </c:pt>
                  <c:pt idx="44">
                    <c:v>C.T. DOÑA CATALINA</c:v>
                  </c:pt>
                </c:lvl>
                <c:lvl>
                  <c:pt idx="0">
                    <c:v>HIDROELÉCTRICAS</c:v>
                  </c:pt>
                  <c:pt idx="29">
                    <c:v>EÓLICAS</c:v>
                  </c:pt>
                  <c:pt idx="34">
                    <c:v>SOLARES</c:v>
                  </c:pt>
                  <c:pt idx="41">
                    <c:v>TERMOELÉCTRICAS</c:v>
                  </c:pt>
                </c:lvl>
              </c:multiLvlStrCache>
            </c:multiLvlStrRef>
          </c:cat>
          <c:val>
            <c:numRef>
              <c:f>'6. FP RER'!$U$6:$U$50</c:f>
              <c:numCache>
                <c:formatCode>0.000</c:formatCode>
                <c:ptCount val="45"/>
                <c:pt idx="0">
                  <c:v>0.37712138053991906</c:v>
                </c:pt>
                <c:pt idx="1">
                  <c:v>0.50824590964590965</c:v>
                </c:pt>
                <c:pt idx="2">
                  <c:v>0.68309133510760067</c:v>
                </c:pt>
                <c:pt idx="3">
                  <c:v>0.6836195301449195</c:v>
                </c:pt>
                <c:pt idx="4">
                  <c:v>0.68722433469491029</c:v>
                </c:pt>
                <c:pt idx="5">
                  <c:v>0.69783796596122438</c:v>
                </c:pt>
                <c:pt idx="6">
                  <c:v>0.71228634629259635</c:v>
                </c:pt>
                <c:pt idx="7">
                  <c:v>0.71617163974394449</c:v>
                </c:pt>
                <c:pt idx="8">
                  <c:v>0.77630086741011217</c:v>
                </c:pt>
                <c:pt idx="9">
                  <c:v>0.77644119787061605</c:v>
                </c:pt>
                <c:pt idx="10">
                  <c:v>0.79963336890132575</c:v>
                </c:pt>
                <c:pt idx="11">
                  <c:v>0.80594907607273691</c:v>
                </c:pt>
                <c:pt idx="12">
                  <c:v>0.83490725286549383</c:v>
                </c:pt>
                <c:pt idx="13">
                  <c:v>0.85150960852052116</c:v>
                </c:pt>
                <c:pt idx="14">
                  <c:v>0.85334170538509602</c:v>
                </c:pt>
                <c:pt idx="15">
                  <c:v>0.87775984455166045</c:v>
                </c:pt>
                <c:pt idx="16">
                  <c:v>0.88836846132436131</c:v>
                </c:pt>
                <c:pt idx="17">
                  <c:v>0.9295104031489867</c:v>
                </c:pt>
                <c:pt idx="18">
                  <c:v>0.93089897762133689</c:v>
                </c:pt>
                <c:pt idx="19">
                  <c:v>0.94216851330857898</c:v>
                </c:pt>
                <c:pt idx="20">
                  <c:v>0.95002187900931556</c:v>
                </c:pt>
                <c:pt idx="21">
                  <c:v>0.95008853508016455</c:v>
                </c:pt>
                <c:pt idx="22">
                  <c:v>0.97247827936126374</c:v>
                </c:pt>
                <c:pt idx="23">
                  <c:v>0.97432084912958228</c:v>
                </c:pt>
                <c:pt idx="24">
                  <c:v>0.98483071099700559</c:v>
                </c:pt>
                <c:pt idx="25">
                  <c:v>0.99054594504797366</c:v>
                </c:pt>
                <c:pt idx="26">
                  <c:v>0.99817283532646528</c:v>
                </c:pt>
                <c:pt idx="27">
                  <c:v>1.0094201412535861</c:v>
                </c:pt>
                <c:pt idx="28">
                  <c:v>1.0774076527014651</c:v>
                </c:pt>
                <c:pt idx="29">
                  <c:v>0.3334459979963868</c:v>
                </c:pt>
                <c:pt idx="30">
                  <c:v>0.41934131825043819</c:v>
                </c:pt>
                <c:pt idx="31">
                  <c:v>0.47059132635754708</c:v>
                </c:pt>
                <c:pt idx="32">
                  <c:v>0.48234307902275275</c:v>
                </c:pt>
                <c:pt idx="33">
                  <c:v>0.51350508449233057</c:v>
                </c:pt>
                <c:pt idx="34">
                  <c:v>0.21979934964514652</c:v>
                </c:pt>
                <c:pt idx="35">
                  <c:v>0.22788130827786193</c:v>
                </c:pt>
                <c:pt idx="36">
                  <c:v>0.23429601877289377</c:v>
                </c:pt>
                <c:pt idx="37">
                  <c:v>0.2686925200320513</c:v>
                </c:pt>
                <c:pt idx="38">
                  <c:v>0.26910556112637363</c:v>
                </c:pt>
                <c:pt idx="39">
                  <c:v>0.30344883408137407</c:v>
                </c:pt>
                <c:pt idx="40">
                  <c:v>0.30957137741815477</c:v>
                </c:pt>
                <c:pt idx="41">
                  <c:v>0.61505681131172041</c:v>
                </c:pt>
                <c:pt idx="42">
                  <c:v>0.6841700061688063</c:v>
                </c:pt>
                <c:pt idx="43">
                  <c:v>0.70418884072916321</c:v>
                </c:pt>
                <c:pt idx="44">
                  <c:v>0.8228825692536631</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PURMACANA</c:v>
                  </c:pt>
                  <c:pt idx="1">
                    <c:v>C.H. EL CARMEN</c:v>
                  </c:pt>
                  <c:pt idx="2">
                    <c:v>C.H. CARHUAC</c:v>
                  </c:pt>
                  <c:pt idx="3">
                    <c:v>C.H. POECHOS II</c:v>
                  </c:pt>
                  <c:pt idx="4">
                    <c:v>C.H. 8 DE AGOSTO</c:v>
                  </c:pt>
                  <c:pt idx="5">
                    <c:v>C.H. LAS PIZARRAS</c:v>
                  </c:pt>
                  <c:pt idx="6">
                    <c:v>C.H. ZAÑA</c:v>
                  </c:pt>
                  <c:pt idx="7">
                    <c:v>C.H. LA JOYA</c:v>
                  </c:pt>
                  <c:pt idx="8">
                    <c:v>C.H. SANTA CRUZ I</c:v>
                  </c:pt>
                  <c:pt idx="9">
                    <c:v>C.H. RONCADOR</c:v>
                  </c:pt>
                  <c:pt idx="10">
                    <c:v>C.H. SANTA CRUZ II</c:v>
                  </c:pt>
                  <c:pt idx="11">
                    <c:v>C.H. HER 1</c:v>
                  </c:pt>
                  <c:pt idx="12">
                    <c:v>C.H. CANCHAYLLO</c:v>
                  </c:pt>
                  <c:pt idx="13">
                    <c:v>C.H. CAÑA BRAVA</c:v>
                  </c:pt>
                  <c:pt idx="14">
                    <c:v>C.H. IMPERIAL</c:v>
                  </c:pt>
                  <c:pt idx="15">
                    <c:v>C.H. RUNATULLO II</c:v>
                  </c:pt>
                  <c:pt idx="16">
                    <c:v>C.H. YANAPAMPA</c:v>
                  </c:pt>
                  <c:pt idx="17">
                    <c:v>C.H. POTRERO</c:v>
                  </c:pt>
                  <c:pt idx="18">
                    <c:v>C.H. RUCUY</c:v>
                  </c:pt>
                  <c:pt idx="19">
                    <c:v>C.H. HUASAHUASI II</c:v>
                  </c:pt>
                  <c:pt idx="20">
                    <c:v>C.H. HUASAHUASI I</c:v>
                  </c:pt>
                  <c:pt idx="21">
                    <c:v>C.H. ÁNGEL III</c:v>
                  </c:pt>
                  <c:pt idx="22">
                    <c:v>C.H. CHANCAY</c:v>
                  </c:pt>
                  <c:pt idx="23">
                    <c:v>C.H. ÁNGEL II</c:v>
                  </c:pt>
                  <c:pt idx="24">
                    <c:v>C.H. ÁNGEL I</c:v>
                  </c:pt>
                  <c:pt idx="25">
                    <c:v>C.H. CARHUAQUERO IV</c:v>
                  </c:pt>
                  <c:pt idx="26">
                    <c:v>C.H. RUNATULLO III</c:v>
                  </c:pt>
                  <c:pt idx="27">
                    <c:v>C.H. RENOVANDES H1</c:v>
                  </c:pt>
                  <c:pt idx="28">
                    <c:v>C.H. YARUCAYA</c:v>
                  </c:pt>
                  <c:pt idx="29">
                    <c:v>C.E. TALARA</c:v>
                  </c:pt>
                  <c:pt idx="30">
                    <c:v>C.E. WAYRA I</c:v>
                  </c:pt>
                  <c:pt idx="31">
                    <c:v>C.E. CUPISNIQUE</c:v>
                  </c:pt>
                  <c:pt idx="32">
                    <c:v>C.E. TRES HERMANAS</c:v>
                  </c:pt>
                  <c:pt idx="33">
                    <c:v>C.E. MARCONA</c:v>
                  </c:pt>
                  <c:pt idx="34">
                    <c:v>C.S. REPARTICION</c:v>
                  </c:pt>
                  <c:pt idx="35">
                    <c:v>C.S. INTIPAMPA</c:v>
                  </c:pt>
                  <c:pt idx="36">
                    <c:v>C.S. MAJES SOLAR</c:v>
                  </c:pt>
                  <c:pt idx="37">
                    <c:v>C.S. TACNA SOLAR</c:v>
                  </c:pt>
                  <c:pt idx="38">
                    <c:v>C.S. PANAMERICANA SOLAR</c:v>
                  </c:pt>
                  <c:pt idx="39">
                    <c:v>C.S. RUBI</c:v>
                  </c:pt>
                  <c:pt idx="40">
                    <c:v>C.S. MOQUEGUA FV</c:v>
                  </c:pt>
                  <c:pt idx="41">
                    <c:v>C.T. LA GRINGA</c:v>
                  </c:pt>
                  <c:pt idx="42">
                    <c:v>C.T. PARAMONGA</c:v>
                  </c:pt>
                  <c:pt idx="43">
                    <c:v>C.T. HUAYCOLORO</c:v>
                  </c:pt>
                  <c:pt idx="44">
                    <c:v>C.T. DOÑA CATALINA</c:v>
                  </c:pt>
                </c:lvl>
                <c:lvl>
                  <c:pt idx="0">
                    <c:v>HIDROELÉCTRICAS</c:v>
                  </c:pt>
                  <c:pt idx="29">
                    <c:v>EÓLICAS</c:v>
                  </c:pt>
                  <c:pt idx="34">
                    <c:v>SOLARES</c:v>
                  </c:pt>
                  <c:pt idx="41">
                    <c:v>TERMOELÉCTRICAS</c:v>
                  </c:pt>
                </c:lvl>
              </c:multiLvlStrCache>
            </c:multiLvlStrRef>
          </c:cat>
          <c:val>
            <c:numRef>
              <c:f>'6. FP RER'!$V$6:$V$50</c:f>
              <c:numCache>
                <c:formatCode>0.000</c:formatCode>
                <c:ptCount val="45"/>
                <c:pt idx="0">
                  <c:v>0.13168884715739662</c:v>
                </c:pt>
                <c:pt idx="2">
                  <c:v>0.7646755539351846</c:v>
                </c:pt>
                <c:pt idx="3">
                  <c:v>0.53344547589940428</c:v>
                </c:pt>
                <c:pt idx="5">
                  <c:v>0.83858880282858417</c:v>
                </c:pt>
                <c:pt idx="6">
                  <c:v>0.52464586744177844</c:v>
                </c:pt>
                <c:pt idx="7">
                  <c:v>0.64081155838294712</c:v>
                </c:pt>
                <c:pt idx="8">
                  <c:v>0.87078372749725796</c:v>
                </c:pt>
                <c:pt idx="9">
                  <c:v>0.60441514939868057</c:v>
                </c:pt>
                <c:pt idx="10">
                  <c:v>0.84652394542474829</c:v>
                </c:pt>
                <c:pt idx="11">
                  <c:v>0.42336856977513226</c:v>
                </c:pt>
                <c:pt idx="12">
                  <c:v>0.78544517961785232</c:v>
                </c:pt>
                <c:pt idx="13">
                  <c:v>0.86895336056404748</c:v>
                </c:pt>
                <c:pt idx="14">
                  <c:v>0.84160219755579324</c:v>
                </c:pt>
                <c:pt idx="15">
                  <c:v>0.87452205363386726</c:v>
                </c:pt>
                <c:pt idx="16">
                  <c:v>0.65072822172788503</c:v>
                </c:pt>
                <c:pt idx="17">
                  <c:v>0.90554166986553131</c:v>
                </c:pt>
                <c:pt idx="19">
                  <c:v>0.90594081517623581</c:v>
                </c:pt>
                <c:pt idx="20">
                  <c:v>0.91381247391426945</c:v>
                </c:pt>
                <c:pt idx="21">
                  <c:v>0.4179286269450877</c:v>
                </c:pt>
                <c:pt idx="23">
                  <c:v>0.43661076262584492</c:v>
                </c:pt>
                <c:pt idx="24">
                  <c:v>0.41368080414553937</c:v>
                </c:pt>
                <c:pt idx="25">
                  <c:v>0.83730770330394888</c:v>
                </c:pt>
                <c:pt idx="26">
                  <c:v>0.98364203277516193</c:v>
                </c:pt>
                <c:pt idx="27">
                  <c:v>0.89762929353575716</c:v>
                </c:pt>
                <c:pt idx="28">
                  <c:v>0.99498750277777748</c:v>
                </c:pt>
                <c:pt idx="29">
                  <c:v>0.19664338792575781</c:v>
                </c:pt>
                <c:pt idx="30">
                  <c:v>0.44170386078917145</c:v>
                </c:pt>
                <c:pt idx="31">
                  <c:v>0.39172655788568167</c:v>
                </c:pt>
                <c:pt idx="32">
                  <c:v>0.52223141360963388</c:v>
                </c:pt>
                <c:pt idx="33">
                  <c:v>0.52028590285011589</c:v>
                </c:pt>
                <c:pt idx="34">
                  <c:v>0.23510064913194445</c:v>
                </c:pt>
                <c:pt idx="35">
                  <c:v>0.23837575681035766</c:v>
                </c:pt>
                <c:pt idx="36">
                  <c:v>0.24912405295138884</c:v>
                </c:pt>
                <c:pt idx="37">
                  <c:v>0.30031796145833345</c:v>
                </c:pt>
                <c:pt idx="38">
                  <c:v>0.28374589947916673</c:v>
                </c:pt>
                <c:pt idx="39">
                  <c:v>0.29980624644318316</c:v>
                </c:pt>
                <c:pt idx="40">
                  <c:v>0.32644456445312492</c:v>
                </c:pt>
                <c:pt idx="41">
                  <c:v>0.87093682405871298</c:v>
                </c:pt>
                <c:pt idx="42">
                  <c:v>0.78446029353284619</c:v>
                </c:pt>
                <c:pt idx="43">
                  <c:v>0.95188310171608503</c:v>
                </c:pt>
                <c:pt idx="44">
                  <c:v>0.67638054060571118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4472.9233000000013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1961.6245200000005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205.14547000000002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INVERSION DE ENERGÍA RENOVABLES</c:v>
                </c:pt>
                <c:pt idx="1">
                  <c:v>GENERACIÓN ANDINA</c:v>
                </c:pt>
                <c:pt idx="2">
                  <c:v>ELECTRO ZAÑA</c:v>
                </c:pt>
                <c:pt idx="3">
                  <c:v>TERMOSELVA</c:v>
                </c:pt>
                <c:pt idx="4">
                  <c:v>TACNA SOLAR</c:v>
                </c:pt>
                <c:pt idx="5">
                  <c:v>SHOUGESA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AIPSA</c:v>
                </c:pt>
                <c:pt idx="16">
                  <c:v>AGROAURORA</c:v>
                </c:pt>
                <c:pt idx="17">
                  <c:v>ELECTRICA SANTA ROSA / ATRIA</c:v>
                </c:pt>
                <c:pt idx="18">
                  <c:v>MAJA ENERGIA</c:v>
                </c:pt>
                <c:pt idx="19">
                  <c:v>HIDROCAÑETE</c:v>
                </c:pt>
                <c:pt idx="20">
                  <c:v>ELECTRICA YANAPAMPA</c:v>
                </c:pt>
                <c:pt idx="21">
                  <c:v>EGECSAC</c:v>
                </c:pt>
                <c:pt idx="22">
                  <c:v>PETRAMAS</c:v>
                </c:pt>
                <c:pt idx="23">
                  <c:v>P.E. MARCONA</c:v>
                </c:pt>
                <c:pt idx="24">
                  <c:v>SAN JACINTO</c:v>
                </c:pt>
                <c:pt idx="25">
                  <c:v>BIOENERGIA</c:v>
                </c:pt>
                <c:pt idx="26">
                  <c:v>HUAURA POWER</c:v>
                </c:pt>
                <c:pt idx="27">
                  <c:v>EGESUR</c:v>
                </c:pt>
                <c:pt idx="28">
                  <c:v>RIO DOBLE</c:v>
                </c:pt>
                <c:pt idx="29">
                  <c:v>AGUA AZUL</c:v>
                </c:pt>
                <c:pt idx="30">
                  <c:v>HIDROMARAÑON/ CELEPSA RENOVABLES</c:v>
                </c:pt>
                <c:pt idx="31">
                  <c:v>HIDROELECTRICA HUANCHOR</c:v>
                </c:pt>
                <c:pt idx="32">
                  <c:v>RIO BAÑOS</c:v>
                </c:pt>
                <c:pt idx="33">
                  <c:v>SANTA ANA</c:v>
                </c:pt>
                <c:pt idx="34">
                  <c:v>ANDEAN POWER</c:v>
                </c:pt>
                <c:pt idx="35">
                  <c:v>P.E. TRES HERMANAS</c:v>
                </c:pt>
                <c:pt idx="36">
                  <c:v>SDF ENERGIA</c:v>
                </c:pt>
                <c:pt idx="37">
                  <c:v>SINERSA</c:v>
                </c:pt>
                <c:pt idx="38">
                  <c:v>ENEL GREEN POWER PERU</c:v>
                </c:pt>
                <c:pt idx="39">
                  <c:v>GEPSA</c:v>
                </c:pt>
                <c:pt idx="40">
                  <c:v>EMGE JUNÍN / SANTA CRUZ</c:v>
                </c:pt>
                <c:pt idx="41">
                  <c:v>ENERGÍA EÓLICA</c:v>
                </c:pt>
                <c:pt idx="42">
                  <c:v>EMGE HUANZA</c:v>
                </c:pt>
                <c:pt idx="43">
                  <c:v>ENEL GENERACION PIURA</c:v>
                </c:pt>
                <c:pt idx="44">
                  <c:v>INLAND</c:v>
                </c:pt>
                <c:pt idx="45">
                  <c:v>SAN GABAN</c:v>
                </c:pt>
                <c:pt idx="46">
                  <c:v>EGEMSA</c:v>
                </c:pt>
                <c:pt idx="47">
                  <c:v>EGASA</c:v>
                </c:pt>
                <c:pt idx="48">
                  <c:v>CHINANGO</c:v>
                </c:pt>
                <c:pt idx="49">
                  <c:v>CELEPSA</c:v>
                </c:pt>
                <c:pt idx="50">
                  <c:v>FENIX POWER</c:v>
                </c:pt>
                <c:pt idx="51">
                  <c:v>TERMOCHILCA</c:v>
                </c:pt>
                <c:pt idx="52">
                  <c:v>ORAZUL ENERGY PERÚ</c:v>
                </c:pt>
                <c:pt idx="53">
                  <c:v>STATKRAFT</c:v>
                </c:pt>
                <c:pt idx="54">
                  <c:v>EMGE HUALLAGA</c:v>
                </c:pt>
                <c:pt idx="55">
                  <c:v>ELECTROPERU</c:v>
                </c:pt>
                <c:pt idx="56">
                  <c:v>KALLPA</c:v>
                </c:pt>
                <c:pt idx="57">
                  <c:v>ENEL GENERACION PERU</c:v>
                </c:pt>
                <c:pt idx="58">
                  <c:v>ENGIE</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0.69538</c:v>
                </c:pt>
                <c:pt idx="18">
                  <c:v>2.7107000000000001</c:v>
                </c:pt>
                <c:pt idx="19">
                  <c:v>3.6</c:v>
                </c:pt>
                <c:pt idx="20">
                  <c:v>3.7952700000000004</c:v>
                </c:pt>
                <c:pt idx="21">
                  <c:v>4.7992600000000003</c:v>
                </c:pt>
                <c:pt idx="22">
                  <c:v>4.8048999999999999</c:v>
                </c:pt>
                <c:pt idx="23">
                  <c:v>8.2894100000000002</c:v>
                </c:pt>
                <c:pt idx="24">
                  <c:v>8.3879999999999999</c:v>
                </c:pt>
                <c:pt idx="25">
                  <c:v>8.4280000000000008</c:v>
                </c:pt>
                <c:pt idx="26">
                  <c:v>9.5447399999999991</c:v>
                </c:pt>
                <c:pt idx="27">
                  <c:v>11.856</c:v>
                </c:pt>
                <c:pt idx="28">
                  <c:v>12.248200000000001</c:v>
                </c:pt>
                <c:pt idx="29">
                  <c:v>18.959669999999999</c:v>
                </c:pt>
                <c:pt idx="30">
                  <c:v>19.122900000000001</c:v>
                </c:pt>
                <c:pt idx="31">
                  <c:v>19.48602</c:v>
                </c:pt>
                <c:pt idx="32">
                  <c:v>19.976480000000002</c:v>
                </c:pt>
                <c:pt idx="33">
                  <c:v>20.345030000000001</c:v>
                </c:pt>
                <c:pt idx="34">
                  <c:v>20.756149999999998</c:v>
                </c:pt>
                <c:pt idx="35">
                  <c:v>25.81061</c:v>
                </c:pt>
                <c:pt idx="36">
                  <c:v>26.28755</c:v>
                </c:pt>
                <c:pt idx="37">
                  <c:v>28.782789999999999</c:v>
                </c:pt>
                <c:pt idx="38">
                  <c:v>56.180860000000003</c:v>
                </c:pt>
                <c:pt idx="39">
                  <c:v>66.882170000000002</c:v>
                </c:pt>
                <c:pt idx="40">
                  <c:v>70.020579999999995</c:v>
                </c:pt>
                <c:pt idx="41">
                  <c:v>79.901820000000001</c:v>
                </c:pt>
                <c:pt idx="42">
                  <c:v>81.957740000000001</c:v>
                </c:pt>
                <c:pt idx="43">
                  <c:v>89.058170000000004</c:v>
                </c:pt>
                <c:pt idx="44">
                  <c:v>91.219619999999992</c:v>
                </c:pt>
                <c:pt idx="45">
                  <c:v>110.18037</c:v>
                </c:pt>
                <c:pt idx="46">
                  <c:v>163.44571999999999</c:v>
                </c:pt>
                <c:pt idx="47">
                  <c:v>169.65243999999998</c:v>
                </c:pt>
                <c:pt idx="48">
                  <c:v>195.96012999999999</c:v>
                </c:pt>
                <c:pt idx="49">
                  <c:v>213.68581</c:v>
                </c:pt>
                <c:pt idx="50">
                  <c:v>272.46931999999998</c:v>
                </c:pt>
                <c:pt idx="51">
                  <c:v>283.29390999999998</c:v>
                </c:pt>
                <c:pt idx="52">
                  <c:v>357.78279000000003</c:v>
                </c:pt>
                <c:pt idx="53">
                  <c:v>387.25858000000005</c:v>
                </c:pt>
                <c:pt idx="54">
                  <c:v>463.44722999999999</c:v>
                </c:pt>
                <c:pt idx="55">
                  <c:v>809.25408000000004</c:v>
                </c:pt>
                <c:pt idx="56">
                  <c:v>893.79520000000002</c:v>
                </c:pt>
                <c:pt idx="57">
                  <c:v>989.51923999999997</c:v>
                </c:pt>
                <c:pt idx="58">
                  <c:v>993.13590999999997</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INVERSION DE ENERGÍA RENOVABLES</c:v>
                </c:pt>
                <c:pt idx="1">
                  <c:v>GENERACIÓN ANDINA</c:v>
                </c:pt>
                <c:pt idx="2">
                  <c:v>ELECTRO ZAÑA</c:v>
                </c:pt>
                <c:pt idx="3">
                  <c:v>TERMOSELVA</c:v>
                </c:pt>
                <c:pt idx="4">
                  <c:v>TACNA SOLAR</c:v>
                </c:pt>
                <c:pt idx="5">
                  <c:v>SHOUGESA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AIPSA</c:v>
                </c:pt>
                <c:pt idx="16">
                  <c:v>AGROAURORA</c:v>
                </c:pt>
                <c:pt idx="17">
                  <c:v>ELECTRICA SANTA ROSA / ATRIA</c:v>
                </c:pt>
                <c:pt idx="18">
                  <c:v>MAJA ENERGIA</c:v>
                </c:pt>
                <c:pt idx="19">
                  <c:v>HIDROCAÑETE</c:v>
                </c:pt>
                <c:pt idx="20">
                  <c:v>ELECTRICA YANAPAMPA</c:v>
                </c:pt>
                <c:pt idx="21">
                  <c:v>EGECSAC</c:v>
                </c:pt>
                <c:pt idx="22">
                  <c:v>PETRAMAS</c:v>
                </c:pt>
                <c:pt idx="23">
                  <c:v>P.E. MARCONA</c:v>
                </c:pt>
                <c:pt idx="24">
                  <c:v>SAN JACINTO</c:v>
                </c:pt>
                <c:pt idx="25">
                  <c:v>BIOENERGIA</c:v>
                </c:pt>
                <c:pt idx="26">
                  <c:v>HUAURA POWER</c:v>
                </c:pt>
                <c:pt idx="27">
                  <c:v>EGESUR</c:v>
                </c:pt>
                <c:pt idx="28">
                  <c:v>RIO DOBLE</c:v>
                </c:pt>
                <c:pt idx="29">
                  <c:v>AGUA AZUL</c:v>
                </c:pt>
                <c:pt idx="30">
                  <c:v>HIDROMARAÑON/ CELEPSA RENOVABLES</c:v>
                </c:pt>
                <c:pt idx="31">
                  <c:v>HIDROELECTRICA HUANCHOR</c:v>
                </c:pt>
                <c:pt idx="32">
                  <c:v>RIO BAÑOS</c:v>
                </c:pt>
                <c:pt idx="33">
                  <c:v>SANTA ANA</c:v>
                </c:pt>
                <c:pt idx="34">
                  <c:v>ANDEAN POWER</c:v>
                </c:pt>
                <c:pt idx="35">
                  <c:v>P.E. TRES HERMANAS</c:v>
                </c:pt>
                <c:pt idx="36">
                  <c:v>SDF ENERGIA</c:v>
                </c:pt>
                <c:pt idx="37">
                  <c:v>SINERSA</c:v>
                </c:pt>
                <c:pt idx="38">
                  <c:v>ENEL GREEN POWER PERU</c:v>
                </c:pt>
                <c:pt idx="39">
                  <c:v>GEPSA</c:v>
                </c:pt>
                <c:pt idx="40">
                  <c:v>EMGE JUNÍN / SANTA CRUZ</c:v>
                </c:pt>
                <c:pt idx="41">
                  <c:v>ENERGÍA EÓLICA</c:v>
                </c:pt>
                <c:pt idx="42">
                  <c:v>EMGE HUANZA</c:v>
                </c:pt>
                <c:pt idx="43">
                  <c:v>ENEL GENERACION PIURA</c:v>
                </c:pt>
                <c:pt idx="44">
                  <c:v>INLAND</c:v>
                </c:pt>
                <c:pt idx="45">
                  <c:v>SAN GABAN</c:v>
                </c:pt>
                <c:pt idx="46">
                  <c:v>EGEMSA</c:v>
                </c:pt>
                <c:pt idx="47">
                  <c:v>EGASA</c:v>
                </c:pt>
                <c:pt idx="48">
                  <c:v>CHINANGO</c:v>
                </c:pt>
                <c:pt idx="49">
                  <c:v>CELEPSA</c:v>
                </c:pt>
                <c:pt idx="50">
                  <c:v>FENIX POWER</c:v>
                </c:pt>
                <c:pt idx="51">
                  <c:v>TERMOCHILCA</c:v>
                </c:pt>
                <c:pt idx="52">
                  <c:v>ORAZUL ENERGY PERÚ</c:v>
                </c:pt>
                <c:pt idx="53">
                  <c:v>STATKRAFT</c:v>
                </c:pt>
                <c:pt idx="54">
                  <c:v>EMGE HUALLAGA</c:v>
                </c:pt>
                <c:pt idx="55">
                  <c:v>ELECTROPERU</c:v>
                </c:pt>
                <c:pt idx="56">
                  <c:v>KALLPA</c:v>
                </c:pt>
                <c:pt idx="57">
                  <c:v>ENEL GENERACION PERU</c:v>
                </c:pt>
                <c:pt idx="58">
                  <c:v>ENGIE</c:v>
                </c:pt>
              </c:strCache>
            </c:strRef>
          </c:cat>
          <c:val>
            <c:numRef>
              <c:f>'9. Pot. Empresa'!$N$7:$N$65</c:f>
              <c:numCache>
                <c:formatCode>0</c:formatCode>
                <c:ptCount val="59"/>
                <c:pt idx="2">
                  <c:v>15.1591</c:v>
                </c:pt>
                <c:pt idx="3">
                  <c:v>0</c:v>
                </c:pt>
                <c:pt idx="4">
                  <c:v>0</c:v>
                </c:pt>
                <c:pt idx="5">
                  <c:v>28.87407</c:v>
                </c:pt>
                <c:pt idx="6">
                  <c:v>0</c:v>
                </c:pt>
                <c:pt idx="7">
                  <c:v>0</c:v>
                </c:pt>
                <c:pt idx="8">
                  <c:v>0</c:v>
                </c:pt>
                <c:pt idx="9">
                  <c:v>0</c:v>
                </c:pt>
                <c:pt idx="10">
                  <c:v>0</c:v>
                </c:pt>
                <c:pt idx="11">
                  <c:v>0</c:v>
                </c:pt>
                <c:pt idx="12">
                  <c:v>0</c:v>
                </c:pt>
                <c:pt idx="13">
                  <c:v>0</c:v>
                </c:pt>
                <c:pt idx="14">
                  <c:v>0</c:v>
                </c:pt>
                <c:pt idx="15">
                  <c:v>2.2650199999999998</c:v>
                </c:pt>
                <c:pt idx="16">
                  <c:v>3.87323</c:v>
                </c:pt>
                <c:pt idx="17">
                  <c:v>0</c:v>
                </c:pt>
                <c:pt idx="18">
                  <c:v>2.41</c:v>
                </c:pt>
                <c:pt idx="19">
                  <c:v>3.6</c:v>
                </c:pt>
                <c:pt idx="20">
                  <c:v>3.2374700000000001</c:v>
                </c:pt>
                <c:pt idx="21">
                  <c:v>2.4666000000000001</c:v>
                </c:pt>
                <c:pt idx="22">
                  <c:v>8.0032700000000006</c:v>
                </c:pt>
                <c:pt idx="23">
                  <c:v>24.81728</c:v>
                </c:pt>
                <c:pt idx="24">
                  <c:v>3.86</c:v>
                </c:pt>
                <c:pt idx="26">
                  <c:v>18.402000000000001</c:v>
                </c:pt>
                <c:pt idx="27">
                  <c:v>22.586280000000002</c:v>
                </c:pt>
                <c:pt idx="28">
                  <c:v>18.803339999999999</c:v>
                </c:pt>
                <c:pt idx="29">
                  <c:v>17.510750000000002</c:v>
                </c:pt>
                <c:pt idx="30">
                  <c:v>18.753609999999998</c:v>
                </c:pt>
                <c:pt idx="31">
                  <c:v>19.116</c:v>
                </c:pt>
                <c:pt idx="33">
                  <c:v>19.980219999999999</c:v>
                </c:pt>
                <c:pt idx="34">
                  <c:v>20.481760000000001</c:v>
                </c:pt>
                <c:pt idx="35">
                  <c:v>79.650549999999996</c:v>
                </c:pt>
                <c:pt idx="36">
                  <c:v>27.528079999999999</c:v>
                </c:pt>
                <c:pt idx="37">
                  <c:v>7.5201700000000002</c:v>
                </c:pt>
                <c:pt idx="38">
                  <c:v>130.04687999999999</c:v>
                </c:pt>
                <c:pt idx="39">
                  <c:v>37.12518</c:v>
                </c:pt>
                <c:pt idx="40">
                  <c:v>70.174450000000007</c:v>
                </c:pt>
                <c:pt idx="41">
                  <c:v>69.025980000000004</c:v>
                </c:pt>
                <c:pt idx="42">
                  <c:v>47.526940000000003</c:v>
                </c:pt>
                <c:pt idx="43">
                  <c:v>88.675340000000006</c:v>
                </c:pt>
                <c:pt idx="44">
                  <c:v>89.501319999999993</c:v>
                </c:pt>
                <c:pt idx="45">
                  <c:v>110.86697000000001</c:v>
                </c:pt>
                <c:pt idx="46">
                  <c:v>165.76339000000002</c:v>
                </c:pt>
                <c:pt idx="47">
                  <c:v>137.96500999999998</c:v>
                </c:pt>
                <c:pt idx="48">
                  <c:v>195.25824999999998</c:v>
                </c:pt>
                <c:pt idx="49">
                  <c:v>213.95783</c:v>
                </c:pt>
                <c:pt idx="50">
                  <c:v>0</c:v>
                </c:pt>
                <c:pt idx="51">
                  <c:v>290.16346999999996</c:v>
                </c:pt>
                <c:pt idx="52">
                  <c:v>347.55106000000001</c:v>
                </c:pt>
                <c:pt idx="53">
                  <c:v>338.75982999999997</c:v>
                </c:pt>
                <c:pt idx="54">
                  <c:v>460.87973</c:v>
                </c:pt>
                <c:pt idx="55">
                  <c:v>855.02592000000004</c:v>
                </c:pt>
                <c:pt idx="56">
                  <c:v>1036.9483600000001</c:v>
                </c:pt>
                <c:pt idx="57">
                  <c:v>987.43115999999998</c:v>
                </c:pt>
                <c:pt idx="58">
                  <c:v>949.12310999999988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9">
                    <c:v>13</c:v>
                  </c:pt>
                </c:lvl>
                <c:lvl>
                  <c:pt idx="0">
                    <c:v>2017</c:v>
                  </c:pt>
                  <c:pt idx="52">
                    <c:v>2018</c:v>
                  </c:pt>
                  <c:pt idx="104">
                    <c:v>2019</c:v>
                  </c:pt>
                  <c:pt idx="157">
                    <c:v>2020</c:v>
                  </c:pt>
                </c:lvl>
              </c:multiLvlStrCache>
            </c:multiLvlStrRef>
          </c:cat>
          <c:val>
            <c:numRef>
              <c:f>'12.Caudales'!$N$4:$N$173</c:f>
              <c:numCache>
                <c:formatCode>0.0</c:formatCode>
                <c:ptCount val="170"/>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9">
                    <c:v>13</c:v>
                  </c:pt>
                </c:lvl>
                <c:lvl>
                  <c:pt idx="0">
                    <c:v>2017</c:v>
                  </c:pt>
                  <c:pt idx="52">
                    <c:v>2018</c:v>
                  </c:pt>
                  <c:pt idx="104">
                    <c:v>2019</c:v>
                  </c:pt>
                  <c:pt idx="157">
                    <c:v>2020</c:v>
                  </c:pt>
                </c:lvl>
              </c:multiLvlStrCache>
            </c:multiLvlStrRef>
          </c:cat>
          <c:val>
            <c:numRef>
              <c:f>'12.Caudales'!$O$4:$O$173</c:f>
              <c:numCache>
                <c:formatCode>0.0</c:formatCode>
                <c:ptCount val="170"/>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lvl>
                <c:lvl>
                  <c:pt idx="0">
                    <c:v>2017</c:v>
                  </c:pt>
                  <c:pt idx="52">
                    <c:v>2018</c:v>
                  </c:pt>
                  <c:pt idx="104">
                    <c:v>2019</c:v>
                  </c:pt>
                  <c:pt idx="157">
                    <c:v>2020</c:v>
                  </c:pt>
                </c:lvl>
              </c:multiLvlStrCache>
            </c:multiLvlStrRef>
          </c:cat>
          <c:val>
            <c:numRef>
              <c:f>'12.Caudales'!$M$4:$M$173</c:f>
              <c:numCache>
                <c:formatCode>0.0</c:formatCode>
                <c:ptCount val="170"/>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3029.7496984825048</c:v>
                </c:pt>
                <c:pt idx="1">
                  <c:v>1265.0327022275003</c:v>
                </c:pt>
                <c:pt idx="2">
                  <c:v>0</c:v>
                </c:pt>
                <c:pt idx="3">
                  <c:v>52.710489845000026</c:v>
                </c:pt>
                <c:pt idx="4">
                  <c:v>21.463802730000005</c:v>
                </c:pt>
                <c:pt idx="5">
                  <c:v>152.49710963249993</c:v>
                </c:pt>
                <c:pt idx="6">
                  <c:v>68.403388252499965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673.84085703500011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2.2965012200000001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23.211399157499997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130.312314775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60.122201322499997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'13.Caudales'!$Q$4:$Q$173</c:f>
              <c:numCache>
                <c:formatCode>0.0</c:formatCode>
                <c:ptCount val="170"/>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'13.Caudales'!$R$4:$R$173</c:f>
              <c:numCache>
                <c:formatCode>0.0</c:formatCode>
                <c:ptCount val="170"/>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'13.Caudales'!$S$4:$S$173</c:f>
              <c:numCache>
                <c:formatCode>0.0</c:formatCode>
                <c:ptCount val="170"/>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'13.Caudales'!$T$4:$T$173</c:f>
              <c:numCache>
                <c:formatCode>0.0</c:formatCode>
                <c:ptCount val="170"/>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'13.Caudales'!$N$4:$O$164</c:f>
              <c:multiLvlStrCache>
                <c:ptCount val="161"/>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lvl>
                <c:lvl>
                  <c:pt idx="0">
                    <c:v>2017</c:v>
                  </c:pt>
                  <c:pt idx="52">
                    <c:v>2018</c:v>
                  </c:pt>
                  <c:pt idx="104">
                    <c:v>2019</c:v>
                  </c:pt>
                  <c:pt idx="157">
                    <c:v>2020</c:v>
                  </c:pt>
                </c:lvl>
              </c:multiLvlStrCache>
            </c:multiLvlStrRef>
          </c:cat>
          <c:val>
            <c:numRef>
              <c:f>'13.Caudales'!$U$4:$U$173</c:f>
              <c:numCache>
                <c:formatCode>0.0</c:formatCode>
                <c:ptCount val="170"/>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'13.Caudales'!$V$4:$V$173</c:f>
              <c:numCache>
                <c:formatCode>0.0</c:formatCode>
                <c:ptCount val="170"/>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9">
                    <c:v>13</c:v>
                  </c:pt>
                </c:lvl>
                <c:lvl>
                  <c:pt idx="0">
                    <c:v>2017</c:v>
                  </c:pt>
                  <c:pt idx="52">
                    <c:v>2018</c:v>
                  </c:pt>
                  <c:pt idx="104">
                    <c:v>2019</c:v>
                  </c:pt>
                  <c:pt idx="157">
                    <c:v>2020</c:v>
                  </c:pt>
                </c:lvl>
              </c:multiLvlStrCache>
            </c:multiLvlStrRef>
          </c:cat>
          <c:val>
            <c:numRef>
              <c:f>'13.Caudales'!$W$4:$W$173</c:f>
              <c:numCache>
                <c:formatCode>0.0</c:formatCode>
                <c:ptCount val="170"/>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'13.Caudales'!$Y$4:$Y$173</c:f>
              <c:numCache>
                <c:formatCode>0.0</c:formatCode>
                <c:ptCount val="170"/>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'13.Caudales'!$X$4:$X$173</c:f>
              <c:numCache>
                <c:formatCode>0.0</c:formatCode>
                <c:ptCount val="170"/>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4.8266969384750675</c:v>
                </c:pt>
                <c:pt idx="1">
                  <c:v>4.7339621492568087</c:v>
                </c:pt>
                <c:pt idx="2">
                  <c:v>4.6878057606308516</c:v>
                </c:pt>
                <c:pt idx="3">
                  <c:v>4.6537428250329596</c:v>
                </c:pt>
                <c:pt idx="4">
                  <c:v>4.6017848652087183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4.5671556970581726</c:v>
                </c:pt>
                <c:pt idx="1">
                  <c:v>4.5629825991234405</c:v>
                </c:pt>
                <c:pt idx="2">
                  <c:v>4.5571683053816558</c:v>
                </c:pt>
                <c:pt idx="3">
                  <c:v>4.5487746381276954</c:v>
                </c:pt>
                <c:pt idx="4">
                  <c:v>4.5152703055784809</c:v>
                </c:pt>
                <c:pt idx="5">
                  <c:v>4.3597647287148744</c:v>
                </c:pt>
                <c:pt idx="6">
                  <c:v>4.2735636369280767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4.813102435599462</c:v>
                </c:pt>
                <c:pt idx="1">
                  <c:v>4.6627540750173404</c:v>
                </c:pt>
                <c:pt idx="2">
                  <c:v>4.6577964998312913</c:v>
                </c:pt>
                <c:pt idx="3">
                  <c:v>4.61898058436112</c:v>
                </c:pt>
                <c:pt idx="4">
                  <c:v>4.5212901638441663</c:v>
                </c:pt>
                <c:pt idx="5">
                  <c:v>4.4755712533504299</c:v>
                </c:pt>
                <c:pt idx="6">
                  <c:v>4.0099368092131744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3786633415710627"/>
        </c:manualLayout>
      </c:layout>
      <c:barChart>
        <c:barDir val="col"/>
        <c:grouping val="clustered"/>
        <c:varyColors val="0"/>
        <c:ser>
          <c:idx val="2"/>
          <c:order val="0"/>
          <c:tx>
            <c:strRef>
              <c:f>'16. Congestiones'!$F$6</c:f>
              <c:strCache>
                <c:ptCount val="1"/>
                <c:pt idx="0">
                  <c:v>MARZO
 2018</c:v>
                </c:pt>
              </c:strCache>
            </c:strRef>
          </c:tx>
          <c:spPr>
            <a:solidFill>
              <a:schemeClr val="accent6"/>
            </a:solidFill>
          </c:spPr>
          <c:invertIfNegative val="0"/>
          <c:cat>
            <c:strRef>
              <c:f>'16. Congestiones'!$C$7:$C$16</c:f>
              <c:strCache>
                <c:ptCount val="10"/>
                <c:pt idx="0">
                  <c:v>PACHACHACA - CALLAHUANCA (REP)</c:v>
                </c:pt>
                <c:pt idx="1">
                  <c:v>PARAGSHA II - CONOCOCHA</c:v>
                </c:pt>
                <c:pt idx="2">
                  <c:v>SANTA ROSA N. - CHAVARRÍA</c:v>
                </c:pt>
                <c:pt idx="3">
                  <c:v>HUANZA-CARABAYLLO</c:v>
                </c:pt>
                <c:pt idx="4">
                  <c:v>POMACOCHA - SAN JUAN</c:v>
                </c:pt>
                <c:pt idx="5">
                  <c:v>POMACOCHA - CARHUAMAYO</c:v>
                </c:pt>
                <c:pt idx="6">
                  <c:v>CARHUAMAYO - OROYA NUEVA</c:v>
                </c:pt>
                <c:pt idx="7">
                  <c:v>MARCONA - SAN NICOLÁS</c:v>
                </c:pt>
                <c:pt idx="8">
                  <c:v>INDEPENDENCIA</c:v>
                </c:pt>
                <c:pt idx="9">
                  <c:v>MARCONA</c:v>
                </c:pt>
              </c:strCache>
            </c:strRef>
          </c:cat>
          <c:val>
            <c:numRef>
              <c:f>'16. Congestiones'!$F$7:$F$16</c:f>
              <c:numCache>
                <c:formatCode>#,##0.00</c:formatCode>
                <c:ptCount val="10"/>
                <c:pt idx="1">
                  <c:v>0.33333333333333215</c:v>
                </c:pt>
                <c:pt idx="2">
                  <c:v>7.8999999999999968</c:v>
                </c:pt>
                <c:pt idx="5">
                  <c:v>5.2666666666666657</c:v>
                </c:pt>
                <c:pt idx="6">
                  <c:v>18.466666666666661</c:v>
                </c:pt>
                <c:pt idx="8">
                  <c:v>1.3333333333333339</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MARZO
 2019</c:v>
                </c:pt>
              </c:strCache>
            </c:strRef>
          </c:tx>
          <c:invertIfNegative val="0"/>
          <c:cat>
            <c:strRef>
              <c:f>'16. Congestiones'!$C$7:$C$16</c:f>
              <c:strCache>
                <c:ptCount val="10"/>
                <c:pt idx="0">
                  <c:v>PACHACHACA - CALLAHUANCA (REP)</c:v>
                </c:pt>
                <c:pt idx="1">
                  <c:v>PARAGSHA II - CONOCOCHA</c:v>
                </c:pt>
                <c:pt idx="2">
                  <c:v>SANTA ROSA N. - CHAVARRÍA</c:v>
                </c:pt>
                <c:pt idx="3">
                  <c:v>HUANZA-CARABAYLLO</c:v>
                </c:pt>
                <c:pt idx="4">
                  <c:v>POMACOCHA - SAN JUAN</c:v>
                </c:pt>
                <c:pt idx="5">
                  <c:v>POMACOCHA - CARHUAMAYO</c:v>
                </c:pt>
                <c:pt idx="6">
                  <c:v>CARHUAMAYO - OROYA NUEVA</c:v>
                </c:pt>
                <c:pt idx="7">
                  <c:v>MARCONA - SAN NICOLÁS</c:v>
                </c:pt>
                <c:pt idx="8">
                  <c:v>INDEPENDENCIA</c:v>
                </c:pt>
                <c:pt idx="9">
                  <c:v>MARCONA</c:v>
                </c:pt>
              </c:strCache>
            </c:strRef>
          </c:cat>
          <c:val>
            <c:numRef>
              <c:f>'16. Congestiones'!$E$7:$E$16</c:f>
              <c:numCache>
                <c:formatCode>#,##0.00</c:formatCode>
                <c:ptCount val="10"/>
                <c:pt idx="3">
                  <c:v>0.5333333333333341</c:v>
                </c:pt>
                <c:pt idx="4">
                  <c:v>1.0666666666666682</c:v>
                </c:pt>
                <c:pt idx="6">
                  <c:v>2.1333333333333337</c:v>
                </c:pt>
                <c:pt idx="8">
                  <c:v>10.666666666666655</c:v>
                </c:pt>
                <c:pt idx="9">
                  <c:v>38.4</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MARZO
 2020</c:v>
                </c:pt>
              </c:strCache>
            </c:strRef>
          </c:tx>
          <c:invertIfNegative val="0"/>
          <c:cat>
            <c:strRef>
              <c:f>'16. Congestiones'!$C$7:$C$16</c:f>
              <c:strCache>
                <c:ptCount val="10"/>
                <c:pt idx="0">
                  <c:v>PACHACHACA - CALLAHUANCA (REP)</c:v>
                </c:pt>
                <c:pt idx="1">
                  <c:v>PARAGSHA II - CONOCOCHA</c:v>
                </c:pt>
                <c:pt idx="2">
                  <c:v>SANTA ROSA N. - CHAVARRÍA</c:v>
                </c:pt>
                <c:pt idx="3">
                  <c:v>HUANZA-CARABAYLLO</c:v>
                </c:pt>
                <c:pt idx="4">
                  <c:v>POMACOCHA - SAN JUAN</c:v>
                </c:pt>
                <c:pt idx="5">
                  <c:v>POMACOCHA - CARHUAMAYO</c:v>
                </c:pt>
                <c:pt idx="6">
                  <c:v>CARHUAMAYO - OROYA NUEVA</c:v>
                </c:pt>
                <c:pt idx="7">
                  <c:v>MARCONA - SAN NICOLÁS</c:v>
                </c:pt>
                <c:pt idx="8">
                  <c:v>INDEPENDENCIA</c:v>
                </c:pt>
                <c:pt idx="9">
                  <c:v>MARCONA</c:v>
                </c:pt>
              </c:strCache>
            </c:strRef>
          </c:cat>
          <c:val>
            <c:numRef>
              <c:f>'16. Congestiones'!$D$7:$D$16</c:f>
              <c:numCache>
                <c:formatCode>#,##0.00</c:formatCode>
                <c:ptCount val="10"/>
                <c:pt idx="0">
                  <c:v>7.8999999999999986</c:v>
                </c:pt>
                <c:pt idx="3">
                  <c:v>59.666666666666671</c:v>
                </c:pt>
                <c:pt idx="4">
                  <c:v>20.500000000000004</c:v>
                </c:pt>
                <c:pt idx="7">
                  <c:v>14.600000000000001</c:v>
                </c:pt>
                <c:pt idx="8">
                  <c:v>226.90000000000009</c:v>
                </c:pt>
                <c:pt idx="9">
                  <c:v>8.9166666666666696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1193401452"/>
          <c:y val="0.14998295752301216"/>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7.2212997393894507E-4"/>
                  <c:y val="-2.21171336433923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6.6269179965535482E-2"/>
                  <c:y val="-5.72916490898547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72774625384"/>
                      <c:h val="0.17799963263458374"/>
                    </c:manualLayout>
                  </c15:layout>
                </c:ext>
                <c:ext xmlns:c16="http://schemas.microsoft.com/office/drawing/2014/chart" uri="{C3380CC4-5D6E-409C-BE32-E72D297353CC}">
                  <c16:uniqueId val="{00000003-E0CC-4AD3-904F-2124A98CD904}"/>
                </c:ext>
              </c:extLst>
            </c:dLbl>
            <c:dLbl>
              <c:idx val="2"/>
              <c:layout>
                <c:manualLayout>
                  <c:x val="1.2985444352793035E-3"/>
                  <c:y val="-2.73320833909853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8.988368979187613E-3"/>
                  <c:y val="-7.613431303872426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1.709470777592135E-3"/>
                  <c:y val="1.41884044625738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5256414169049767"/>
                  <c:y val="1.2245513875276066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332651321691279"/>
                  <c:y val="9.7964111002208532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12</c:v>
                </c:pt>
                <c:pt idx="1">
                  <c:v>4</c:v>
                </c:pt>
                <c:pt idx="2">
                  <c:v>4</c:v>
                </c:pt>
                <c:pt idx="3">
                  <c:v>1</c:v>
                </c:pt>
                <c:pt idx="4">
                  <c:v>3</c:v>
                </c:pt>
                <c:pt idx="5">
                  <c:v>0</c:v>
                </c:pt>
                <c:pt idx="6">
                  <c:v>0</c:v>
                </c:pt>
              </c:numCache>
            </c:numRef>
          </c:val>
          <c:extLst>
            <c:ext xmlns:c16="http://schemas.microsoft.com/office/drawing/2014/chart" uri="{C3380CC4-5D6E-409C-BE32-E72D297353CC}">
              <c16:uniqueId val="{00000009-E0CC-4AD3-904F-2124A98CD904}"/>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BARRA</c:v>
                </c:pt>
                <c:pt idx="2">
                  <c:v>TRANSFORMADOR 2D</c:v>
                </c:pt>
                <c:pt idx="3">
                  <c:v>TRANSFORMADOR 3D</c:v>
                </c:pt>
              </c:strCache>
            </c:strRef>
          </c:cat>
          <c:val>
            <c:numRef>
              <c:f>'17. Eventos'!$J$7:$J$10</c:f>
              <c:numCache>
                <c:formatCode>#,##0.00</c:formatCode>
                <c:ptCount val="4"/>
                <c:pt idx="0">
                  <c:v>214.96</c:v>
                </c:pt>
                <c:pt idx="1">
                  <c:v>0.54</c:v>
                </c:pt>
                <c:pt idx="2">
                  <c:v>29.270000000000003</c:v>
                </c:pt>
                <c:pt idx="3">
                  <c:v>25.5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Eventos'!$B$7:$B$10</c:f>
              <c:numCache>
                <c:formatCode>General</c:formatCode>
                <c:ptCount val="4"/>
                <c:pt idx="0">
                  <c:v>12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Eventos'!$C$7:$C$10</c:f>
              <c:numCache>
                <c:formatCode>General</c:formatCode>
                <c:ptCount val="4"/>
                <c:pt idx="0">
                  <c:v>2</c:v>
                </c:pt>
                <c:pt idx="2">
                  <c:v>1</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Eventos'!$D$7:$D$10</c:f>
              <c:numCache>
                <c:formatCode>General</c:formatCode>
                <c:ptCount val="4"/>
                <c:pt idx="1">
                  <c:v>1</c:v>
                </c:pt>
                <c:pt idx="2">
                  <c:v>1</c:v>
                </c:pt>
                <c:pt idx="3">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Eventos'!$E$7:$E$10</c:f>
              <c:numCache>
                <c:formatCode>General</c:formatCode>
                <c:ptCount val="4"/>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Eventos'!$F$7:$F$10</c:f>
              <c:numCache>
                <c:formatCode>General</c:formatCode>
                <c:ptCount val="4"/>
                <c:pt idx="0">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BARRA</c:v>
                </c:pt>
                <c:pt idx="2">
                  <c:v>TRANSFORMADOR 2D</c:v>
                </c:pt>
                <c:pt idx="3">
                  <c:v>TRANSFORMADOR 3D</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MARZO 2020</c:v>
                </c:pt>
                <c:pt idx="1">
                  <c:v>MARZO 2019</c:v>
                </c:pt>
              </c:strCache>
            </c:strRef>
          </c:cat>
          <c:val>
            <c:numRef>
              <c:f>'2. Oferta de generación'!$D$38:$E$38</c:f>
              <c:numCache>
                <c:formatCode>#,##0.0</c:formatCode>
                <c:ptCount val="2"/>
                <c:pt idx="0">
                  <c:v>5163.1192474999998</c:v>
                </c:pt>
                <c:pt idx="1">
                  <c:v>5082.3492474999994</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MARZO 2020</c:v>
                </c:pt>
                <c:pt idx="1">
                  <c:v>MARZO 2019</c:v>
                </c:pt>
              </c:strCache>
            </c:strRef>
          </c:cat>
          <c:val>
            <c:numRef>
              <c:f>'2. Oferta de generación'!$D$39:$E$39</c:f>
              <c:numCache>
                <c:formatCode>#,##0.0</c:formatCode>
                <c:ptCount val="2"/>
                <c:pt idx="0">
                  <c:v>7395.9645</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MARZO 2020</c:v>
                </c:pt>
                <c:pt idx="1">
                  <c:v>MARZO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MARZO 2020</c:v>
                </c:pt>
                <c:pt idx="1">
                  <c:v>MARZO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8568.9995954850019</c:v>
                </c:pt>
                <c:pt idx="1">
                  <c:v>3481.9709932649998</c:v>
                </c:pt>
                <c:pt idx="2">
                  <c:v>271.67789598500002</c:v>
                </c:pt>
                <c:pt idx="3">
                  <c:v>168.01405985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8628.7302733500055</c:v>
                </c:pt>
                <c:pt idx="1">
                  <c:v>4069.2803228799999</c:v>
                </c:pt>
                <c:pt idx="2">
                  <c:v>355.23755224999996</c:v>
                </c:pt>
                <c:pt idx="3">
                  <c:v>173.92783748999994</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9364.9675253799978</c:v>
                </c:pt>
                <c:pt idx="1">
                  <c:v>3096.3082181099999</c:v>
                </c:pt>
                <c:pt idx="2">
                  <c:v>367.32796796000002</c:v>
                </c:pt>
                <c:pt idx="3">
                  <c:v>172.06236039499998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9364.9675253799978</c:v>
                </c:pt>
                <c:pt idx="1">
                  <c:v>2877.3144281899999</c:v>
                </c:pt>
                <c:pt idx="2">
                  <c:v>129.67095581750002</c:v>
                </c:pt>
                <c:pt idx="3">
                  <c:v>15.849262879999999</c:v>
                </c:pt>
                <c:pt idx="4">
                  <c:v>0</c:v>
                </c:pt>
                <c:pt idx="5">
                  <c:v>0</c:v>
                </c:pt>
                <c:pt idx="6">
                  <c:v>1.2236413724999999</c:v>
                </c:pt>
                <c:pt idx="7">
                  <c:v>0</c:v>
                </c:pt>
                <c:pt idx="8">
                  <c:v>4.3555946950000006</c:v>
                </c:pt>
                <c:pt idx="9">
                  <c:v>53.057950529999999</c:v>
                </c:pt>
                <c:pt idx="10">
                  <c:v>14.836384625000001</c:v>
                </c:pt>
                <c:pt idx="11">
                  <c:v>172.06236039499998</c:v>
                </c:pt>
                <c:pt idx="12">
                  <c:v>367.32796796000002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8628.7302733500055</c:v>
                </c:pt>
                <c:pt idx="1">
                  <c:v>3738.5829622295314</c:v>
                </c:pt>
                <c:pt idx="2">
                  <c:v>124.62211466499994</c:v>
                </c:pt>
                <c:pt idx="3">
                  <c:v>45.245062725000004</c:v>
                </c:pt>
                <c:pt idx="4">
                  <c:v>0</c:v>
                </c:pt>
                <c:pt idx="5">
                  <c:v>18.283256609999999</c:v>
                </c:pt>
                <c:pt idx="6">
                  <c:v>36.708258054999995</c:v>
                </c:pt>
                <c:pt idx="7">
                  <c:v>6.4617880000000003E-2</c:v>
                </c:pt>
                <c:pt idx="8">
                  <c:v>57.35700473296879</c:v>
                </c:pt>
                <c:pt idx="9">
                  <c:v>30.590131572500006</c:v>
                </c:pt>
                <c:pt idx="10">
                  <c:v>17.826914409999997</c:v>
                </c:pt>
                <c:pt idx="11">
                  <c:v>173.92783748999994</c:v>
                </c:pt>
                <c:pt idx="12">
                  <c:v>355.23755224999996</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8568.9995954850019</c:v>
                </c:pt>
                <c:pt idx="1">
                  <c:v>3201.4786680450002</c:v>
                </c:pt>
                <c:pt idx="2">
                  <c:v>115.425600015</c:v>
                </c:pt>
                <c:pt idx="3">
                  <c:v>65.598765225000008</c:v>
                </c:pt>
                <c:pt idx="4">
                  <c:v>0</c:v>
                </c:pt>
                <c:pt idx="5">
                  <c:v>20.235010845000001</c:v>
                </c:pt>
                <c:pt idx="6">
                  <c:v>1.7503584000000003</c:v>
                </c:pt>
                <c:pt idx="7">
                  <c:v>1.3940739974999998</c:v>
                </c:pt>
                <c:pt idx="8">
                  <c:v>42.771222889999997</c:v>
                </c:pt>
                <c:pt idx="9">
                  <c:v>20.527350567499997</c:v>
                </c:pt>
                <c:pt idx="10">
                  <c:v>12.789943279999999</c:v>
                </c:pt>
                <c:pt idx="11">
                  <c:v>168.01405985</c:v>
                </c:pt>
                <c:pt idx="12">
                  <c:v>271.67789598500002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345.17591021750007</c:v>
                </c:pt>
                <c:pt idx="1">
                  <c:v>271.67789598500002</c:v>
                </c:pt>
                <c:pt idx="2">
                  <c:v>168.01405985</c:v>
                </c:pt>
                <c:pt idx="3">
                  <c:v>20.527350567499997</c:v>
                </c:pt>
                <c:pt idx="4">
                  <c:v>12.789943279999999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471.03825487000006</c:v>
                </c:pt>
                <c:pt idx="1">
                  <c:v>355.23755224999996</c:v>
                </c:pt>
                <c:pt idx="2">
                  <c:v>173.92783748999994</c:v>
                </c:pt>
                <c:pt idx="3">
                  <c:v>30.590131572500006</c:v>
                </c:pt>
                <c:pt idx="4">
                  <c:v>17.826914409999997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689.72900171249989</c:v>
                </c:pt>
                <c:pt idx="1">
                  <c:v>367.32796796000002</c:v>
                </c:pt>
                <c:pt idx="2">
                  <c:v>172.06236039499998</c:v>
                </c:pt>
                <c:pt idx="3">
                  <c:v>53.057950529999999</c:v>
                </c:pt>
                <c:pt idx="4">
                  <c:v>14.836384625000001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11,363%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3544.6571485549998</c:v>
                </c:pt>
                <c:pt idx="1">
                  <c:v>240.75035519750003</c:v>
                </c:pt>
                <c:pt idx="2">
                  <c:v>130.312314775</c:v>
                </c:pt>
                <c:pt idx="3">
                  <c:v>60.122201322499997</c:v>
                </c:pt>
                <c:pt idx="4">
                  <c:v>18.440101082499996</c:v>
                </c:pt>
                <c:pt idx="5">
                  <c:v>4.7712980750000007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TERMOSELVA</c:v>
                </c:pt>
                <c:pt idx="1">
                  <c:v>SAMAY I</c:v>
                </c:pt>
                <c:pt idx="2">
                  <c:v>CERRO VERDE</c:v>
                </c:pt>
                <c:pt idx="3">
                  <c:v>AGROAURORA</c:v>
                </c:pt>
                <c:pt idx="4">
                  <c:v>HYDRO PATAPO</c:v>
                </c:pt>
                <c:pt idx="5">
                  <c:v>IYEPSA</c:v>
                </c:pt>
                <c:pt idx="6">
                  <c:v>PLANTA  ETEN</c:v>
                </c:pt>
                <c:pt idx="7">
                  <c:v>ELECTRICA SANTA ROSA / ATRIA</c:v>
                </c:pt>
                <c:pt idx="8">
                  <c:v>SHOUGESA</c:v>
                </c:pt>
                <c:pt idx="9">
                  <c:v>MAJA ENERGIA</c:v>
                </c:pt>
                <c:pt idx="10">
                  <c:v>INVERSION DE ENERGÍA RENOVABLES</c:v>
                </c:pt>
                <c:pt idx="11">
                  <c:v>HIDROCAÑETE</c:v>
                </c:pt>
                <c:pt idx="12">
                  <c:v>ELECTRICA YANAPAMPA</c:v>
                </c:pt>
                <c:pt idx="13">
                  <c:v>GTS REPARTICION</c:v>
                </c:pt>
                <c:pt idx="14">
                  <c:v>EGECSAC</c:v>
                </c:pt>
                <c:pt idx="15">
                  <c:v>MOQUEGUA FV</c:v>
                </c:pt>
                <c:pt idx="16">
                  <c:v>GTS MAJES</c:v>
                </c:pt>
                <c:pt idx="17">
                  <c:v>TACNA SOLAR</c:v>
                </c:pt>
                <c:pt idx="18">
                  <c:v>PANAMERICANA SOLAR</c:v>
                </c:pt>
                <c:pt idx="19">
                  <c:v>PETRAMAS</c:v>
                </c:pt>
                <c:pt idx="20">
                  <c:v>SAN JACINTO</c:v>
                </c:pt>
                <c:pt idx="21">
                  <c:v>BIOENERGIA</c:v>
                </c:pt>
                <c:pt idx="22">
                  <c:v>AIPSA</c:v>
                </c:pt>
                <c:pt idx="23">
                  <c:v>ELECTRO ZAÑA</c:v>
                </c:pt>
                <c:pt idx="24">
                  <c:v>SDF ENERGIA</c:v>
                </c:pt>
                <c:pt idx="25">
                  <c:v>EGESUR</c:v>
                </c:pt>
                <c:pt idx="26">
                  <c:v>ANDEAN POWER</c:v>
                </c:pt>
                <c:pt idx="27">
                  <c:v>GENERACIÓN ANDINA</c:v>
                </c:pt>
                <c:pt idx="28">
                  <c:v>HUAURA POWER</c:v>
                </c:pt>
                <c:pt idx="29">
                  <c:v>RIO DOBLE</c:v>
                </c:pt>
                <c:pt idx="30">
                  <c:v>P.E. MARCONA</c:v>
                </c:pt>
                <c:pt idx="31">
                  <c:v>HIDROMARAÑON/ CELEPSA RENOVABLES</c:v>
                </c:pt>
                <c:pt idx="32">
                  <c:v>AGUA AZUL</c:v>
                </c:pt>
                <c:pt idx="33">
                  <c:v>HIDROELECTRICA HUANCHOR</c:v>
                </c:pt>
                <c:pt idx="34">
                  <c:v>RIO BAÑOS</c:v>
                </c:pt>
                <c:pt idx="35">
                  <c:v>SANTA ANA</c:v>
                </c:pt>
                <c:pt idx="36">
                  <c:v>SINERSA</c:v>
                </c:pt>
                <c:pt idx="37">
                  <c:v>ENEL GENERACION PIURA</c:v>
                </c:pt>
                <c:pt idx="38">
                  <c:v>ENERGÍA EÓLICA</c:v>
                </c:pt>
                <c:pt idx="39">
                  <c:v>EMGE HUANZA</c:v>
                </c:pt>
                <c:pt idx="40">
                  <c:v>P.E. TRES HERMANAS</c:v>
                </c:pt>
                <c:pt idx="41">
                  <c:v>GEPSA</c:v>
                </c:pt>
                <c:pt idx="42">
                  <c:v>EMGE JUNÍN / SANTA CRUZ</c:v>
                </c:pt>
                <c:pt idx="43">
                  <c:v>INLAND</c:v>
                </c:pt>
                <c:pt idx="44">
                  <c:v>SAN GABAN</c:v>
                </c:pt>
                <c:pt idx="45">
                  <c:v>ENEL GREEN POWER PERU</c:v>
                </c:pt>
                <c:pt idx="46">
                  <c:v>TERMOCHILCA</c:v>
                </c:pt>
                <c:pt idx="47">
                  <c:v>EGEMSA</c:v>
                </c:pt>
                <c:pt idx="48">
                  <c:v>FENIX POWER</c:v>
                </c:pt>
                <c:pt idx="49">
                  <c:v>CHINANGO</c:v>
                </c:pt>
                <c:pt idx="50">
                  <c:v>EGASA</c:v>
                </c:pt>
                <c:pt idx="51">
                  <c:v>CELEPSA</c:v>
                </c:pt>
                <c:pt idx="52">
                  <c:v>ORAZUL ENERGY PERÚ</c:v>
                </c:pt>
                <c:pt idx="53">
                  <c:v>EMGE HUALLAGA</c:v>
                </c:pt>
                <c:pt idx="54">
                  <c:v>STATKRAFT</c:v>
                </c:pt>
                <c:pt idx="55">
                  <c:v>ENGIE</c:v>
                </c:pt>
                <c:pt idx="56">
                  <c:v>KALLPA</c:v>
                </c:pt>
                <c:pt idx="57">
                  <c:v>ENEL GENERACION PERU</c:v>
                </c:pt>
                <c:pt idx="58">
                  <c:v>ELECTROPERU</c:v>
                </c:pt>
              </c:strCache>
            </c:strRef>
          </c:cat>
          <c:val>
            <c:numRef>
              <c:f>'7. Generacion empresa'!$M$5:$M$63</c:f>
              <c:numCache>
                <c:formatCode>General</c:formatCode>
                <c:ptCount val="59"/>
                <c:pt idx="0">
                  <c:v>0</c:v>
                </c:pt>
                <c:pt idx="1">
                  <c:v>0</c:v>
                </c:pt>
                <c:pt idx="2">
                  <c:v>0</c:v>
                </c:pt>
                <c:pt idx="3">
                  <c:v>0</c:v>
                </c:pt>
                <c:pt idx="4">
                  <c:v>0.19839899999999999</c:v>
                </c:pt>
                <c:pt idx="5">
                  <c:v>0.38917514249999996</c:v>
                </c:pt>
                <c:pt idx="6">
                  <c:v>0.58010283249999994</c:v>
                </c:pt>
                <c:pt idx="7">
                  <c:v>0.61246642750000002</c:v>
                </c:pt>
                <c:pt idx="8">
                  <c:v>0.83815456749999995</c:v>
                </c:pt>
                <c:pt idx="9">
                  <c:v>1.9293764824999999</c:v>
                </c:pt>
                <c:pt idx="10">
                  <c:v>2.5413475275000001</c:v>
                </c:pt>
                <c:pt idx="11">
                  <c:v>2.5821000000000001</c:v>
                </c:pt>
                <c:pt idx="12">
                  <c:v>2.6403305499999998</c:v>
                </c:pt>
                <c:pt idx="13">
                  <c:v>3.4606206225</c:v>
                </c:pt>
                <c:pt idx="14">
                  <c:v>3.5931083225</c:v>
                </c:pt>
                <c:pt idx="15">
                  <c:v>3.6113244249999998</c:v>
                </c:pt>
                <c:pt idx="16">
                  <c:v>3.7421603000000001</c:v>
                </c:pt>
                <c:pt idx="17">
                  <c:v>3.9183697999999998</c:v>
                </c:pt>
                <c:pt idx="18">
                  <c:v>4.0166999925000004</c:v>
                </c:pt>
                <c:pt idx="19">
                  <c:v>4.7712980749999998</c:v>
                </c:pt>
                <c:pt idx="20">
                  <c:v>5.7953986249999998</c:v>
                </c:pt>
                <c:pt idx="21">
                  <c:v>6.0877739999999996</c:v>
                </c:pt>
                <c:pt idx="22">
                  <c:v>6.5569284574999998</c:v>
                </c:pt>
                <c:pt idx="23">
                  <c:v>7.2299754350000001</c:v>
                </c:pt>
                <c:pt idx="24">
                  <c:v>10.081287702499999</c:v>
                </c:pt>
                <c:pt idx="25">
                  <c:v>10.436583175000001</c:v>
                </c:pt>
                <c:pt idx="26">
                  <c:v>11.0699511325</c:v>
                </c:pt>
                <c:pt idx="27">
                  <c:v>11.37651507</c:v>
                </c:pt>
                <c:pt idx="28">
                  <c:v>11.4904932525</c:v>
                </c:pt>
                <c:pt idx="29">
                  <c:v>12.3340041675</c:v>
                </c:pt>
                <c:pt idx="30">
                  <c:v>13.8185211275</c:v>
                </c:pt>
                <c:pt idx="31">
                  <c:v>14.033587905000001</c:v>
                </c:pt>
                <c:pt idx="32">
                  <c:v>14.2234413475</c:v>
                </c:pt>
                <c:pt idx="33">
                  <c:v>14.4516282425</c:v>
                </c:pt>
                <c:pt idx="34">
                  <c:v>14.7821646225</c:v>
                </c:pt>
                <c:pt idx="35">
                  <c:v>14.935345385</c:v>
                </c:pt>
                <c:pt idx="36">
                  <c:v>21.279247067500002</c:v>
                </c:pt>
                <c:pt idx="37">
                  <c:v>28.289728122500001</c:v>
                </c:pt>
                <c:pt idx="38">
                  <c:v>33.458428797499998</c:v>
                </c:pt>
                <c:pt idx="39">
                  <c:v>33.63841386</c:v>
                </c:pt>
                <c:pt idx="40">
                  <c:v>40.093562445000003</c:v>
                </c:pt>
                <c:pt idx="41">
                  <c:v>46.415177182500003</c:v>
                </c:pt>
                <c:pt idx="42">
                  <c:v>50.153221312500001</c:v>
                </c:pt>
                <c:pt idx="43">
                  <c:v>51.470511979999998</c:v>
                </c:pt>
                <c:pt idx="44">
                  <c:v>66.232919159999994</c:v>
                </c:pt>
                <c:pt idx="45">
                  <c:v>76.706314362499995</c:v>
                </c:pt>
                <c:pt idx="46">
                  <c:v>83.499016690000005</c:v>
                </c:pt>
                <c:pt idx="47">
                  <c:v>92.068668492499995</c:v>
                </c:pt>
                <c:pt idx="48">
                  <c:v>106.9974427825</c:v>
                </c:pt>
                <c:pt idx="49">
                  <c:v>121.23679420000001</c:v>
                </c:pt>
                <c:pt idx="50">
                  <c:v>126.77993473749996</c:v>
                </c:pt>
                <c:pt idx="51">
                  <c:v>148.91854442749997</c:v>
                </c:pt>
                <c:pt idx="52">
                  <c:v>257.81253351750001</c:v>
                </c:pt>
                <c:pt idx="53">
                  <c:v>258.05347482249999</c:v>
                </c:pt>
                <c:pt idx="54">
                  <c:v>261.68172815000003</c:v>
                </c:pt>
                <c:pt idx="55">
                  <c:v>390.99026932750002</c:v>
                </c:pt>
                <c:pt idx="56">
                  <c:v>405.7590323325</c:v>
                </c:pt>
                <c:pt idx="57">
                  <c:v>501.10765055000007</c:v>
                </c:pt>
                <c:pt idx="58">
                  <c:v>578.28590052000015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TERMOSELVA</c:v>
                </c:pt>
                <c:pt idx="1">
                  <c:v>SAMAY I</c:v>
                </c:pt>
                <c:pt idx="2">
                  <c:v>CERRO VERDE</c:v>
                </c:pt>
                <c:pt idx="3">
                  <c:v>AGROAURORA</c:v>
                </c:pt>
                <c:pt idx="4">
                  <c:v>HYDRO PATAPO</c:v>
                </c:pt>
                <c:pt idx="5">
                  <c:v>IYEPSA</c:v>
                </c:pt>
                <c:pt idx="6">
                  <c:v>PLANTA  ETEN</c:v>
                </c:pt>
                <c:pt idx="7">
                  <c:v>ELECTRICA SANTA ROSA / ATRIA</c:v>
                </c:pt>
                <c:pt idx="8">
                  <c:v>SHOUGESA</c:v>
                </c:pt>
                <c:pt idx="9">
                  <c:v>MAJA ENERGIA</c:v>
                </c:pt>
                <c:pt idx="10">
                  <c:v>INVERSION DE ENERGÍA RENOVABLES</c:v>
                </c:pt>
                <c:pt idx="11">
                  <c:v>HIDROCAÑETE</c:v>
                </c:pt>
                <c:pt idx="12">
                  <c:v>ELECTRICA YANAPAMPA</c:v>
                </c:pt>
                <c:pt idx="13">
                  <c:v>GTS REPARTICION</c:v>
                </c:pt>
                <c:pt idx="14">
                  <c:v>EGECSAC</c:v>
                </c:pt>
                <c:pt idx="15">
                  <c:v>MOQUEGUA FV</c:v>
                </c:pt>
                <c:pt idx="16">
                  <c:v>GTS MAJES</c:v>
                </c:pt>
                <c:pt idx="17">
                  <c:v>TACNA SOLAR</c:v>
                </c:pt>
                <c:pt idx="18">
                  <c:v>PANAMERICANA SOLAR</c:v>
                </c:pt>
                <c:pt idx="19">
                  <c:v>PETRAMAS</c:v>
                </c:pt>
                <c:pt idx="20">
                  <c:v>SAN JACINTO</c:v>
                </c:pt>
                <c:pt idx="21">
                  <c:v>BIOENERGIA</c:v>
                </c:pt>
                <c:pt idx="22">
                  <c:v>AIPSA</c:v>
                </c:pt>
                <c:pt idx="23">
                  <c:v>ELECTRO ZAÑA</c:v>
                </c:pt>
                <c:pt idx="24">
                  <c:v>SDF ENERGIA</c:v>
                </c:pt>
                <c:pt idx="25">
                  <c:v>EGESUR</c:v>
                </c:pt>
                <c:pt idx="26">
                  <c:v>ANDEAN POWER</c:v>
                </c:pt>
                <c:pt idx="27">
                  <c:v>GENERACIÓN ANDINA</c:v>
                </c:pt>
                <c:pt idx="28">
                  <c:v>HUAURA POWER</c:v>
                </c:pt>
                <c:pt idx="29">
                  <c:v>RIO DOBLE</c:v>
                </c:pt>
                <c:pt idx="30">
                  <c:v>P.E. MARCONA</c:v>
                </c:pt>
                <c:pt idx="31">
                  <c:v>HIDROMARAÑON/ CELEPSA RENOVABLES</c:v>
                </c:pt>
                <c:pt idx="32">
                  <c:v>AGUA AZUL</c:v>
                </c:pt>
                <c:pt idx="33">
                  <c:v>HIDROELECTRICA HUANCHOR</c:v>
                </c:pt>
                <c:pt idx="34">
                  <c:v>RIO BAÑOS</c:v>
                </c:pt>
                <c:pt idx="35">
                  <c:v>SANTA ANA</c:v>
                </c:pt>
                <c:pt idx="36">
                  <c:v>SINERSA</c:v>
                </c:pt>
                <c:pt idx="37">
                  <c:v>ENEL GENERACION PIURA</c:v>
                </c:pt>
                <c:pt idx="38">
                  <c:v>ENERGÍA EÓLICA</c:v>
                </c:pt>
                <c:pt idx="39">
                  <c:v>EMGE HUANZA</c:v>
                </c:pt>
                <c:pt idx="40">
                  <c:v>P.E. TRES HERMANAS</c:v>
                </c:pt>
                <c:pt idx="41">
                  <c:v>GEPSA</c:v>
                </c:pt>
                <c:pt idx="42">
                  <c:v>EMGE JUNÍN / SANTA CRUZ</c:v>
                </c:pt>
                <c:pt idx="43">
                  <c:v>INLAND</c:v>
                </c:pt>
                <c:pt idx="44">
                  <c:v>SAN GABAN</c:v>
                </c:pt>
                <c:pt idx="45">
                  <c:v>ENEL GREEN POWER PERU</c:v>
                </c:pt>
                <c:pt idx="46">
                  <c:v>TERMOCHILCA</c:v>
                </c:pt>
                <c:pt idx="47">
                  <c:v>EGEMSA</c:v>
                </c:pt>
                <c:pt idx="48">
                  <c:v>FENIX POWER</c:v>
                </c:pt>
                <c:pt idx="49">
                  <c:v>CHINANGO</c:v>
                </c:pt>
                <c:pt idx="50">
                  <c:v>EGASA</c:v>
                </c:pt>
                <c:pt idx="51">
                  <c:v>CELEPSA</c:v>
                </c:pt>
                <c:pt idx="52">
                  <c:v>ORAZUL ENERGY PERÚ</c:v>
                </c:pt>
                <c:pt idx="53">
                  <c:v>EMGE HUALLAGA</c:v>
                </c:pt>
                <c:pt idx="54">
                  <c:v>STATKRAFT</c:v>
                </c:pt>
                <c:pt idx="55">
                  <c:v>ENGIE</c:v>
                </c:pt>
                <c:pt idx="56">
                  <c:v>KALLPA</c:v>
                </c:pt>
                <c:pt idx="57">
                  <c:v>ENEL GENERACION PERU</c:v>
                </c:pt>
                <c:pt idx="58">
                  <c:v>ELECTROPERU</c:v>
                </c:pt>
              </c:strCache>
            </c:strRef>
          </c:cat>
          <c:val>
            <c:numRef>
              <c:f>'7. Generacion empresa'!$N$5:$N$63</c:f>
              <c:numCache>
                <c:formatCode>General</c:formatCode>
                <c:ptCount val="59"/>
                <c:pt idx="0">
                  <c:v>7.9362857324999982</c:v>
                </c:pt>
                <c:pt idx="1">
                  <c:v>0.39424732999999995</c:v>
                </c:pt>
                <c:pt idx="2">
                  <c:v>0</c:v>
                </c:pt>
                <c:pt idx="3">
                  <c:v>4.1045960774999983</c:v>
                </c:pt>
                <c:pt idx="4">
                  <c:v>0.51303150000000064</c:v>
                </c:pt>
                <c:pt idx="5">
                  <c:v>0.29388901250000005</c:v>
                </c:pt>
                <c:pt idx="6">
                  <c:v>0</c:v>
                </c:pt>
                <c:pt idx="7">
                  <c:v>4.5796630000000053E-2</c:v>
                </c:pt>
                <c:pt idx="8">
                  <c:v>18.409838889999989</c:v>
                </c:pt>
                <c:pt idx="9">
                  <c:v>1.3730487500000019</c:v>
                </c:pt>
                <c:pt idx="11">
                  <c:v>2.5378000000001144</c:v>
                </c:pt>
                <c:pt idx="12">
                  <c:v>2.2362401824999947</c:v>
                </c:pt>
                <c:pt idx="13">
                  <c:v>3.9595181199999985</c:v>
                </c:pt>
                <c:pt idx="14">
                  <c:v>2.9748708674999977</c:v>
                </c:pt>
                <c:pt idx="15">
                  <c:v>4.3965500774999953</c:v>
                </c:pt>
                <c:pt idx="16">
                  <c:v>4.0272974424999983</c:v>
                </c:pt>
                <c:pt idx="17">
                  <c:v>4.7288161700000053</c:v>
                </c:pt>
                <c:pt idx="18">
                  <c:v>4.7602555000000022</c:v>
                </c:pt>
                <c:pt idx="19">
                  <c:v>6.3870999224999991</c:v>
                </c:pt>
                <c:pt idx="20">
                  <c:v>3.2791699999999988</c:v>
                </c:pt>
                <c:pt idx="22">
                  <c:v>7.6929367300000076</c:v>
                </c:pt>
                <c:pt idx="23">
                  <c:v>10.372847454999985</c:v>
                </c:pt>
                <c:pt idx="24">
                  <c:v>20.230995025000045</c:v>
                </c:pt>
                <c:pt idx="25">
                  <c:v>15.595717727499997</c:v>
                </c:pt>
                <c:pt idx="26">
                  <c:v>14.325506229999972</c:v>
                </c:pt>
                <c:pt idx="28">
                  <c:v>12.288164489999993</c:v>
                </c:pt>
                <c:pt idx="29">
                  <c:v>13.889116092499993</c:v>
                </c:pt>
                <c:pt idx="30">
                  <c:v>16.876416860000006</c:v>
                </c:pt>
                <c:pt idx="31">
                  <c:v>13.433331355000018</c:v>
                </c:pt>
                <c:pt idx="32">
                  <c:v>13.214694925000002</c:v>
                </c:pt>
                <c:pt idx="33">
                  <c:v>14.392465999999967</c:v>
                </c:pt>
                <c:pt idx="35">
                  <c:v>12.887593042499995</c:v>
                </c:pt>
                <c:pt idx="36">
                  <c:v>4.7874892349999945</c:v>
                </c:pt>
                <c:pt idx="37">
                  <c:v>40.516591054999942</c:v>
                </c:pt>
                <c:pt idx="38">
                  <c:v>32.665406682499963</c:v>
                </c:pt>
                <c:pt idx="39">
                  <c:v>36.639661237499993</c:v>
                </c:pt>
                <c:pt idx="40">
                  <c:v>48.806111047500011</c:v>
                </c:pt>
                <c:pt idx="41">
                  <c:v>23.791657720000007</c:v>
                </c:pt>
                <c:pt idx="42">
                  <c:v>51.133396575000006</c:v>
                </c:pt>
                <c:pt idx="43">
                  <c:v>66.617895147500022</c:v>
                </c:pt>
                <c:pt idx="44">
                  <c:v>81.505072820000009</c:v>
                </c:pt>
                <c:pt idx="45">
                  <c:v>91.497038912499903</c:v>
                </c:pt>
                <c:pt idx="46">
                  <c:v>177.88556034249979</c:v>
                </c:pt>
                <c:pt idx="47">
                  <c:v>123.57826838499999</c:v>
                </c:pt>
                <c:pt idx="48">
                  <c:v>214.72006534750017</c:v>
                </c:pt>
                <c:pt idx="49">
                  <c:v>108.96512791249992</c:v>
                </c:pt>
                <c:pt idx="50">
                  <c:v>117.59070845749994</c:v>
                </c:pt>
                <c:pt idx="51">
                  <c:v>151.41145608499994</c:v>
                </c:pt>
                <c:pt idx="52">
                  <c:v>241.03782233249984</c:v>
                </c:pt>
                <c:pt idx="53">
                  <c:v>293.13882698750007</c:v>
                </c:pt>
                <c:pt idx="54">
                  <c:v>253.06915443750006</c:v>
                </c:pt>
                <c:pt idx="55">
                  <c:v>381.01805673000001</c:v>
                </c:pt>
                <c:pt idx="56">
                  <c:v>571.52723051000009</c:v>
                </c:pt>
                <c:pt idx="57">
                  <c:v>625.1504230325005</c:v>
                </c:pt>
                <c:pt idx="58">
                  <c:v>615.24603204000584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RUNATULLO III</c:v>
                </c:pt>
                <c:pt idx="2">
                  <c:v>C.H. CHANCAY</c:v>
                </c:pt>
                <c:pt idx="3">
                  <c:v>C.H. RUCUY</c:v>
                </c:pt>
                <c:pt idx="4">
                  <c:v>C.H. ÁNGEL I</c:v>
                </c:pt>
                <c:pt idx="5">
                  <c:v>C.H. POTRERO</c:v>
                </c:pt>
                <c:pt idx="6">
                  <c:v>C.H. ÁNGEL II</c:v>
                </c:pt>
                <c:pt idx="7">
                  <c:v>C.H. ÁNGEL III</c:v>
                </c:pt>
                <c:pt idx="8">
                  <c:v>C.H. RUNATULLO II</c:v>
                </c:pt>
                <c:pt idx="9">
                  <c:v>C.H. LAS PIZARRAS</c:v>
                </c:pt>
                <c:pt idx="10">
                  <c:v>C.H. YARUCAYA</c:v>
                </c:pt>
                <c:pt idx="11">
                  <c:v>C.H. 8 DE AGOSTO</c:v>
                </c:pt>
                <c:pt idx="12">
                  <c:v>C.H. CARHUAC</c:v>
                </c:pt>
                <c:pt idx="13">
                  <c:v>C.H. CARHUAQUERO IV</c:v>
                </c:pt>
                <c:pt idx="14">
                  <c:v>C.H. ZAÑA</c:v>
                </c:pt>
                <c:pt idx="15">
                  <c:v>C.H. HUASAHUASI II</c:v>
                </c:pt>
                <c:pt idx="16">
                  <c:v>C.H. HUASAHUASI I</c:v>
                </c:pt>
                <c:pt idx="17">
                  <c:v>C.H. POECHOS II</c:v>
                </c:pt>
                <c:pt idx="18">
                  <c:v>C.H. SANTA CRUZ II</c:v>
                </c:pt>
                <c:pt idx="19">
                  <c:v>C.H. LA JOYA</c:v>
                </c:pt>
                <c:pt idx="20">
                  <c:v>C.H. CAÑA BRAVA</c:v>
                </c:pt>
                <c:pt idx="21">
                  <c:v>C.H. SANTA CRUZ I</c:v>
                </c:pt>
                <c:pt idx="22">
                  <c:v>C.H. CANCHAYLLO</c:v>
                </c:pt>
                <c:pt idx="23">
                  <c:v>C.H. YANAPAMPA</c:v>
                </c:pt>
                <c:pt idx="24">
                  <c:v>C.H. IMPERIAL</c:v>
                </c:pt>
                <c:pt idx="25">
                  <c:v>C.H. RONCADOR</c:v>
                </c:pt>
                <c:pt idx="26">
                  <c:v>C.H. PURMACANA</c:v>
                </c:pt>
                <c:pt idx="27">
                  <c:v>C.H. HER 1</c:v>
                </c:pt>
                <c:pt idx="28">
                  <c:v>C.H. EL CARMEN</c:v>
                </c:pt>
              </c:strCache>
            </c:strRef>
          </c:cat>
          <c:val>
            <c:numRef>
              <c:f>'6. FP RER'!$O$6:$O$34</c:f>
              <c:numCache>
                <c:formatCode>0.00</c:formatCode>
                <c:ptCount val="29"/>
                <c:pt idx="0">
                  <c:v>14.935345385</c:v>
                </c:pt>
                <c:pt idx="1">
                  <c:v>14.848510195000001</c:v>
                </c:pt>
                <c:pt idx="2">
                  <c:v>14.782588337500002</c:v>
                </c:pt>
                <c:pt idx="3">
                  <c:v>14.7821646225</c:v>
                </c:pt>
                <c:pt idx="4">
                  <c:v>14.499096502499999</c:v>
                </c:pt>
                <c:pt idx="5">
                  <c:v>14.2234413475</c:v>
                </c:pt>
                <c:pt idx="6">
                  <c:v>14.102105352500001</c:v>
                </c:pt>
                <c:pt idx="7">
                  <c:v>13.6711418275</c:v>
                </c:pt>
                <c:pt idx="8">
                  <c:v>13.2150296075</c:v>
                </c:pt>
                <c:pt idx="9">
                  <c:v>12.3340041675</c:v>
                </c:pt>
                <c:pt idx="10">
                  <c:v>11.4904932525</c:v>
                </c:pt>
                <c:pt idx="11">
                  <c:v>11.37651507</c:v>
                </c:pt>
                <c:pt idx="12">
                  <c:v>11.0699511325</c:v>
                </c:pt>
                <c:pt idx="13">
                  <c:v>7.3027550149999998</c:v>
                </c:pt>
                <c:pt idx="14">
                  <c:v>7.2299754350000001</c:v>
                </c:pt>
                <c:pt idx="15">
                  <c:v>7.1539316175000005</c:v>
                </c:pt>
                <c:pt idx="16">
                  <c:v>6.9550761925</c:v>
                </c:pt>
                <c:pt idx="17">
                  <c:v>6.49665873</c:v>
                </c:pt>
                <c:pt idx="18">
                  <c:v>4.1518005224999994</c:v>
                </c:pt>
                <c:pt idx="19">
                  <c:v>4.1428335000000001</c:v>
                </c:pt>
                <c:pt idx="20">
                  <c:v>3.8712544475000001</c:v>
                </c:pt>
                <c:pt idx="21">
                  <c:v>3.8288731775000002</c:v>
                </c:pt>
                <c:pt idx="22">
                  <c:v>3.5931083225</c:v>
                </c:pt>
                <c:pt idx="23">
                  <c:v>2.6403305499999998</c:v>
                </c:pt>
                <c:pt idx="24">
                  <c:v>2.5821000000000001</c:v>
                </c:pt>
                <c:pt idx="25">
                  <c:v>1.9293764824999999</c:v>
                </c:pt>
                <c:pt idx="26">
                  <c:v>0.61246642750000002</c:v>
                </c:pt>
                <c:pt idx="27">
                  <c:v>0.38808044999999997</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RUNATULLO III</c:v>
                </c:pt>
                <c:pt idx="2">
                  <c:v>C.H. CHANCAY</c:v>
                </c:pt>
                <c:pt idx="3">
                  <c:v>C.H. RUCUY</c:v>
                </c:pt>
                <c:pt idx="4">
                  <c:v>C.H. ÁNGEL I</c:v>
                </c:pt>
                <c:pt idx="5">
                  <c:v>C.H. POTRERO</c:v>
                </c:pt>
                <c:pt idx="6">
                  <c:v>C.H. ÁNGEL II</c:v>
                </c:pt>
                <c:pt idx="7">
                  <c:v>C.H. ÁNGEL III</c:v>
                </c:pt>
                <c:pt idx="8">
                  <c:v>C.H. RUNATULLO II</c:v>
                </c:pt>
                <c:pt idx="9">
                  <c:v>C.H. LAS PIZARRAS</c:v>
                </c:pt>
                <c:pt idx="10">
                  <c:v>C.H. YARUCAYA</c:v>
                </c:pt>
                <c:pt idx="11">
                  <c:v>C.H. 8 DE AGOSTO</c:v>
                </c:pt>
                <c:pt idx="12">
                  <c:v>C.H. CARHUAC</c:v>
                </c:pt>
                <c:pt idx="13">
                  <c:v>C.H. CARHUAQUERO IV</c:v>
                </c:pt>
                <c:pt idx="14">
                  <c:v>C.H. ZAÑA</c:v>
                </c:pt>
                <c:pt idx="15">
                  <c:v>C.H. HUASAHUASI II</c:v>
                </c:pt>
                <c:pt idx="16">
                  <c:v>C.H. HUASAHUASI I</c:v>
                </c:pt>
                <c:pt idx="17">
                  <c:v>C.H. POECHOS II</c:v>
                </c:pt>
                <c:pt idx="18">
                  <c:v>C.H. SANTA CRUZ II</c:v>
                </c:pt>
                <c:pt idx="19">
                  <c:v>C.H. LA JOYA</c:v>
                </c:pt>
                <c:pt idx="20">
                  <c:v>C.H. CAÑA BRAVA</c:v>
                </c:pt>
                <c:pt idx="21">
                  <c:v>C.H. SANTA CRUZ I</c:v>
                </c:pt>
                <c:pt idx="22">
                  <c:v>C.H. CANCHAYLLO</c:v>
                </c:pt>
                <c:pt idx="23">
                  <c:v>C.H. YANAPAMPA</c:v>
                </c:pt>
                <c:pt idx="24">
                  <c:v>C.H. IMPERIAL</c:v>
                </c:pt>
                <c:pt idx="25">
                  <c:v>C.H. RONCADOR</c:v>
                </c:pt>
                <c:pt idx="26">
                  <c:v>C.H. PURMACANA</c:v>
                </c:pt>
                <c:pt idx="27">
                  <c:v>C.H. HER 1</c:v>
                </c:pt>
                <c:pt idx="28">
                  <c:v>C.H. EL CARMEN</c:v>
                </c:pt>
              </c:strCache>
            </c:strRef>
          </c:cat>
          <c:val>
            <c:numRef>
              <c:f>'6. FP RER'!$P$6:$P$34</c:f>
              <c:numCache>
                <c:formatCode>0.00</c:formatCode>
                <c:ptCount val="29"/>
                <c:pt idx="0">
                  <c:v>1</c:v>
                </c:pt>
                <c:pt idx="1">
                  <c:v>1</c:v>
                </c:pt>
                <c:pt idx="2">
                  <c:v>1</c:v>
                </c:pt>
                <c:pt idx="3">
                  <c:v>1</c:v>
                </c:pt>
                <c:pt idx="4">
                  <c:v>1</c:v>
                </c:pt>
                <c:pt idx="5">
                  <c:v>1</c:v>
                </c:pt>
                <c:pt idx="6">
                  <c:v>1</c:v>
                </c:pt>
                <c:pt idx="7">
                  <c:v>0.97432763662966382</c:v>
                </c:pt>
                <c:pt idx="8">
                  <c:v>0.95092460084282759</c:v>
                </c:pt>
                <c:pt idx="9">
                  <c:v>0.9230068676581914</c:v>
                </c:pt>
                <c:pt idx="10">
                  <c:v>1</c:v>
                </c:pt>
                <c:pt idx="11">
                  <c:v>0.86029303312159711</c:v>
                </c:pt>
                <c:pt idx="12">
                  <c:v>0.79525511009339078</c:v>
                </c:pt>
                <c:pt idx="13">
                  <c:v>1</c:v>
                </c:pt>
                <c:pt idx="14">
                  <c:v>0.78696179848049475</c:v>
                </c:pt>
                <c:pt idx="15">
                  <c:v>1</c:v>
                </c:pt>
                <c:pt idx="16">
                  <c:v>1</c:v>
                </c:pt>
                <c:pt idx="17">
                  <c:v>0.97577668664883532</c:v>
                </c:pt>
                <c:pt idx="18">
                  <c:v>0.80350628175860206</c:v>
                </c:pt>
                <c:pt idx="19">
                  <c:v>0.76854060461699425</c:v>
                </c:pt>
                <c:pt idx="20">
                  <c:v>0.98097834121409322</c:v>
                </c:pt>
                <c:pt idx="21">
                  <c:v>0.79063733333911501</c:v>
                </c:pt>
                <c:pt idx="22">
                  <c:v>0.99489534739158658</c:v>
                </c:pt>
                <c:pt idx="23">
                  <c:v>0.96868614717718937</c:v>
                </c:pt>
                <c:pt idx="24">
                  <c:v>0.93590156233689414</c:v>
                </c:pt>
                <c:pt idx="25">
                  <c:v>0.7965783469166996</c:v>
                </c:pt>
                <c:pt idx="26">
                  <c:v>0.51340752583524463</c:v>
                </c:pt>
                <c:pt idx="27">
                  <c:v>0.7965526477832513</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abril</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Marzo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INFSGI-MES-03-2020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(4,73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(4,65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(4,83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(4,69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(4,56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(4,66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(4,01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(4,57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(4,52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(4,27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(4,81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(4,36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(4,55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(4,56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(4,66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19</xdr:row>
      <xdr:rowOff>124238</xdr:rowOff>
    </xdr:from>
    <xdr:to>
      <xdr:col>7</xdr:col>
      <xdr:colOff>430696</xdr:colOff>
      <xdr:row>57</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269328</xdr:colOff>
      <xdr:row>15</xdr:row>
      <xdr:rowOff>78827</xdr:rowOff>
    </xdr:from>
    <xdr:to>
      <xdr:col>3</xdr:col>
      <xdr:colOff>249621</xdr:colOff>
      <xdr:row>29</xdr:row>
      <xdr:rowOff>117714</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15</xdr:row>
      <xdr:rowOff>54428</xdr:rowOff>
    </xdr:from>
    <xdr:to>
      <xdr:col>9</xdr:col>
      <xdr:colOff>527957</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0.04056</cdr:x>
      <cdr:y>0.07099</cdr:y>
    </cdr:from>
    <cdr:to>
      <cdr:x>0.24789</cdr:x>
      <cdr:y>0.19821</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150395" y="174676"/>
          <a:ext cx="768724" cy="3130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197476</xdr:colOff>
      <xdr:row>37</xdr:row>
      <xdr:rowOff>72315</xdr:rowOff>
    </xdr:from>
    <xdr:to>
      <xdr:col>10</xdr:col>
      <xdr:colOff>468572</xdr:colOff>
      <xdr:row>59</xdr:row>
      <xdr:rowOff>35683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55" zoomScaleNormal="70" zoomScaleSheetLayoutView="55" zoomScalePageLayoutView="115" workbookViewId="0">
      <selection activeCell="R40" sqref="R40"/>
    </sheetView>
  </sheetViews>
  <sheetFormatPr baseColWidth="10" defaultColWidth="9.33203125" defaultRowHeight="11.25"/>
  <cols>
    <col min="9" max="9" width="14.6640625" customWidth="1"/>
    <col min="11" max="11" width="13.83203125" customWidth="1"/>
    <col min="12" max="12" width="20.5" customWidth="1"/>
  </cols>
  <sheetData>
    <row r="11" spans="9:9" ht="15.75">
      <c r="I11" s="474"/>
    </row>
    <row r="12" spans="9:9" ht="15.75">
      <c r="I12" s="474"/>
    </row>
    <row r="13" spans="9:9" ht="15.75">
      <c r="I13" s="474"/>
    </row>
    <row r="14" spans="9:9" ht="15.75">
      <c r="I14" s="474"/>
    </row>
    <row r="15" spans="9:9" ht="15.75">
      <c r="I15" s="474"/>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zoomScalePageLayoutView="90" workbookViewId="0">
      <selection activeCell="R40" sqref="R40"/>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0" t="s">
        <v>246</v>
      </c>
      <c r="B2" s="930"/>
      <c r="C2" s="930"/>
      <c r="D2" s="930"/>
      <c r="E2" s="930"/>
      <c r="F2" s="930"/>
      <c r="G2" s="930"/>
      <c r="H2" s="930"/>
      <c r="I2" s="930"/>
      <c r="J2" s="930"/>
      <c r="K2" s="930"/>
    </row>
    <row r="3" spans="1:12" ht="11.25" customHeight="1">
      <c r="A3" s="17"/>
      <c r="B3" s="17"/>
      <c r="C3" s="17"/>
      <c r="D3" s="17"/>
      <c r="E3" s="17"/>
      <c r="F3" s="17"/>
      <c r="G3" s="17"/>
      <c r="H3" s="17"/>
      <c r="I3" s="17"/>
      <c r="J3" s="17"/>
      <c r="K3" s="17"/>
      <c r="L3" s="36"/>
    </row>
    <row r="4" spans="1:12" ht="11.25" customHeight="1">
      <c r="A4" s="931" t="s">
        <v>383</v>
      </c>
      <c r="B4" s="931"/>
      <c r="C4" s="931"/>
      <c r="D4" s="931"/>
      <c r="E4" s="931"/>
      <c r="F4" s="931"/>
      <c r="G4" s="931"/>
      <c r="H4" s="931"/>
      <c r="I4" s="931"/>
      <c r="J4" s="931"/>
      <c r="K4" s="931"/>
      <c r="L4" s="36"/>
    </row>
    <row r="5" spans="1:12" ht="11.25" customHeight="1">
      <c r="A5" s="17"/>
      <c r="B5" s="67"/>
      <c r="C5" s="68"/>
      <c r="D5" s="69"/>
      <c r="E5" s="69"/>
      <c r="F5" s="69"/>
      <c r="G5" s="69"/>
      <c r="H5" s="70"/>
      <c r="I5" s="66"/>
      <c r="J5" s="66"/>
      <c r="K5" s="71"/>
      <c r="L5" s="8"/>
    </row>
    <row r="6" spans="1:12" ht="12.75" customHeight="1">
      <c r="A6" s="937" t="s">
        <v>214</v>
      </c>
      <c r="B6" s="932" t="s">
        <v>249</v>
      </c>
      <c r="C6" s="933"/>
      <c r="D6" s="933"/>
      <c r="E6" s="933" t="s">
        <v>34</v>
      </c>
      <c r="F6" s="933"/>
      <c r="G6" s="934" t="s">
        <v>248</v>
      </c>
      <c r="H6" s="934"/>
      <c r="I6" s="934"/>
      <c r="J6" s="934"/>
      <c r="K6" s="934"/>
      <c r="L6" s="15"/>
    </row>
    <row r="7" spans="1:12" ht="12.75" customHeight="1">
      <c r="A7" s="937"/>
      <c r="B7" s="578">
        <v>43854.8125</v>
      </c>
      <c r="C7" s="578">
        <v>43886.8125</v>
      </c>
      <c r="D7" s="578">
        <v>43899.822916666664</v>
      </c>
      <c r="E7" s="578">
        <v>43549.791666666664</v>
      </c>
      <c r="F7" s="935" t="s">
        <v>122</v>
      </c>
      <c r="G7" s="852">
        <v>2020</v>
      </c>
      <c r="H7" s="852">
        <v>2019</v>
      </c>
      <c r="I7" s="935" t="s">
        <v>500</v>
      </c>
      <c r="J7" s="852">
        <v>2018</v>
      </c>
      <c r="K7" s="935" t="s">
        <v>427</v>
      </c>
      <c r="L7" s="13"/>
    </row>
    <row r="8" spans="1:12" ht="12.75" customHeight="1">
      <c r="A8" s="937"/>
      <c r="B8" s="579">
        <v>43854.8125</v>
      </c>
      <c r="C8" s="579">
        <v>43886.8125</v>
      </c>
      <c r="D8" s="579">
        <v>43899.822916666664</v>
      </c>
      <c r="E8" s="579">
        <v>43549.791666666664</v>
      </c>
      <c r="F8" s="936"/>
      <c r="G8" s="580">
        <v>43886.8125</v>
      </c>
      <c r="H8" s="580">
        <v>43549.791666666664</v>
      </c>
      <c r="I8" s="936"/>
      <c r="J8" s="580">
        <v>43176.791666666664</v>
      </c>
      <c r="K8" s="936"/>
      <c r="L8" s="14"/>
    </row>
    <row r="9" spans="1:12" ht="12.75" customHeight="1">
      <c r="A9" s="937"/>
      <c r="B9" s="581">
        <v>43854.8125</v>
      </c>
      <c r="C9" s="581">
        <v>43886.8125</v>
      </c>
      <c r="D9" s="581">
        <v>43899.822916666664</v>
      </c>
      <c r="E9" s="581">
        <v>43549.791666666664</v>
      </c>
      <c r="F9" s="936"/>
      <c r="G9" s="582">
        <v>43886.8125</v>
      </c>
      <c r="H9" s="582">
        <v>43549.791666666664</v>
      </c>
      <c r="I9" s="936"/>
      <c r="J9" s="582">
        <v>43176.791666666664</v>
      </c>
      <c r="K9" s="936"/>
      <c r="L9" s="14"/>
    </row>
    <row r="10" spans="1:12" ht="12.75" customHeight="1">
      <c r="A10" s="583" t="s">
        <v>36</v>
      </c>
      <c r="B10" s="584">
        <v>4614.2048799999993</v>
      </c>
      <c r="C10" s="585">
        <v>4604.1638600000006</v>
      </c>
      <c r="D10" s="586">
        <v>4739.9187600000005</v>
      </c>
      <c r="E10" s="584">
        <v>4580.6239199999991</v>
      </c>
      <c r="F10" s="587">
        <f>+IF(E10=0,"",D10/E10-1)</f>
        <v>3.4775795346237759E-2</v>
      </c>
      <c r="G10" s="584">
        <v>4604.1638600000006</v>
      </c>
      <c r="H10" s="585">
        <v>4580.6239199999991</v>
      </c>
      <c r="I10" s="587">
        <f>+IF(H10=0,"",G10/H10-1)</f>
        <v>5.1390248165148478E-3</v>
      </c>
      <c r="J10" s="584">
        <v>4472.9233000000013</v>
      </c>
      <c r="K10" s="587">
        <f t="shared" ref="K10:K18" si="0">+IF(J10=0,"",H10/J10-1)</f>
        <v>2.4078351622975003E-2</v>
      </c>
      <c r="L10" s="14"/>
    </row>
    <row r="11" spans="1:12" ht="12.75" customHeight="1">
      <c r="A11" s="588" t="s">
        <v>37</v>
      </c>
      <c r="B11" s="589">
        <v>2307.6013599999997</v>
      </c>
      <c r="C11" s="590">
        <v>2265.9101700000001</v>
      </c>
      <c r="D11" s="591">
        <v>2206.6872899999994</v>
      </c>
      <c r="E11" s="589">
        <v>2106.5043700000006</v>
      </c>
      <c r="F11" s="592">
        <f>+IF(E11=0,"",D11/E11-1)</f>
        <v>4.7558847456840914E-2</v>
      </c>
      <c r="G11" s="589">
        <v>2265.9101700000001</v>
      </c>
      <c r="H11" s="590">
        <v>2106.5043700000006</v>
      </c>
      <c r="I11" s="592">
        <f>+IF(H11=0,"",G11/H11-1)</f>
        <v>7.567313995175784E-2</v>
      </c>
      <c r="J11" s="589">
        <v>1961.6245200000005</v>
      </c>
      <c r="K11" s="592">
        <f>+IF(J11=0,"",H11/J11-1)</f>
        <v>7.3857075359151869E-2</v>
      </c>
      <c r="L11" s="14"/>
    </row>
    <row r="12" spans="1:12" ht="12.75" customHeight="1">
      <c r="A12" s="593" t="s">
        <v>38</v>
      </c>
      <c r="B12" s="594">
        <v>148.82196999999999</v>
      </c>
      <c r="C12" s="595">
        <v>255.22534999999999</v>
      </c>
      <c r="D12" s="596">
        <v>170.18270000000001</v>
      </c>
      <c r="E12" s="594">
        <v>303.54068999999998</v>
      </c>
      <c r="F12" s="597">
        <f>+IF(E12=0,"",D12/E12-1)</f>
        <v>-0.43934139439427378</v>
      </c>
      <c r="G12" s="594">
        <v>255.22534999999999</v>
      </c>
      <c r="H12" s="595">
        <v>303.54068999999998</v>
      </c>
      <c r="I12" s="597">
        <f>+IF(H12=0,"",G12/H12-1)</f>
        <v>-0.15917253136638776</v>
      </c>
      <c r="J12" s="594">
        <v>205.14547000000002</v>
      </c>
      <c r="K12" s="597">
        <f>+IF(J12=0,"",H12/J12-1)</f>
        <v>0.47963632830888225</v>
      </c>
      <c r="L12" s="13"/>
    </row>
    <row r="13" spans="1:12" ht="12.75" customHeight="1">
      <c r="A13" s="598" t="s">
        <v>30</v>
      </c>
      <c r="B13" s="599">
        <v>0</v>
      </c>
      <c r="C13" s="600">
        <v>0</v>
      </c>
      <c r="D13" s="601">
        <v>0</v>
      </c>
      <c r="E13" s="599">
        <v>0</v>
      </c>
      <c r="F13" s="602" t="str">
        <f>+IF(E13=0,"",D13/E13-1)</f>
        <v/>
      </c>
      <c r="G13" s="599">
        <v>0</v>
      </c>
      <c r="H13" s="600">
        <v>0</v>
      </c>
      <c r="I13" s="602" t="str">
        <f>+IF(H13=0,"",G13/H13-1)</f>
        <v/>
      </c>
      <c r="J13" s="599">
        <v>0</v>
      </c>
      <c r="K13" s="602" t="str">
        <f t="shared" si="0"/>
        <v/>
      </c>
      <c r="L13" s="14"/>
    </row>
    <row r="14" spans="1:12" ht="12.75" customHeight="1">
      <c r="A14" s="603" t="s">
        <v>42</v>
      </c>
      <c r="B14" s="574">
        <f>+SUM(B10:B13)</f>
        <v>7070.6282099999989</v>
      </c>
      <c r="C14" s="575">
        <f t="shared" ref="C14:J14" si="1">+SUM(C10:C13)</f>
        <v>7125.2993800000004</v>
      </c>
      <c r="D14" s="576">
        <f t="shared" si="1"/>
        <v>7116.7887500000006</v>
      </c>
      <c r="E14" s="574">
        <f t="shared" si="1"/>
        <v>6990.6689799999995</v>
      </c>
      <c r="F14" s="632">
        <f>+IF(E14=0,"",D14/E14-1)</f>
        <v>1.8041158916381805E-2</v>
      </c>
      <c r="G14" s="629">
        <f t="shared" si="1"/>
        <v>7125.2993800000004</v>
      </c>
      <c r="H14" s="575">
        <f t="shared" si="1"/>
        <v>6990.6689799999995</v>
      </c>
      <c r="I14" s="632">
        <f>+IF(H14=0,"",G14/H14-1)</f>
        <v>1.9258586035924896E-2</v>
      </c>
      <c r="J14" s="574">
        <f t="shared" si="1"/>
        <v>6639.693290000002</v>
      </c>
      <c r="K14" s="632">
        <f>+IF(J14=0,"",H14/J14-1)</f>
        <v>5.286022631927878E-2</v>
      </c>
      <c r="L14" s="14"/>
    </row>
    <row r="15" spans="1:12" ht="6.75" customHeight="1">
      <c r="A15" s="604"/>
      <c r="B15" s="604"/>
      <c r="C15" s="604"/>
      <c r="D15" s="604"/>
      <c r="E15" s="604"/>
      <c r="F15" s="605"/>
      <c r="G15" s="604"/>
      <c r="H15" s="604"/>
      <c r="I15" s="605"/>
      <c r="J15" s="604"/>
      <c r="K15" s="605"/>
      <c r="L15" s="14"/>
    </row>
    <row r="16" spans="1:12" ht="12.75" customHeight="1">
      <c r="A16" s="606" t="s">
        <v>39</v>
      </c>
      <c r="B16" s="607">
        <v>0</v>
      </c>
      <c r="C16" s="608">
        <v>0</v>
      </c>
      <c r="D16" s="609">
        <v>0</v>
      </c>
      <c r="E16" s="607">
        <v>0</v>
      </c>
      <c r="F16" s="609">
        <v>0</v>
      </c>
      <c r="G16" s="607">
        <v>0</v>
      </c>
      <c r="H16" s="608">
        <v>0</v>
      </c>
      <c r="I16" s="609">
        <v>0</v>
      </c>
      <c r="J16" s="607">
        <v>0</v>
      </c>
      <c r="K16" s="610" t="str">
        <f t="shared" si="0"/>
        <v/>
      </c>
      <c r="L16" s="15"/>
    </row>
    <row r="17" spans="1:12" ht="12.75" customHeight="1">
      <c r="A17" s="611" t="s">
        <v>40</v>
      </c>
      <c r="B17" s="612">
        <v>0</v>
      </c>
      <c r="C17" s="613">
        <v>0</v>
      </c>
      <c r="D17" s="614">
        <v>0</v>
      </c>
      <c r="E17" s="612">
        <v>0</v>
      </c>
      <c r="F17" s="614">
        <v>0</v>
      </c>
      <c r="G17" s="612">
        <v>0</v>
      </c>
      <c r="H17" s="613">
        <v>0</v>
      </c>
      <c r="I17" s="614">
        <v>0</v>
      </c>
      <c r="J17" s="612">
        <v>0</v>
      </c>
      <c r="K17" s="615" t="str">
        <f t="shared" si="0"/>
        <v/>
      </c>
      <c r="L17" s="15"/>
    </row>
    <row r="18" spans="1:12" ht="24" customHeight="1">
      <c r="A18" s="616" t="s">
        <v>41</v>
      </c>
      <c r="B18" s="617">
        <f t="shared" ref="B18:J18" si="2">+B17-B16</f>
        <v>0</v>
      </c>
      <c r="C18" s="618">
        <f t="shared" si="2"/>
        <v>0</v>
      </c>
      <c r="D18" s="619">
        <f t="shared" si="2"/>
        <v>0</v>
      </c>
      <c r="E18" s="617">
        <f t="shared" si="2"/>
        <v>0</v>
      </c>
      <c r="F18" s="619">
        <f t="shared" si="2"/>
        <v>0</v>
      </c>
      <c r="G18" s="617">
        <f t="shared" si="2"/>
        <v>0</v>
      </c>
      <c r="H18" s="618">
        <f t="shared" si="2"/>
        <v>0</v>
      </c>
      <c r="I18" s="619">
        <f t="shared" si="2"/>
        <v>0</v>
      </c>
      <c r="J18" s="617">
        <f t="shared" si="2"/>
        <v>0</v>
      </c>
      <c r="K18" s="620" t="str">
        <f t="shared" si="0"/>
        <v/>
      </c>
      <c r="L18" s="15"/>
    </row>
    <row r="19" spans="1:12" ht="6" customHeight="1">
      <c r="A19" s="621"/>
      <c r="B19" s="621"/>
      <c r="C19" s="621"/>
      <c r="D19" s="621"/>
      <c r="E19" s="621"/>
      <c r="F19" s="622"/>
      <c r="G19" s="621"/>
      <c r="H19" s="621"/>
      <c r="I19" s="622"/>
      <c r="J19" s="621"/>
      <c r="K19" s="622"/>
      <c r="L19" s="15"/>
    </row>
    <row r="20" spans="1:12" ht="24" customHeight="1">
      <c r="A20" s="623" t="s">
        <v>247</v>
      </c>
      <c r="B20" s="624">
        <f>+B14-B18</f>
        <v>7070.6282099999989</v>
      </c>
      <c r="C20" s="625">
        <f t="shared" ref="C20" si="3">+C14-C18</f>
        <v>7125.2993800000004</v>
      </c>
      <c r="D20" s="628">
        <f>+D14-D18</f>
        <v>7116.7887500000006</v>
      </c>
      <c r="E20" s="624">
        <f>+E14-E18</f>
        <v>6990.6689799999995</v>
      </c>
      <c r="F20" s="577">
        <f>+IF(E20=0,"",D20/E20-1)</f>
        <v>1.8041158916381805E-2</v>
      </c>
      <c r="G20" s="778">
        <f>+G14-G18</f>
        <v>7125.2993800000004</v>
      </c>
      <c r="H20" s="624">
        <f>+H14-H18</f>
        <v>6990.6689799999995</v>
      </c>
      <c r="I20" s="577">
        <f>+IF(H20=0,"",G20/H20-1)</f>
        <v>1.9258586035924896E-2</v>
      </c>
      <c r="J20" s="624">
        <f>+J14-J18</f>
        <v>6639.693290000002</v>
      </c>
      <c r="K20" s="577">
        <f>+IF(J20=0,"",H20/J20-1)</f>
        <v>5.286022631927878E-2</v>
      </c>
      <c r="L20" s="15"/>
    </row>
    <row r="21" spans="1:12" ht="11.25" customHeight="1">
      <c r="A21" s="269" t="s">
        <v>406</v>
      </c>
      <c r="B21" s="138"/>
      <c r="C21" s="138"/>
      <c r="D21" s="138"/>
      <c r="E21" s="138"/>
      <c r="F21" s="138"/>
      <c r="G21" s="138"/>
      <c r="H21" s="138"/>
      <c r="I21" s="138"/>
      <c r="J21" s="138"/>
      <c r="K21" s="138"/>
      <c r="L21" s="16"/>
    </row>
    <row r="22" spans="1:12" ht="17.25" customHeight="1">
      <c r="A22" s="928"/>
      <c r="B22" s="928"/>
      <c r="C22" s="928"/>
      <c r="D22" s="928"/>
      <c r="E22" s="928"/>
      <c r="F22" s="928"/>
      <c r="G22" s="928"/>
      <c r="H22" s="928"/>
      <c r="I22" s="928"/>
      <c r="J22" s="928"/>
      <c r="K22" s="928"/>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9" t="str">
        <f>"Gráfico N° 11: Comparación de la máxima potencia coincidente de potencia (MW) por tipo de generación en el SEIN en "&amp;'1. Resumen'!Q4</f>
        <v>Gráfico N° 11: Comparación de la máxima potencia coincidente de potencia (MW) por tipo de generación en el SEIN en marzo</v>
      </c>
      <c r="B58" s="929"/>
      <c r="C58" s="929"/>
      <c r="D58" s="929"/>
      <c r="E58" s="929"/>
      <c r="F58" s="929"/>
      <c r="G58" s="929"/>
      <c r="H58" s="929"/>
      <c r="I58" s="929"/>
      <c r="J58" s="929"/>
      <c r="K58" s="929"/>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115" zoomScaleNormal="100" zoomScaleSheetLayoutView="115" zoomScalePageLayoutView="115" workbookViewId="0">
      <selection activeCell="R40" sqref="R40"/>
    </sheetView>
  </sheetViews>
  <sheetFormatPr baseColWidth="10"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27" customWidth="1"/>
    <col min="13" max="14" width="9.33203125" style="637"/>
    <col min="15" max="15" width="9.33203125" style="715"/>
  </cols>
  <sheetData>
    <row r="1" spans="1:15" ht="25.5" customHeight="1">
      <c r="A1" s="940" t="s">
        <v>251</v>
      </c>
      <c r="B1" s="940"/>
      <c r="C1" s="940"/>
      <c r="D1" s="940"/>
      <c r="E1" s="940"/>
      <c r="F1" s="940"/>
      <c r="G1" s="940"/>
      <c r="H1" s="940"/>
      <c r="I1" s="940"/>
      <c r="J1" s="940"/>
    </row>
    <row r="2" spans="1:15" ht="7.5" customHeight="1">
      <c r="A2" s="74"/>
      <c r="B2" s="73"/>
      <c r="C2" s="73"/>
      <c r="D2" s="73"/>
      <c r="E2" s="73"/>
      <c r="F2" s="73"/>
      <c r="G2" s="73"/>
      <c r="H2" s="73"/>
      <c r="I2" s="73"/>
      <c r="J2" s="73"/>
      <c r="K2" s="36"/>
      <c r="L2" s="759"/>
    </row>
    <row r="3" spans="1:15" ht="11.25" customHeight="1">
      <c r="A3" s="941" t="s">
        <v>123</v>
      </c>
      <c r="B3" s="943" t="str">
        <f>+'1. Resumen'!Q4</f>
        <v>marzo</v>
      </c>
      <c r="C3" s="944"/>
      <c r="D3" s="945"/>
      <c r="E3" s="138"/>
      <c r="F3" s="138"/>
      <c r="G3" s="946" t="s">
        <v>502</v>
      </c>
      <c r="H3" s="946"/>
      <c r="I3" s="946"/>
      <c r="J3" s="138"/>
      <c r="K3" s="148"/>
      <c r="L3" s="759"/>
    </row>
    <row r="4" spans="1:15" ht="11.25" customHeight="1">
      <c r="A4" s="941"/>
      <c r="B4" s="486">
        <v>2020</v>
      </c>
      <c r="C4" s="487">
        <v>2019</v>
      </c>
      <c r="D4" s="945" t="s">
        <v>35</v>
      </c>
      <c r="E4" s="138"/>
      <c r="F4" s="138"/>
      <c r="G4" s="138"/>
      <c r="H4" s="138"/>
      <c r="I4" s="138"/>
      <c r="J4" s="138"/>
      <c r="K4" s="24"/>
      <c r="L4" s="760"/>
    </row>
    <row r="5" spans="1:15" ht="11.25" customHeight="1">
      <c r="A5" s="941"/>
      <c r="B5" s="488">
        <f>+'8. Max Potencia'!D8</f>
        <v>43899.822916666664</v>
      </c>
      <c r="C5" s="488">
        <f>+'8. Max Potencia'!E8</f>
        <v>43549.791666666664</v>
      </c>
      <c r="D5" s="945"/>
      <c r="E5" s="138"/>
      <c r="F5" s="138"/>
      <c r="G5" s="138"/>
      <c r="H5" s="138"/>
      <c r="I5" s="138"/>
      <c r="J5" s="138"/>
      <c r="K5" s="24"/>
      <c r="L5" s="761"/>
    </row>
    <row r="6" spans="1:15" ht="11.25" customHeight="1" thickBot="1">
      <c r="A6" s="942"/>
      <c r="B6" s="489">
        <f>+'8. Max Potencia'!D9</f>
        <v>43899.822916666664</v>
      </c>
      <c r="C6" s="489">
        <f>+'8. Max Potencia'!E9</f>
        <v>43549.791666666664</v>
      </c>
      <c r="D6" s="947"/>
      <c r="E6" s="138"/>
      <c r="F6" s="138"/>
      <c r="G6" s="138"/>
      <c r="H6" s="138"/>
      <c r="I6" s="138"/>
      <c r="J6" s="138"/>
      <c r="K6" s="25"/>
      <c r="L6" s="760" t="s">
        <v>250</v>
      </c>
      <c r="M6" s="427">
        <v>2020</v>
      </c>
      <c r="N6" s="427">
        <v>2019</v>
      </c>
    </row>
    <row r="7" spans="1:15" ht="9.75" customHeight="1">
      <c r="A7" s="374" t="s">
        <v>87</v>
      </c>
      <c r="B7" s="375">
        <v>993.13590999999997</v>
      </c>
      <c r="C7" s="375">
        <v>949.12310999999988</v>
      </c>
      <c r="D7" s="376">
        <f>IF(C7=0,"",B7/C7-1)</f>
        <v>4.6372066527808009E-2</v>
      </c>
      <c r="E7" s="138"/>
      <c r="F7" s="138"/>
      <c r="G7" s="138"/>
      <c r="H7" s="138"/>
      <c r="I7" s="138"/>
      <c r="J7" s="138"/>
      <c r="K7" s="23"/>
      <c r="L7" s="762" t="s">
        <v>622</v>
      </c>
      <c r="M7" s="775">
        <v>0</v>
      </c>
      <c r="N7" s="775"/>
      <c r="O7" s="716"/>
    </row>
    <row r="8" spans="1:15" ht="9.75" customHeight="1">
      <c r="A8" s="377" t="s">
        <v>88</v>
      </c>
      <c r="B8" s="378">
        <v>989.51923999999997</v>
      </c>
      <c r="C8" s="378">
        <v>987.43115999999998</v>
      </c>
      <c r="D8" s="379">
        <f t="shared" ref="D8:D63" si="0">IF(C8=0,"",B8/C8-1)</f>
        <v>2.1146588082150419E-3</v>
      </c>
      <c r="E8" s="138"/>
      <c r="F8" s="138"/>
      <c r="G8" s="138"/>
      <c r="H8" s="138"/>
      <c r="I8" s="138"/>
      <c r="J8" s="138"/>
      <c r="K8" s="26"/>
      <c r="L8" s="762" t="s">
        <v>478</v>
      </c>
      <c r="M8" s="775">
        <v>0</v>
      </c>
      <c r="N8" s="775"/>
      <c r="O8" s="716"/>
    </row>
    <row r="9" spans="1:15" ht="9.75" customHeight="1">
      <c r="A9" s="380" t="s">
        <v>413</v>
      </c>
      <c r="B9" s="381">
        <v>893.79520000000002</v>
      </c>
      <c r="C9" s="381">
        <v>1036.9483600000001</v>
      </c>
      <c r="D9" s="382">
        <f t="shared" si="0"/>
        <v>-0.13805235199947663</v>
      </c>
      <c r="E9" s="408"/>
      <c r="F9" s="138"/>
      <c r="G9" s="138"/>
      <c r="H9" s="138"/>
      <c r="I9" s="138"/>
      <c r="J9" s="138"/>
      <c r="K9" s="25"/>
      <c r="L9" s="762" t="s">
        <v>425</v>
      </c>
      <c r="M9" s="775">
        <v>0</v>
      </c>
      <c r="N9" s="775">
        <v>15.1591</v>
      </c>
      <c r="O9" s="716"/>
    </row>
    <row r="10" spans="1:15" ht="9.75" customHeight="1">
      <c r="A10" s="377" t="s">
        <v>89</v>
      </c>
      <c r="B10" s="378">
        <v>809.25408000000004</v>
      </c>
      <c r="C10" s="378">
        <v>855.02592000000004</v>
      </c>
      <c r="D10" s="379">
        <f t="shared" si="0"/>
        <v>-5.3532692903625612E-2</v>
      </c>
      <c r="E10" s="138"/>
      <c r="F10" s="138"/>
      <c r="G10" s="138"/>
      <c r="H10" s="138"/>
      <c r="I10" s="138"/>
      <c r="J10" s="138"/>
      <c r="K10" s="25"/>
      <c r="L10" s="762" t="s">
        <v>105</v>
      </c>
      <c r="M10" s="761">
        <v>0</v>
      </c>
      <c r="N10" s="761">
        <v>0</v>
      </c>
      <c r="O10" s="716"/>
    </row>
    <row r="11" spans="1:15" ht="9.75" customHeight="1">
      <c r="A11" s="380" t="s">
        <v>237</v>
      </c>
      <c r="B11" s="381">
        <v>463.44722999999999</v>
      </c>
      <c r="C11" s="381">
        <v>460.87973</v>
      </c>
      <c r="D11" s="382">
        <f t="shared" si="0"/>
        <v>5.5708676968717619E-3</v>
      </c>
      <c r="E11" s="138"/>
      <c r="F11" s="138"/>
      <c r="G11" s="138"/>
      <c r="H11" s="138"/>
      <c r="I11" s="138"/>
      <c r="J11" s="138"/>
      <c r="K11" s="25"/>
      <c r="L11" s="762" t="s">
        <v>109</v>
      </c>
      <c r="M11" s="761">
        <v>0</v>
      </c>
      <c r="N11" s="761">
        <v>0</v>
      </c>
      <c r="O11" s="716"/>
    </row>
    <row r="12" spans="1:15" ht="9.75" customHeight="1">
      <c r="A12" s="377" t="s">
        <v>90</v>
      </c>
      <c r="B12" s="378">
        <v>387.25858000000005</v>
      </c>
      <c r="C12" s="378">
        <v>338.75982999999997</v>
      </c>
      <c r="D12" s="379">
        <f t="shared" si="0"/>
        <v>0.14316558725395545</v>
      </c>
      <c r="E12" s="138"/>
      <c r="F12" s="138"/>
      <c r="G12" s="138"/>
      <c r="H12" s="138"/>
      <c r="I12" s="138"/>
      <c r="J12" s="138"/>
      <c r="K12" s="23"/>
      <c r="L12" s="762" t="s">
        <v>119</v>
      </c>
      <c r="M12" s="775">
        <v>0</v>
      </c>
      <c r="N12" s="775">
        <v>28.87407</v>
      </c>
      <c r="O12" s="716"/>
    </row>
    <row r="13" spans="1:15" ht="9.75" customHeight="1">
      <c r="A13" s="380" t="s">
        <v>241</v>
      </c>
      <c r="B13" s="381">
        <v>357.78279000000003</v>
      </c>
      <c r="C13" s="381">
        <v>347.55106000000001</v>
      </c>
      <c r="D13" s="382">
        <f t="shared" si="0"/>
        <v>2.9439501637543719E-2</v>
      </c>
      <c r="E13" s="138"/>
      <c r="F13" s="138"/>
      <c r="G13" s="138"/>
      <c r="H13" s="138"/>
      <c r="I13" s="138"/>
      <c r="J13" s="138"/>
      <c r="K13" s="26"/>
      <c r="L13" s="762" t="s">
        <v>244</v>
      </c>
      <c r="M13" s="761">
        <v>0</v>
      </c>
      <c r="N13" s="761">
        <v>0</v>
      </c>
      <c r="O13" s="716"/>
    </row>
    <row r="14" spans="1:15" ht="9.75" customHeight="1">
      <c r="A14" s="377" t="s">
        <v>100</v>
      </c>
      <c r="B14" s="378">
        <v>283.29390999999998</v>
      </c>
      <c r="C14" s="378">
        <v>290.16346999999996</v>
      </c>
      <c r="D14" s="379">
        <f t="shared" si="0"/>
        <v>-2.3674792695303704E-2</v>
      </c>
      <c r="E14" s="138"/>
      <c r="F14" s="138"/>
      <c r="G14" s="138"/>
      <c r="H14" s="138"/>
      <c r="I14" s="138"/>
      <c r="J14" s="138"/>
      <c r="K14" s="26"/>
      <c r="L14" s="762" t="s">
        <v>243</v>
      </c>
      <c r="M14" s="761">
        <v>0</v>
      </c>
      <c r="N14" s="761">
        <v>0</v>
      </c>
      <c r="O14" s="716"/>
    </row>
    <row r="15" spans="1:15" ht="9.75" customHeight="1">
      <c r="A15" s="380" t="s">
        <v>239</v>
      </c>
      <c r="B15" s="381">
        <v>272.46931999999998</v>
      </c>
      <c r="C15" s="381">
        <v>0</v>
      </c>
      <c r="D15" s="382" t="str">
        <f t="shared" si="0"/>
        <v/>
      </c>
      <c r="E15" s="138"/>
      <c r="F15" s="138"/>
      <c r="G15" s="138"/>
      <c r="H15" s="138"/>
      <c r="I15" s="138"/>
      <c r="J15" s="138"/>
      <c r="K15" s="26"/>
      <c r="L15" s="762" t="s">
        <v>107</v>
      </c>
      <c r="M15" s="761">
        <v>0</v>
      </c>
      <c r="N15" s="761">
        <v>0</v>
      </c>
      <c r="O15" s="716"/>
    </row>
    <row r="16" spans="1:15" ht="9.75" customHeight="1">
      <c r="A16" s="377" t="s">
        <v>94</v>
      </c>
      <c r="B16" s="378">
        <v>213.68581</v>
      </c>
      <c r="C16" s="378">
        <v>213.95783</v>
      </c>
      <c r="D16" s="379">
        <f t="shared" si="0"/>
        <v>-1.2713720269083018E-3</v>
      </c>
      <c r="E16" s="138"/>
      <c r="F16" s="138"/>
      <c r="G16" s="138"/>
      <c r="H16" s="138"/>
      <c r="I16" s="138"/>
      <c r="J16" s="138"/>
      <c r="K16" s="26"/>
      <c r="L16" s="762" t="s">
        <v>110</v>
      </c>
      <c r="M16" s="761">
        <v>0</v>
      </c>
      <c r="N16" s="761">
        <v>0</v>
      </c>
      <c r="O16" s="716"/>
    </row>
    <row r="17" spans="1:15" ht="9.75" customHeight="1">
      <c r="A17" s="380" t="s">
        <v>93</v>
      </c>
      <c r="B17" s="381">
        <v>195.96012999999999</v>
      </c>
      <c r="C17" s="381">
        <v>195.25824999999998</v>
      </c>
      <c r="D17" s="382">
        <f t="shared" si="0"/>
        <v>3.5946240427742193E-3</v>
      </c>
      <c r="E17" s="138"/>
      <c r="F17" s="138"/>
      <c r="G17" s="138"/>
      <c r="H17" s="138"/>
      <c r="I17" s="138"/>
      <c r="J17" s="138"/>
      <c r="K17" s="26"/>
      <c r="L17" s="762" t="s">
        <v>118</v>
      </c>
      <c r="M17" s="775">
        <v>0</v>
      </c>
      <c r="N17" s="775">
        <v>0</v>
      </c>
      <c r="O17" s="716"/>
    </row>
    <row r="18" spans="1:15" ht="9.75" customHeight="1">
      <c r="A18" s="377" t="s">
        <v>91</v>
      </c>
      <c r="B18" s="378">
        <v>169.65243999999998</v>
      </c>
      <c r="C18" s="378">
        <v>137.96500999999998</v>
      </c>
      <c r="D18" s="379">
        <f t="shared" si="0"/>
        <v>0.22967729281504057</v>
      </c>
      <c r="E18" s="138"/>
      <c r="F18" s="138"/>
      <c r="G18" s="138"/>
      <c r="H18" s="138"/>
      <c r="I18" s="138"/>
      <c r="J18" s="138"/>
      <c r="K18" s="26"/>
      <c r="L18" s="762" t="s">
        <v>416</v>
      </c>
      <c r="M18" s="761">
        <v>0</v>
      </c>
      <c r="N18" s="761">
        <v>0</v>
      </c>
      <c r="O18" s="716"/>
    </row>
    <row r="19" spans="1:15" ht="9.75" customHeight="1">
      <c r="A19" s="380" t="s">
        <v>92</v>
      </c>
      <c r="B19" s="381">
        <v>163.44571999999999</v>
      </c>
      <c r="C19" s="381">
        <v>165.76339000000002</v>
      </c>
      <c r="D19" s="382">
        <f t="shared" si="0"/>
        <v>-1.3981796583672823E-2</v>
      </c>
      <c r="E19" s="138"/>
      <c r="F19" s="138"/>
      <c r="G19" s="138"/>
      <c r="H19" s="138"/>
      <c r="I19" s="138"/>
      <c r="J19" s="138"/>
      <c r="K19" s="26"/>
      <c r="L19" s="762" t="s">
        <v>112</v>
      </c>
      <c r="M19" s="761">
        <v>0</v>
      </c>
      <c r="N19" s="761">
        <v>0</v>
      </c>
      <c r="O19" s="716"/>
    </row>
    <row r="20" spans="1:15" ht="9.75" customHeight="1">
      <c r="A20" s="377" t="s">
        <v>95</v>
      </c>
      <c r="B20" s="378">
        <v>110.18037</v>
      </c>
      <c r="C20" s="378">
        <v>110.86697000000001</v>
      </c>
      <c r="D20" s="379">
        <f t="shared" si="0"/>
        <v>-6.1930077100511571E-3</v>
      </c>
      <c r="E20" s="138"/>
      <c r="F20" s="138"/>
      <c r="G20" s="138"/>
      <c r="H20" s="138"/>
      <c r="I20" s="138"/>
      <c r="J20" s="138"/>
      <c r="K20" s="29"/>
      <c r="L20" s="762" t="s">
        <v>111</v>
      </c>
      <c r="M20" s="761">
        <v>0</v>
      </c>
      <c r="N20" s="761">
        <v>0</v>
      </c>
      <c r="O20" s="716"/>
    </row>
    <row r="21" spans="1:15" ht="9.75" customHeight="1">
      <c r="A21" s="380" t="s">
        <v>435</v>
      </c>
      <c r="B21" s="381">
        <v>91.219619999999992</v>
      </c>
      <c r="C21" s="381">
        <v>89.501319999999993</v>
      </c>
      <c r="D21" s="382">
        <f t="shared" si="0"/>
        <v>1.919859952903491E-2</v>
      </c>
      <c r="E21" s="138"/>
      <c r="F21" s="138"/>
      <c r="G21" s="138"/>
      <c r="H21" s="138"/>
      <c r="I21" s="138"/>
      <c r="J21" s="138"/>
      <c r="K21" s="26"/>
      <c r="L21" s="762" t="s">
        <v>236</v>
      </c>
      <c r="M21" s="775">
        <v>0</v>
      </c>
      <c r="N21" s="775">
        <v>0</v>
      </c>
      <c r="O21" s="716"/>
    </row>
    <row r="22" spans="1:15" ht="9.75" customHeight="1">
      <c r="A22" s="377" t="s">
        <v>96</v>
      </c>
      <c r="B22" s="378">
        <v>89.058170000000004</v>
      </c>
      <c r="C22" s="378">
        <v>88.675340000000006</v>
      </c>
      <c r="D22" s="379">
        <f t="shared" si="0"/>
        <v>4.317209271484046E-3</v>
      </c>
      <c r="E22" s="138"/>
      <c r="F22" s="138"/>
      <c r="G22" s="138"/>
      <c r="H22" s="138"/>
      <c r="I22" s="138"/>
      <c r="J22" s="138"/>
      <c r="K22" s="26"/>
      <c r="L22" s="762" t="s">
        <v>106</v>
      </c>
      <c r="M22" s="775">
        <v>0</v>
      </c>
      <c r="N22" s="775">
        <v>2.2650199999999998</v>
      </c>
      <c r="O22" s="716"/>
    </row>
    <row r="23" spans="1:15" ht="9.75" customHeight="1">
      <c r="A23" s="380" t="s">
        <v>238</v>
      </c>
      <c r="B23" s="381">
        <v>81.957740000000001</v>
      </c>
      <c r="C23" s="381">
        <v>47.526940000000003</v>
      </c>
      <c r="D23" s="382">
        <f t="shared" si="0"/>
        <v>0.72444807092566865</v>
      </c>
      <c r="E23" s="138"/>
      <c r="F23" s="138"/>
      <c r="G23" s="138"/>
      <c r="H23" s="138"/>
      <c r="I23" s="138"/>
      <c r="J23" s="138"/>
      <c r="K23" s="26"/>
      <c r="L23" s="762" t="s">
        <v>121</v>
      </c>
      <c r="M23" s="761">
        <v>0</v>
      </c>
      <c r="N23" s="761">
        <v>3.87323</v>
      </c>
      <c r="O23" s="716"/>
    </row>
    <row r="24" spans="1:15" ht="9.75" customHeight="1">
      <c r="A24" s="377" t="s">
        <v>97</v>
      </c>
      <c r="B24" s="378">
        <v>79.901820000000001</v>
      </c>
      <c r="C24" s="378">
        <v>69.025980000000004</v>
      </c>
      <c r="D24" s="379">
        <f t="shared" si="0"/>
        <v>0.15756154421856805</v>
      </c>
      <c r="E24" s="138"/>
      <c r="F24" s="138"/>
      <c r="G24" s="138"/>
      <c r="H24" s="138"/>
      <c r="I24" s="138"/>
      <c r="J24" s="138"/>
      <c r="K24" s="29"/>
      <c r="L24" s="762" t="s">
        <v>460</v>
      </c>
      <c r="M24" s="761">
        <v>0.69538</v>
      </c>
      <c r="N24" s="761">
        <v>0</v>
      </c>
      <c r="O24" s="716"/>
    </row>
    <row r="25" spans="1:15" ht="9.75" customHeight="1">
      <c r="A25" s="380" t="s">
        <v>465</v>
      </c>
      <c r="B25" s="381">
        <v>70.020579999999995</v>
      </c>
      <c r="C25" s="381">
        <v>70.174450000000007</v>
      </c>
      <c r="D25" s="382">
        <f t="shared" si="0"/>
        <v>-2.1926783893569946E-3</v>
      </c>
      <c r="E25" s="138"/>
      <c r="F25" s="138"/>
      <c r="G25" s="138"/>
      <c r="H25" s="138"/>
      <c r="I25" s="138"/>
      <c r="J25" s="138"/>
      <c r="K25" s="26"/>
      <c r="L25" s="762" t="s">
        <v>117</v>
      </c>
      <c r="M25" s="775">
        <v>2.7107000000000001</v>
      </c>
      <c r="N25" s="775">
        <v>2.41</v>
      </c>
      <c r="O25" s="716"/>
    </row>
    <row r="26" spans="1:15" ht="9.75" customHeight="1">
      <c r="A26" s="377" t="s">
        <v>108</v>
      </c>
      <c r="B26" s="378">
        <v>66.882170000000002</v>
      </c>
      <c r="C26" s="378">
        <v>37.12518</v>
      </c>
      <c r="D26" s="379">
        <f t="shared" si="0"/>
        <v>0.80153119796321537</v>
      </c>
      <c r="E26" s="138"/>
      <c r="F26" s="138"/>
      <c r="G26" s="138"/>
      <c r="H26" s="138"/>
      <c r="I26" s="138"/>
      <c r="J26" s="138"/>
      <c r="K26" s="26"/>
      <c r="L26" s="762" t="s">
        <v>116</v>
      </c>
      <c r="M26" s="761">
        <v>3.6</v>
      </c>
      <c r="N26" s="761">
        <v>3.6</v>
      </c>
      <c r="O26" s="716"/>
    </row>
    <row r="27" spans="1:15" ht="9.75" customHeight="1">
      <c r="A27" s="380" t="s">
        <v>98</v>
      </c>
      <c r="B27" s="381">
        <v>56.180860000000003</v>
      </c>
      <c r="C27" s="381">
        <v>130.04687999999999</v>
      </c>
      <c r="D27" s="382">
        <f t="shared" si="0"/>
        <v>-0.56799532599321101</v>
      </c>
      <c r="E27" s="138"/>
      <c r="F27" s="138"/>
      <c r="G27" s="138"/>
      <c r="H27" s="138"/>
      <c r="I27" s="138"/>
      <c r="J27" s="138"/>
      <c r="K27" s="26"/>
      <c r="L27" s="762" t="s">
        <v>115</v>
      </c>
      <c r="M27" s="761">
        <v>3.7952700000000004</v>
      </c>
      <c r="N27" s="761">
        <v>3.2374700000000001</v>
      </c>
      <c r="O27" s="716"/>
    </row>
    <row r="28" spans="1:15" ht="9.75" customHeight="1">
      <c r="A28" s="377" t="s">
        <v>113</v>
      </c>
      <c r="B28" s="378">
        <v>28.782789999999999</v>
      </c>
      <c r="C28" s="378">
        <v>7.5201700000000002</v>
      </c>
      <c r="D28" s="379">
        <f t="shared" si="0"/>
        <v>2.8274121462679696</v>
      </c>
      <c r="E28" s="138"/>
      <c r="F28" s="138"/>
      <c r="G28" s="138"/>
      <c r="H28" s="138"/>
      <c r="I28" s="138"/>
      <c r="J28" s="138"/>
      <c r="K28" s="26"/>
      <c r="L28" s="762" t="s">
        <v>114</v>
      </c>
      <c r="M28" s="761">
        <v>4.7992600000000003</v>
      </c>
      <c r="N28" s="761">
        <v>2.4666000000000001</v>
      </c>
      <c r="O28" s="716"/>
    </row>
    <row r="29" spans="1:15" ht="9.75" customHeight="1">
      <c r="A29" s="383" t="s">
        <v>102</v>
      </c>
      <c r="B29" s="384">
        <v>26.28755</v>
      </c>
      <c r="C29" s="384">
        <v>27.528079999999999</v>
      </c>
      <c r="D29" s="385">
        <f t="shared" si="0"/>
        <v>-4.506416720672124E-2</v>
      </c>
      <c r="E29" s="138"/>
      <c r="F29" s="138"/>
      <c r="G29" s="138"/>
      <c r="H29" s="138"/>
      <c r="I29" s="138"/>
      <c r="J29" s="138"/>
      <c r="K29" s="26"/>
      <c r="L29" s="762" t="s">
        <v>414</v>
      </c>
      <c r="M29" s="761">
        <v>4.8048999999999999</v>
      </c>
      <c r="N29" s="761">
        <v>8.0032700000000006</v>
      </c>
      <c r="O29" s="716"/>
    </row>
    <row r="30" spans="1:15" ht="9.75" customHeight="1">
      <c r="A30" s="386" t="s">
        <v>99</v>
      </c>
      <c r="B30" s="387">
        <v>25.81061</v>
      </c>
      <c r="C30" s="387">
        <v>79.650549999999996</v>
      </c>
      <c r="D30" s="388">
        <f t="shared" si="0"/>
        <v>-0.67595189235981423</v>
      </c>
      <c r="E30" s="138"/>
      <c r="F30" s="138"/>
      <c r="G30" s="138"/>
      <c r="H30" s="138"/>
      <c r="I30" s="138"/>
      <c r="J30" s="138"/>
      <c r="K30" s="26"/>
      <c r="L30" s="762" t="s">
        <v>242</v>
      </c>
      <c r="M30" s="761">
        <v>8.2894100000000002</v>
      </c>
      <c r="N30" s="761">
        <v>24.81728</v>
      </c>
      <c r="O30" s="716"/>
    </row>
    <row r="31" spans="1:15" ht="9.75" customHeight="1">
      <c r="A31" s="389" t="s">
        <v>422</v>
      </c>
      <c r="B31" s="390">
        <v>20.756149999999998</v>
      </c>
      <c r="C31" s="390">
        <v>20.481760000000001</v>
      </c>
      <c r="D31" s="391">
        <f t="shared" si="0"/>
        <v>1.3396797931427562E-2</v>
      </c>
      <c r="E31" s="138"/>
      <c r="F31" s="138"/>
      <c r="G31" s="138"/>
      <c r="H31" s="138"/>
      <c r="I31" s="138"/>
      <c r="J31" s="138"/>
      <c r="K31" s="26"/>
      <c r="L31" s="762" t="s">
        <v>436</v>
      </c>
      <c r="M31" s="761">
        <v>8.3879999999999999</v>
      </c>
      <c r="N31" s="761">
        <v>3.86</v>
      </c>
      <c r="O31" s="716"/>
    </row>
    <row r="32" spans="1:15" ht="9.75" customHeight="1">
      <c r="A32" s="386" t="s">
        <v>403</v>
      </c>
      <c r="B32" s="387">
        <v>20.345030000000001</v>
      </c>
      <c r="C32" s="387">
        <v>19.980219999999999</v>
      </c>
      <c r="D32" s="388">
        <f t="shared" si="0"/>
        <v>1.825855771357876E-2</v>
      </c>
      <c r="E32" s="138"/>
      <c r="F32" s="138"/>
      <c r="G32" s="138"/>
      <c r="H32" s="138"/>
      <c r="I32" s="138"/>
      <c r="J32" s="138"/>
      <c r="K32" s="26"/>
      <c r="L32" s="762" t="s">
        <v>477</v>
      </c>
      <c r="M32" s="761">
        <v>8.4280000000000008</v>
      </c>
      <c r="N32" s="761"/>
      <c r="O32" s="716"/>
    </row>
    <row r="33" spans="1:15" ht="15" customHeight="1">
      <c r="A33" s="539" t="s">
        <v>451</v>
      </c>
      <c r="B33" s="390">
        <v>19.976480000000002</v>
      </c>
      <c r="C33" s="390"/>
      <c r="D33" s="391" t="str">
        <f t="shared" si="0"/>
        <v/>
      </c>
      <c r="E33" s="138"/>
      <c r="F33" s="138"/>
      <c r="G33" s="138"/>
      <c r="H33" s="138"/>
      <c r="I33" s="138"/>
      <c r="J33" s="138"/>
      <c r="K33" s="26"/>
      <c r="L33" s="762" t="s">
        <v>240</v>
      </c>
      <c r="M33" s="761">
        <v>9.5447399999999991</v>
      </c>
      <c r="N33" s="761">
        <v>18.402000000000001</v>
      </c>
      <c r="O33" s="716"/>
    </row>
    <row r="34" spans="1:15" ht="11.25" customHeight="1">
      <c r="A34" s="386" t="s">
        <v>103</v>
      </c>
      <c r="B34" s="387">
        <v>19.48602</v>
      </c>
      <c r="C34" s="387">
        <v>19.116</v>
      </c>
      <c r="D34" s="388">
        <f t="shared" si="0"/>
        <v>1.935655994978025E-2</v>
      </c>
      <c r="E34" s="138"/>
      <c r="F34" s="138"/>
      <c r="G34" s="138"/>
      <c r="H34" s="138"/>
      <c r="I34" s="138"/>
      <c r="J34" s="138"/>
      <c r="K34" s="26"/>
      <c r="L34" s="762" t="s">
        <v>101</v>
      </c>
      <c r="M34" s="761">
        <v>11.856</v>
      </c>
      <c r="N34" s="761">
        <v>22.586280000000002</v>
      </c>
      <c r="O34" s="716"/>
    </row>
    <row r="35" spans="1:15" ht="23.25" customHeight="1">
      <c r="A35" s="539" t="s">
        <v>429</v>
      </c>
      <c r="B35" s="390">
        <v>19.122900000000001</v>
      </c>
      <c r="C35" s="390">
        <v>18.753609999999998</v>
      </c>
      <c r="D35" s="391">
        <f t="shared" si="0"/>
        <v>1.9691675362770278E-2</v>
      </c>
      <c r="E35" s="138"/>
      <c r="F35" s="138"/>
      <c r="G35" s="138"/>
      <c r="H35" s="138"/>
      <c r="I35" s="138"/>
      <c r="J35" s="138"/>
      <c r="K35" s="26"/>
      <c r="L35" s="762" t="s">
        <v>104</v>
      </c>
      <c r="M35" s="761">
        <v>12.248200000000001</v>
      </c>
      <c r="N35" s="761">
        <v>18.803339999999999</v>
      </c>
      <c r="O35" s="716"/>
    </row>
    <row r="36" spans="1:15" ht="11.25" customHeight="1">
      <c r="A36" s="386" t="s">
        <v>120</v>
      </c>
      <c r="B36" s="387">
        <v>18.959669999999999</v>
      </c>
      <c r="C36" s="387">
        <v>17.510750000000002</v>
      </c>
      <c r="D36" s="388">
        <f t="shared" si="0"/>
        <v>8.2744599745870229E-2</v>
      </c>
      <c r="E36" s="138"/>
      <c r="F36" s="138"/>
      <c r="G36" s="138"/>
      <c r="H36" s="138"/>
      <c r="I36" s="138"/>
      <c r="J36" s="138"/>
      <c r="K36" s="34"/>
      <c r="L36" s="762" t="s">
        <v>120</v>
      </c>
      <c r="M36" s="761">
        <v>18.959669999999999</v>
      </c>
      <c r="N36" s="761">
        <v>17.510750000000002</v>
      </c>
      <c r="O36" s="716"/>
    </row>
    <row r="37" spans="1:15" ht="11.25" customHeight="1">
      <c r="A37" s="539" t="s">
        <v>104</v>
      </c>
      <c r="B37" s="390">
        <v>12.248200000000001</v>
      </c>
      <c r="C37" s="390">
        <v>18.803339999999999</v>
      </c>
      <c r="D37" s="391">
        <f t="shared" si="0"/>
        <v>-0.34861572465317325</v>
      </c>
      <c r="E37" s="138"/>
      <c r="F37" s="138"/>
      <c r="G37" s="138"/>
      <c r="H37" s="138"/>
      <c r="I37" s="138"/>
      <c r="J37" s="138"/>
      <c r="K37" s="34"/>
      <c r="L37" s="762" t="s">
        <v>429</v>
      </c>
      <c r="M37" s="775">
        <v>19.122900000000001</v>
      </c>
      <c r="N37" s="775">
        <v>18.753609999999998</v>
      </c>
      <c r="O37" s="716"/>
    </row>
    <row r="38" spans="1:15" ht="11.25" customHeight="1">
      <c r="A38" s="753" t="s">
        <v>101</v>
      </c>
      <c r="B38" s="387">
        <v>11.856</v>
      </c>
      <c r="C38" s="387">
        <v>22.586280000000002</v>
      </c>
      <c r="D38" s="388">
        <f t="shared" si="0"/>
        <v>-0.47507956157454889</v>
      </c>
      <c r="E38" s="138"/>
      <c r="F38" s="138"/>
      <c r="G38" s="138"/>
      <c r="H38" s="138"/>
      <c r="I38" s="138"/>
      <c r="J38" s="138"/>
      <c r="K38" s="29"/>
      <c r="L38" s="762" t="s">
        <v>103</v>
      </c>
      <c r="M38" s="761">
        <v>19.48602</v>
      </c>
      <c r="N38" s="761">
        <v>19.116</v>
      </c>
      <c r="O38" s="716"/>
    </row>
    <row r="39" spans="1:15" ht="11.25" customHeight="1">
      <c r="A39" s="539" t="s">
        <v>240</v>
      </c>
      <c r="B39" s="390">
        <v>9.5447399999999991</v>
      </c>
      <c r="C39" s="390">
        <v>18.402000000000001</v>
      </c>
      <c r="D39" s="391">
        <f t="shared" si="0"/>
        <v>-0.48132050864036524</v>
      </c>
      <c r="E39" s="138"/>
      <c r="F39" s="138"/>
      <c r="G39" s="138"/>
      <c r="H39" s="138"/>
      <c r="I39" s="138"/>
      <c r="J39" s="138"/>
      <c r="K39" s="29"/>
      <c r="L39" s="762" t="s">
        <v>451</v>
      </c>
      <c r="M39" s="761">
        <v>19.976480000000002</v>
      </c>
      <c r="N39" s="761"/>
      <c r="O39" s="716"/>
    </row>
    <row r="40" spans="1:15" ht="11.25" customHeight="1">
      <c r="A40" s="754" t="s">
        <v>477</v>
      </c>
      <c r="B40" s="387">
        <v>8.4280000000000008</v>
      </c>
      <c r="C40" s="387"/>
      <c r="D40" s="388" t="str">
        <f t="shared" si="0"/>
        <v/>
      </c>
      <c r="E40" s="138"/>
      <c r="F40" s="138"/>
      <c r="G40" s="138"/>
      <c r="H40" s="138"/>
      <c r="I40" s="138"/>
      <c r="J40" s="138"/>
      <c r="K40" s="29"/>
      <c r="L40" s="762" t="s">
        <v>403</v>
      </c>
      <c r="M40" s="761">
        <v>20.345030000000001</v>
      </c>
      <c r="N40" s="761">
        <v>19.980219999999999</v>
      </c>
      <c r="O40" s="716"/>
    </row>
    <row r="41" spans="1:15" ht="9.75" customHeight="1">
      <c r="A41" s="389" t="s">
        <v>436</v>
      </c>
      <c r="B41" s="390">
        <v>8.3879999999999999</v>
      </c>
      <c r="C41" s="390">
        <v>3.86</v>
      </c>
      <c r="D41" s="391">
        <f t="shared" si="0"/>
        <v>1.1730569948186531</v>
      </c>
      <c r="E41" s="138"/>
      <c r="F41" s="138"/>
      <c r="G41" s="138"/>
      <c r="H41" s="138"/>
      <c r="I41" s="138"/>
      <c r="J41" s="138"/>
      <c r="K41" s="34"/>
      <c r="L41" s="762" t="s">
        <v>422</v>
      </c>
      <c r="M41" s="761">
        <v>20.756149999999998</v>
      </c>
      <c r="N41" s="761">
        <v>20.481760000000001</v>
      </c>
      <c r="O41" s="716"/>
    </row>
    <row r="42" spans="1:15" ht="9.75" customHeight="1">
      <c r="A42" s="386" t="s">
        <v>242</v>
      </c>
      <c r="B42" s="387">
        <v>8.2894100000000002</v>
      </c>
      <c r="C42" s="387">
        <v>24.81728</v>
      </c>
      <c r="D42" s="388">
        <f t="shared" si="0"/>
        <v>-0.66598233166567811</v>
      </c>
      <c r="E42" s="138"/>
      <c r="F42" s="138"/>
      <c r="G42" s="138"/>
      <c r="H42" s="138"/>
      <c r="I42" s="138"/>
      <c r="J42" s="138"/>
      <c r="K42" s="34"/>
      <c r="L42" s="762" t="s">
        <v>99</v>
      </c>
      <c r="M42" s="761">
        <v>25.81061</v>
      </c>
      <c r="N42" s="761">
        <v>79.650549999999996</v>
      </c>
      <c r="O42" s="716"/>
    </row>
    <row r="43" spans="1:15" ht="9.75" customHeight="1">
      <c r="A43" s="389" t="s">
        <v>414</v>
      </c>
      <c r="B43" s="390">
        <v>4.8048999999999999</v>
      </c>
      <c r="C43" s="390">
        <v>8.0032700000000006</v>
      </c>
      <c r="D43" s="391">
        <f t="shared" si="0"/>
        <v>-0.39963290005210372</v>
      </c>
      <c r="E43" s="138"/>
      <c r="F43" s="138"/>
      <c r="G43" s="138"/>
      <c r="H43" s="138"/>
      <c r="I43" s="138"/>
      <c r="J43" s="138"/>
      <c r="K43" s="34"/>
      <c r="L43" s="762" t="s">
        <v>102</v>
      </c>
      <c r="M43" s="761">
        <v>26.28755</v>
      </c>
      <c r="N43" s="761">
        <v>27.528079999999999</v>
      </c>
      <c r="O43" s="716"/>
    </row>
    <row r="44" spans="1:15" ht="9.75" customHeight="1">
      <c r="A44" s="386" t="s">
        <v>114</v>
      </c>
      <c r="B44" s="387">
        <v>4.7992600000000003</v>
      </c>
      <c r="C44" s="387">
        <v>2.4666000000000001</v>
      </c>
      <c r="D44" s="388">
        <f t="shared" si="0"/>
        <v>0.94569853239276735</v>
      </c>
      <c r="E44" s="138"/>
      <c r="F44" s="138"/>
      <c r="G44" s="138"/>
      <c r="H44" s="138"/>
      <c r="I44" s="138"/>
      <c r="J44" s="138"/>
      <c r="L44" s="762" t="s">
        <v>113</v>
      </c>
      <c r="M44" s="761">
        <v>28.782789999999999</v>
      </c>
      <c r="N44" s="761">
        <v>7.5201700000000002</v>
      </c>
      <c r="O44" s="716"/>
    </row>
    <row r="45" spans="1:15" ht="9.75" customHeight="1">
      <c r="A45" s="389" t="s">
        <v>115</v>
      </c>
      <c r="B45" s="390">
        <v>3.7952700000000004</v>
      </c>
      <c r="C45" s="390">
        <v>3.2374700000000001</v>
      </c>
      <c r="D45" s="391">
        <f t="shared" si="0"/>
        <v>0.17229503284972525</v>
      </c>
      <c r="E45" s="138"/>
      <c r="F45" s="138"/>
      <c r="G45" s="138"/>
      <c r="H45" s="138"/>
      <c r="I45" s="138"/>
      <c r="J45" s="138"/>
      <c r="L45" s="762" t="s">
        <v>98</v>
      </c>
      <c r="M45" s="761">
        <v>56.180860000000003</v>
      </c>
      <c r="N45" s="761">
        <v>130.04687999999999</v>
      </c>
      <c r="O45" s="716"/>
    </row>
    <row r="46" spans="1:15" ht="9.75" customHeight="1">
      <c r="A46" s="386" t="s">
        <v>116</v>
      </c>
      <c r="B46" s="387">
        <v>3.6</v>
      </c>
      <c r="C46" s="387">
        <v>3.6</v>
      </c>
      <c r="D46" s="388">
        <f t="shared" si="0"/>
        <v>0</v>
      </c>
      <c r="E46" s="138"/>
      <c r="F46" s="138"/>
      <c r="G46" s="138"/>
      <c r="H46" s="138"/>
      <c r="I46" s="138"/>
      <c r="J46" s="138"/>
      <c r="L46" s="762" t="s">
        <v>108</v>
      </c>
      <c r="M46" s="761">
        <v>66.882170000000002</v>
      </c>
      <c r="N46" s="761">
        <v>37.12518</v>
      </c>
      <c r="O46" s="716"/>
    </row>
    <row r="47" spans="1:15" ht="9.75" customHeight="1">
      <c r="A47" s="389" t="s">
        <v>117</v>
      </c>
      <c r="B47" s="390">
        <v>2.7107000000000001</v>
      </c>
      <c r="C47" s="390">
        <v>2.41</v>
      </c>
      <c r="D47" s="391">
        <f t="shared" si="0"/>
        <v>0.12477178423236523</v>
      </c>
      <c r="E47" s="138"/>
      <c r="F47" s="138"/>
      <c r="G47" s="138"/>
      <c r="H47" s="138"/>
      <c r="I47" s="138"/>
      <c r="J47" s="138"/>
      <c r="L47" s="762" t="s">
        <v>465</v>
      </c>
      <c r="M47" s="761">
        <v>70.020579999999995</v>
      </c>
      <c r="N47" s="761">
        <v>70.174450000000007</v>
      </c>
      <c r="O47" s="716"/>
    </row>
    <row r="48" spans="1:15" ht="9.75" customHeight="1">
      <c r="A48" s="386" t="s">
        <v>460</v>
      </c>
      <c r="B48" s="387">
        <v>0.69538</v>
      </c>
      <c r="C48" s="387">
        <v>0</v>
      </c>
      <c r="D48" s="388" t="str">
        <f t="shared" si="0"/>
        <v/>
      </c>
      <c r="E48" s="138"/>
      <c r="F48" s="138"/>
      <c r="G48" s="138"/>
      <c r="H48" s="138"/>
      <c r="I48" s="138"/>
      <c r="J48" s="138"/>
      <c r="L48" s="762" t="s">
        <v>97</v>
      </c>
      <c r="M48" s="761">
        <v>79.901820000000001</v>
      </c>
      <c r="N48" s="761">
        <v>69.025980000000004</v>
      </c>
      <c r="O48" s="716"/>
    </row>
    <row r="49" spans="1:15" ht="11.25" customHeight="1">
      <c r="A49" s="539" t="s">
        <v>121</v>
      </c>
      <c r="B49" s="390">
        <v>0</v>
      </c>
      <c r="C49" s="390">
        <v>3.87323</v>
      </c>
      <c r="D49" s="391">
        <f t="shared" si="0"/>
        <v>-1</v>
      </c>
      <c r="E49" s="138"/>
      <c r="F49" s="138"/>
      <c r="G49" s="138"/>
      <c r="H49" s="138"/>
      <c r="I49" s="138"/>
      <c r="J49" s="138"/>
      <c r="L49" s="762" t="s">
        <v>238</v>
      </c>
      <c r="M49" s="761">
        <v>81.957740000000001</v>
      </c>
      <c r="N49" s="761">
        <v>47.526940000000003</v>
      </c>
      <c r="O49" s="716"/>
    </row>
    <row r="50" spans="1:15" ht="14.25" customHeight="1">
      <c r="A50" s="753" t="s">
        <v>106</v>
      </c>
      <c r="B50" s="387">
        <v>0</v>
      </c>
      <c r="C50" s="387">
        <v>2.2650199999999998</v>
      </c>
      <c r="D50" s="388">
        <f t="shared" si="0"/>
        <v>-1</v>
      </c>
      <c r="E50" s="138"/>
      <c r="F50" s="138"/>
      <c r="G50" s="138"/>
      <c r="H50" s="138"/>
      <c r="I50" s="138"/>
      <c r="J50" s="138"/>
      <c r="L50" s="762" t="s">
        <v>96</v>
      </c>
      <c r="M50" s="761">
        <v>89.058170000000004</v>
      </c>
      <c r="N50" s="761">
        <v>88.675340000000006</v>
      </c>
      <c r="O50" s="716"/>
    </row>
    <row r="51" spans="1:15" ht="9.75" customHeight="1">
      <c r="A51" s="539" t="s">
        <v>236</v>
      </c>
      <c r="B51" s="390">
        <v>0</v>
      </c>
      <c r="C51" s="390">
        <v>0</v>
      </c>
      <c r="D51" s="391" t="str">
        <f t="shared" si="0"/>
        <v/>
      </c>
      <c r="E51" s="138"/>
      <c r="F51" s="138"/>
      <c r="G51" s="138"/>
      <c r="H51" s="138"/>
      <c r="I51" s="138"/>
      <c r="J51" s="138"/>
      <c r="L51" s="762" t="s">
        <v>435</v>
      </c>
      <c r="M51" s="761">
        <v>91.219619999999992</v>
      </c>
      <c r="N51" s="761">
        <v>89.501319999999993</v>
      </c>
      <c r="O51" s="716"/>
    </row>
    <row r="52" spans="1:15" ht="9.75" customHeight="1">
      <c r="A52" s="386" t="s">
        <v>111</v>
      </c>
      <c r="B52" s="387">
        <v>0</v>
      </c>
      <c r="C52" s="387">
        <v>0</v>
      </c>
      <c r="D52" s="388" t="str">
        <f t="shared" si="0"/>
        <v/>
      </c>
      <c r="E52" s="138"/>
      <c r="F52" s="138"/>
      <c r="G52" s="138"/>
      <c r="H52" s="138"/>
      <c r="I52" s="138"/>
      <c r="J52" s="138"/>
      <c r="L52" s="762" t="s">
        <v>95</v>
      </c>
      <c r="M52" s="761">
        <v>110.18037</v>
      </c>
      <c r="N52" s="761">
        <v>110.86697000000001</v>
      </c>
      <c r="O52" s="716"/>
    </row>
    <row r="53" spans="1:15" ht="9.75" customHeight="1">
      <c r="A53" s="389" t="s">
        <v>112</v>
      </c>
      <c r="B53" s="390">
        <v>0</v>
      </c>
      <c r="C53" s="390">
        <v>0</v>
      </c>
      <c r="D53" s="391" t="str">
        <f t="shared" si="0"/>
        <v/>
      </c>
      <c r="E53" s="138"/>
      <c r="F53" s="138"/>
      <c r="G53" s="138"/>
      <c r="H53" s="138"/>
      <c r="I53" s="138"/>
      <c r="J53" s="138"/>
      <c r="L53" s="762" t="s">
        <v>92</v>
      </c>
      <c r="M53" s="761">
        <v>163.44571999999999</v>
      </c>
      <c r="N53" s="761">
        <v>165.76339000000002</v>
      </c>
      <c r="O53" s="716"/>
    </row>
    <row r="54" spans="1:15" ht="9.75" customHeight="1">
      <c r="A54" s="386" t="s">
        <v>416</v>
      </c>
      <c r="B54" s="387">
        <v>0</v>
      </c>
      <c r="C54" s="387">
        <v>0</v>
      </c>
      <c r="D54" s="388" t="str">
        <f t="shared" si="0"/>
        <v/>
      </c>
      <c r="E54" s="138"/>
      <c r="F54" s="138"/>
      <c r="G54" s="138"/>
      <c r="H54" s="138"/>
      <c r="I54" s="138"/>
      <c r="J54" s="138"/>
      <c r="L54" s="762" t="s">
        <v>91</v>
      </c>
      <c r="M54" s="761">
        <v>169.65243999999998</v>
      </c>
      <c r="N54" s="761">
        <v>137.96500999999998</v>
      </c>
      <c r="O54" s="716"/>
    </row>
    <row r="55" spans="1:15" ht="9.75" customHeight="1">
      <c r="A55" s="389" t="s">
        <v>118</v>
      </c>
      <c r="B55" s="390">
        <v>0</v>
      </c>
      <c r="C55" s="390">
        <v>0</v>
      </c>
      <c r="D55" s="391" t="str">
        <f t="shared" si="0"/>
        <v/>
      </c>
      <c r="E55" s="138"/>
      <c r="F55" s="138"/>
      <c r="G55" s="138"/>
      <c r="H55" s="138"/>
      <c r="I55" s="138"/>
      <c r="J55" s="138"/>
      <c r="L55" s="762" t="s">
        <v>93</v>
      </c>
      <c r="M55" s="761">
        <v>195.96012999999999</v>
      </c>
      <c r="N55" s="761">
        <v>195.25824999999998</v>
      </c>
      <c r="O55" s="716"/>
    </row>
    <row r="56" spans="1:15" ht="9.75" customHeight="1">
      <c r="A56" s="386" t="s">
        <v>110</v>
      </c>
      <c r="B56" s="387">
        <v>0</v>
      </c>
      <c r="C56" s="387">
        <v>0</v>
      </c>
      <c r="D56" s="388" t="str">
        <f t="shared" si="0"/>
        <v/>
      </c>
      <c r="E56" s="138"/>
      <c r="F56" s="138"/>
      <c r="G56" s="138"/>
      <c r="H56" s="138"/>
      <c r="I56" s="138"/>
      <c r="J56" s="138"/>
      <c r="L56" s="762" t="s">
        <v>94</v>
      </c>
      <c r="M56" s="761">
        <v>213.68581</v>
      </c>
      <c r="N56" s="761">
        <v>213.95783</v>
      </c>
      <c r="O56" s="716"/>
    </row>
    <row r="57" spans="1:15" ht="9.75" customHeight="1">
      <c r="A57" s="389" t="s">
        <v>107</v>
      </c>
      <c r="B57" s="390">
        <v>0</v>
      </c>
      <c r="C57" s="390">
        <v>0</v>
      </c>
      <c r="D57" s="391" t="str">
        <f t="shared" si="0"/>
        <v/>
      </c>
      <c r="E57" s="138"/>
      <c r="F57" s="138"/>
      <c r="G57" s="138"/>
      <c r="H57" s="138"/>
      <c r="I57" s="138"/>
      <c r="J57" s="138"/>
      <c r="L57" s="762" t="s">
        <v>239</v>
      </c>
      <c r="M57" s="761">
        <v>272.46931999999998</v>
      </c>
      <c r="N57" s="761">
        <v>0</v>
      </c>
      <c r="O57" s="716"/>
    </row>
    <row r="58" spans="1:15" ht="9.75" customHeight="1">
      <c r="A58" s="386" t="s">
        <v>243</v>
      </c>
      <c r="B58" s="387">
        <v>0</v>
      </c>
      <c r="C58" s="387">
        <v>0</v>
      </c>
      <c r="D58" s="388" t="str">
        <f t="shared" si="0"/>
        <v/>
      </c>
      <c r="E58" s="138"/>
      <c r="F58" s="138"/>
      <c r="G58" s="138"/>
      <c r="H58" s="138"/>
      <c r="I58" s="138"/>
      <c r="J58" s="138"/>
      <c r="L58" s="762" t="s">
        <v>100</v>
      </c>
      <c r="M58" s="761">
        <v>283.29390999999998</v>
      </c>
      <c r="N58" s="761">
        <v>290.16346999999996</v>
      </c>
      <c r="O58" s="716"/>
    </row>
    <row r="59" spans="1:15" ht="9.75" customHeight="1">
      <c r="A59" s="370" t="s">
        <v>244</v>
      </c>
      <c r="B59" s="371">
        <v>0</v>
      </c>
      <c r="C59" s="371">
        <v>0</v>
      </c>
      <c r="D59" s="391" t="str">
        <f t="shared" si="0"/>
        <v/>
      </c>
      <c r="E59" s="138"/>
      <c r="F59" s="138"/>
      <c r="G59" s="138"/>
      <c r="H59" s="138"/>
      <c r="I59" s="138"/>
      <c r="J59" s="138"/>
      <c r="L59" s="762" t="s">
        <v>241</v>
      </c>
      <c r="M59" s="761">
        <v>357.78279000000003</v>
      </c>
      <c r="N59" s="761">
        <v>347.55106000000001</v>
      </c>
      <c r="O59" s="716"/>
    </row>
    <row r="60" spans="1:15" ht="9.75" customHeight="1">
      <c r="A60" s="392" t="s">
        <v>119</v>
      </c>
      <c r="B60" s="393">
        <v>0</v>
      </c>
      <c r="C60" s="393">
        <v>28.87407</v>
      </c>
      <c r="D60" s="394">
        <f t="shared" si="0"/>
        <v>-1</v>
      </c>
      <c r="E60" s="138"/>
      <c r="F60" s="138"/>
      <c r="G60" s="138"/>
      <c r="H60" s="138"/>
      <c r="I60" s="138"/>
      <c r="J60" s="138"/>
      <c r="L60" s="762" t="s">
        <v>90</v>
      </c>
      <c r="M60" s="761">
        <v>387.25858000000005</v>
      </c>
      <c r="N60" s="761">
        <v>338.75982999999997</v>
      </c>
      <c r="O60" s="716"/>
    </row>
    <row r="61" spans="1:15" ht="9.75" customHeight="1">
      <c r="A61" s="370" t="s">
        <v>109</v>
      </c>
      <c r="B61" s="371">
        <v>0</v>
      </c>
      <c r="C61" s="371">
        <v>0</v>
      </c>
      <c r="D61" s="382" t="str">
        <f t="shared" si="0"/>
        <v/>
      </c>
      <c r="E61" s="138"/>
      <c r="F61" s="138"/>
      <c r="G61" s="138"/>
      <c r="H61" s="138"/>
      <c r="I61" s="138"/>
      <c r="J61" s="138"/>
      <c r="L61" s="762" t="s">
        <v>237</v>
      </c>
      <c r="M61" s="761">
        <v>463.44722999999999</v>
      </c>
      <c r="N61" s="761">
        <v>460.87973</v>
      </c>
      <c r="O61" s="716"/>
    </row>
    <row r="62" spans="1:15" ht="9.75" customHeight="1">
      <c r="A62" s="392" t="s">
        <v>105</v>
      </c>
      <c r="B62" s="393">
        <v>0</v>
      </c>
      <c r="C62" s="393">
        <v>0</v>
      </c>
      <c r="D62" s="394" t="str">
        <f t="shared" si="0"/>
        <v/>
      </c>
      <c r="E62" s="138"/>
      <c r="F62" s="138"/>
      <c r="G62" s="138"/>
      <c r="H62" s="138"/>
      <c r="I62" s="138"/>
      <c r="J62" s="138"/>
      <c r="L62" s="762" t="s">
        <v>89</v>
      </c>
      <c r="M62" s="761">
        <v>809.25408000000004</v>
      </c>
      <c r="N62" s="761">
        <v>855.02592000000004</v>
      </c>
      <c r="O62" s="716"/>
    </row>
    <row r="63" spans="1:15" s="741" customFormat="1" ht="9.75" customHeight="1">
      <c r="A63" s="370" t="s">
        <v>425</v>
      </c>
      <c r="B63" s="371">
        <v>0</v>
      </c>
      <c r="C63" s="371">
        <v>15.1591</v>
      </c>
      <c r="D63" s="382">
        <f t="shared" si="0"/>
        <v>-1</v>
      </c>
      <c r="E63" s="138"/>
      <c r="F63" s="138"/>
      <c r="G63" s="138"/>
      <c r="H63" s="138"/>
      <c r="I63" s="138"/>
      <c r="J63" s="138"/>
      <c r="L63" s="762" t="s">
        <v>413</v>
      </c>
      <c r="M63" s="761">
        <v>893.79520000000002</v>
      </c>
      <c r="N63" s="761">
        <v>1036.9483600000001</v>
      </c>
      <c r="O63" s="716"/>
    </row>
    <row r="64" spans="1:15" s="741" customFormat="1" ht="9.75" customHeight="1">
      <c r="A64" s="772" t="s">
        <v>478</v>
      </c>
      <c r="B64" s="774">
        <v>0</v>
      </c>
      <c r="C64" s="774"/>
      <c r="D64" s="773"/>
      <c r="E64" s="138"/>
      <c r="F64" s="138"/>
      <c r="G64" s="138"/>
      <c r="H64" s="138"/>
      <c r="I64" s="138"/>
      <c r="J64" s="138"/>
      <c r="L64" s="762" t="s">
        <v>88</v>
      </c>
      <c r="M64" s="761">
        <v>989.51923999999997</v>
      </c>
      <c r="N64" s="761">
        <v>987.43115999999998</v>
      </c>
      <c r="O64" s="716"/>
    </row>
    <row r="65" spans="1:15" s="741" customFormat="1" ht="19.5" customHeight="1">
      <c r="A65" s="869" t="s">
        <v>622</v>
      </c>
      <c r="B65" s="864">
        <v>0</v>
      </c>
      <c r="C65" s="864"/>
      <c r="D65" s="863"/>
      <c r="E65" s="138"/>
      <c r="F65" s="138"/>
      <c r="G65" s="138"/>
      <c r="H65" s="138"/>
      <c r="I65" s="138"/>
      <c r="J65" s="138"/>
      <c r="L65" s="762" t="s">
        <v>87</v>
      </c>
      <c r="M65" s="761">
        <v>993.13590999999997</v>
      </c>
      <c r="N65" s="761">
        <v>949.12310999999988</v>
      </c>
      <c r="O65" s="716"/>
    </row>
    <row r="66" spans="1:15" ht="9.75" customHeight="1">
      <c r="A66" s="372" t="s">
        <v>42</v>
      </c>
      <c r="B66" s="626">
        <f>SUM(B7:B65)</f>
        <v>7116.7887500000033</v>
      </c>
      <c r="C66" s="626">
        <f>SUM(C7:C65)</f>
        <v>6990.6689800000013</v>
      </c>
      <c r="D66" s="373">
        <f>IF(C66=0,"",B66/C66-1)</f>
        <v>1.8041158916382027E-2</v>
      </c>
      <c r="E66" s="138"/>
      <c r="F66" s="138"/>
      <c r="G66" s="138"/>
      <c r="H66" s="138"/>
      <c r="I66" s="138"/>
      <c r="J66" s="138"/>
      <c r="L66" s="762"/>
      <c r="M66" s="763"/>
      <c r="N66" s="763"/>
      <c r="O66" s="716"/>
    </row>
    <row r="67" spans="1:15" ht="51.75" customHeight="1">
      <c r="A67" s="922" t="str">
        <f>"Cuadro N° 8: Participación de las empresas generadoras del COES en la máxima potencia coincidente (MW) en "&amp;'1. Resumen'!Q4</f>
        <v>Cuadro N° 8: Participación de las empresas generadoras del COES en la máxima potencia coincidente (MW) en marzo</v>
      </c>
      <c r="B67" s="922"/>
      <c r="C67" s="922"/>
      <c r="D67" s="922"/>
      <c r="E67" s="132"/>
      <c r="F67" s="922" t="str">
        <f>"Gráfico N° 12: Comparación de la máxima potencia coincidente  (MW) de las empresas generadoras del COES en "&amp;'1. Resumen'!Q4</f>
        <v>Gráfico N° 12: Comparación de la máxima potencia coincidente  (MW) de las empresas generadoras del COES en marzo</v>
      </c>
      <c r="G67" s="922"/>
      <c r="H67" s="922"/>
      <c r="I67" s="922"/>
      <c r="J67" s="922"/>
      <c r="L67" s="762"/>
      <c r="M67" s="764"/>
      <c r="N67" s="764"/>
    </row>
    <row r="68" spans="1:15" ht="25.5" customHeight="1">
      <c r="A68" s="925"/>
      <c r="B68" s="925"/>
      <c r="C68" s="925"/>
      <c r="D68" s="925"/>
      <c r="E68" s="925"/>
      <c r="F68" s="925"/>
      <c r="G68" s="925"/>
      <c r="H68" s="925"/>
      <c r="I68" s="925"/>
      <c r="J68" s="925"/>
    </row>
    <row r="69" spans="1:15" ht="17.25" customHeight="1">
      <c r="A69" s="924"/>
      <c r="B69" s="924"/>
      <c r="C69" s="924"/>
      <c r="D69" s="924"/>
      <c r="E69" s="924"/>
      <c r="F69" s="924"/>
      <c r="G69" s="924"/>
      <c r="H69" s="924"/>
      <c r="I69" s="924"/>
      <c r="J69" s="924"/>
    </row>
    <row r="70" spans="1:15">
      <c r="A70" s="924"/>
      <c r="B70" s="924"/>
      <c r="C70" s="924"/>
      <c r="D70" s="924"/>
      <c r="E70" s="924"/>
      <c r="F70" s="924"/>
      <c r="G70" s="924"/>
      <c r="H70" s="924"/>
      <c r="I70" s="924"/>
      <c r="J70" s="924"/>
    </row>
    <row r="71" spans="1:15">
      <c r="A71" s="917"/>
      <c r="B71" s="917"/>
      <c r="C71" s="917"/>
      <c r="D71" s="917"/>
      <c r="E71" s="917"/>
      <c r="F71" s="917"/>
      <c r="G71" s="917"/>
      <c r="H71" s="917"/>
      <c r="I71" s="917"/>
      <c r="J71" s="917"/>
    </row>
    <row r="72" spans="1:15">
      <c r="A72" s="916"/>
      <c r="B72" s="916"/>
      <c r="C72" s="916"/>
      <c r="D72" s="916"/>
      <c r="E72" s="916"/>
      <c r="F72" s="916"/>
      <c r="G72" s="916"/>
      <c r="H72" s="916"/>
      <c r="I72" s="916"/>
      <c r="J72" s="916"/>
    </row>
    <row r="73" spans="1:15">
      <c r="A73" s="939"/>
      <c r="B73" s="939"/>
      <c r="C73" s="939"/>
      <c r="D73" s="939"/>
      <c r="E73" s="939"/>
      <c r="F73" s="939"/>
      <c r="G73" s="939"/>
      <c r="H73" s="939"/>
      <c r="I73" s="939"/>
      <c r="J73" s="939"/>
    </row>
    <row r="74" spans="1:15">
      <c r="A74" s="938"/>
      <c r="B74" s="938"/>
      <c r="C74" s="938"/>
      <c r="D74" s="938"/>
      <c r="E74" s="938"/>
      <c r="F74" s="938"/>
      <c r="G74" s="938"/>
      <c r="H74" s="938"/>
      <c r="I74" s="938"/>
      <c r="J74" s="938"/>
    </row>
  </sheetData>
  <mergeCells count="14">
    <mergeCell ref="A68:J68"/>
    <mergeCell ref="A69:J69"/>
    <mergeCell ref="A67:D67"/>
    <mergeCell ref="F67:J67"/>
    <mergeCell ref="A1:J1"/>
    <mergeCell ref="A3:A6"/>
    <mergeCell ref="B3:D3"/>
    <mergeCell ref="G3:I3"/>
    <mergeCell ref="D4:D6"/>
    <mergeCell ref="A74:J74"/>
    <mergeCell ref="A70:J70"/>
    <mergeCell ref="A71:J71"/>
    <mergeCell ref="A72:J72"/>
    <mergeCell ref="A73:J73"/>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R40" sqref="R40"/>
    </sheetView>
  </sheetViews>
  <sheetFormatPr baseColWidth="10"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12" customWidth="1"/>
    <col min="12" max="31" width="9.33203125" style="312"/>
    <col min="32" max="16384" width="9.33203125" style="46"/>
  </cols>
  <sheetData>
    <row r="1" spans="1:38" ht="11.25" customHeight="1"/>
    <row r="2" spans="1:38" ht="17.25" customHeight="1">
      <c r="A2" s="930" t="s">
        <v>252</v>
      </c>
      <c r="B2" s="930"/>
      <c r="C2" s="930"/>
      <c r="D2" s="930"/>
      <c r="E2" s="930"/>
      <c r="F2" s="930"/>
      <c r="G2" s="930"/>
      <c r="H2" s="930"/>
    </row>
    <row r="3" spans="1:38" ht="11.25" customHeight="1">
      <c r="A3" s="77"/>
      <c r="B3" s="77"/>
      <c r="C3" s="77"/>
      <c r="D3" s="77"/>
      <c r="E3" s="77"/>
      <c r="F3" s="82"/>
      <c r="G3" s="82"/>
      <c r="H3" s="82"/>
      <c r="I3" s="36"/>
      <c r="J3" s="321"/>
    </row>
    <row r="4" spans="1:38" ht="15.75" customHeight="1">
      <c r="A4" s="948" t="s">
        <v>446</v>
      </c>
      <c r="B4" s="948"/>
      <c r="C4" s="948"/>
      <c r="D4" s="948"/>
      <c r="E4" s="948"/>
      <c r="F4" s="948"/>
      <c r="G4" s="948"/>
      <c r="H4" s="948"/>
      <c r="I4" s="36"/>
      <c r="J4" s="321"/>
    </row>
    <row r="5" spans="1:38" ht="11.25" customHeight="1">
      <c r="A5" s="77"/>
      <c r="B5" s="164"/>
      <c r="C5" s="79"/>
      <c r="D5" s="79"/>
      <c r="E5" s="80"/>
      <c r="F5" s="76"/>
      <c r="G5" s="76"/>
      <c r="H5" s="81"/>
      <c r="I5" s="165"/>
      <c r="J5" s="322"/>
    </row>
    <row r="6" spans="1:38" ht="42.75" customHeight="1">
      <c r="A6" s="77"/>
      <c r="C6" s="490" t="s">
        <v>124</v>
      </c>
      <c r="D6" s="491" t="s">
        <v>623</v>
      </c>
      <c r="E6" s="491" t="s">
        <v>686</v>
      </c>
      <c r="F6" s="492" t="s">
        <v>125</v>
      </c>
      <c r="G6" s="169"/>
      <c r="H6" s="170"/>
    </row>
    <row r="7" spans="1:38" ht="11.25" customHeight="1">
      <c r="A7" s="77"/>
      <c r="C7" s="541" t="s">
        <v>126</v>
      </c>
      <c r="D7" s="542">
        <v>31.917999269999999</v>
      </c>
      <c r="E7" s="779">
        <v>25.71248405</v>
      </c>
      <c r="F7" s="543">
        <f>IF(E7=0,"",(D7-E7)/E7)</f>
        <v>0.24134250148421574</v>
      </c>
      <c r="G7" s="137"/>
      <c r="H7" s="273"/>
    </row>
    <row r="8" spans="1:38" ht="11.25" customHeight="1">
      <c r="A8" s="77"/>
      <c r="C8" s="544" t="s">
        <v>127</v>
      </c>
      <c r="D8" s="545">
        <v>126.5419998</v>
      </c>
      <c r="E8" s="546">
        <v>123.4518068</v>
      </c>
      <c r="F8" s="547">
        <f t="shared" ref="F8:F20" si="0">IF(E8=0,"",(D8-E8)/E8)</f>
        <v>2.5031573697469767E-2</v>
      </c>
      <c r="G8" s="137"/>
      <c r="H8" s="273"/>
    </row>
    <row r="9" spans="1:38" ht="11.25" customHeight="1">
      <c r="A9" s="77"/>
      <c r="C9" s="548" t="s">
        <v>128</v>
      </c>
      <c r="D9" s="549">
        <v>103.38500209999999</v>
      </c>
      <c r="E9" s="550">
        <v>102.5348055</v>
      </c>
      <c r="F9" s="551">
        <f t="shared" si="0"/>
        <v>8.2917853684326692E-3</v>
      </c>
      <c r="G9" s="137"/>
      <c r="H9" s="273"/>
      <c r="M9" s="323" t="s">
        <v>258</v>
      </c>
      <c r="N9" s="324"/>
      <c r="O9" s="324"/>
      <c r="P9" s="324"/>
      <c r="Q9" s="324"/>
      <c r="R9" s="324"/>
      <c r="S9" s="324"/>
      <c r="T9" s="324"/>
      <c r="U9" s="324"/>
      <c r="V9" s="324"/>
      <c r="W9" s="324"/>
      <c r="X9" s="324"/>
      <c r="Y9" s="324"/>
      <c r="Z9" s="324"/>
      <c r="AA9" s="324"/>
      <c r="AB9" s="324"/>
      <c r="AC9" s="324"/>
      <c r="AD9" s="324"/>
      <c r="AE9" s="324"/>
      <c r="AF9" s="217"/>
      <c r="AG9" s="217"/>
      <c r="AH9" s="217"/>
      <c r="AI9" s="217"/>
      <c r="AJ9" s="217"/>
      <c r="AK9" s="217"/>
      <c r="AL9" s="217"/>
    </row>
    <row r="10" spans="1:38" ht="11.25" customHeight="1">
      <c r="A10" s="77"/>
      <c r="C10" s="544" t="s">
        <v>129</v>
      </c>
      <c r="D10" s="545">
        <v>79.813003539999997</v>
      </c>
      <c r="E10" s="546">
        <v>81.323870999999997</v>
      </c>
      <c r="F10" s="547">
        <f t="shared" si="0"/>
        <v>-1.8578400676475423E-2</v>
      </c>
      <c r="G10" s="137"/>
      <c r="H10" s="273"/>
      <c r="M10" s="323" t="s">
        <v>259</v>
      </c>
      <c r="N10" s="324"/>
      <c r="O10" s="324"/>
      <c r="P10" s="324"/>
      <c r="Q10" s="324"/>
      <c r="R10" s="324"/>
      <c r="S10" s="324"/>
      <c r="T10" s="324"/>
      <c r="AD10" s="324"/>
      <c r="AE10" s="324"/>
      <c r="AF10" s="217"/>
      <c r="AG10" s="217"/>
      <c r="AH10" s="217"/>
      <c r="AI10" s="217"/>
      <c r="AJ10" s="217"/>
      <c r="AK10" s="217"/>
      <c r="AL10" s="217"/>
    </row>
    <row r="11" spans="1:38" ht="11.25" customHeight="1">
      <c r="A11" s="77"/>
      <c r="C11" s="548" t="s">
        <v>130</v>
      </c>
      <c r="D11" s="549">
        <v>34.536998750000002</v>
      </c>
      <c r="E11" s="550">
        <v>26.447548340000001</v>
      </c>
      <c r="F11" s="551">
        <f>IF(E11=0,"",(D11-E11)/E11)</f>
        <v>0.30586768595731401</v>
      </c>
      <c r="G11" s="137"/>
      <c r="H11" s="273"/>
      <c r="M11" s="324"/>
      <c r="N11" s="325">
        <v>2017</v>
      </c>
      <c r="O11" s="325">
        <v>2018</v>
      </c>
      <c r="P11" s="325">
        <v>2019</v>
      </c>
      <c r="Q11" s="325">
        <v>2020</v>
      </c>
      <c r="R11" s="324"/>
      <c r="S11" s="324"/>
      <c r="T11" s="324"/>
      <c r="AD11" s="324"/>
      <c r="AE11" s="324"/>
      <c r="AF11" s="217"/>
      <c r="AG11" s="217"/>
      <c r="AH11" s="217"/>
      <c r="AI11" s="217"/>
      <c r="AJ11" s="217"/>
      <c r="AK11" s="217"/>
      <c r="AL11" s="217"/>
    </row>
    <row r="12" spans="1:38" ht="11.25" customHeight="1">
      <c r="A12" s="77"/>
      <c r="C12" s="544" t="s">
        <v>131</v>
      </c>
      <c r="D12" s="545">
        <v>27.649999619999999</v>
      </c>
      <c r="E12" s="546">
        <v>26.698386899999999</v>
      </c>
      <c r="F12" s="547">
        <f t="shared" si="0"/>
        <v>3.5643079245360698E-2</v>
      </c>
      <c r="G12" s="137"/>
      <c r="H12" s="273"/>
      <c r="M12" s="326">
        <v>1</v>
      </c>
      <c r="N12" s="327">
        <v>93.1</v>
      </c>
      <c r="O12" s="327">
        <v>104.46</v>
      </c>
      <c r="P12" s="327">
        <v>117.2900009</v>
      </c>
      <c r="Q12" s="564">
        <v>117.290000915527</v>
      </c>
      <c r="R12" s="324"/>
      <c r="S12" s="324"/>
      <c r="T12" s="324"/>
      <c r="AD12" s="324"/>
      <c r="AE12" s="324"/>
      <c r="AF12" s="217"/>
      <c r="AG12" s="217"/>
      <c r="AH12" s="217"/>
      <c r="AI12" s="217"/>
      <c r="AJ12" s="217"/>
      <c r="AK12" s="217"/>
      <c r="AL12" s="217"/>
    </row>
    <row r="13" spans="1:38" ht="11.25" customHeight="1">
      <c r="A13" s="77"/>
      <c r="C13" s="548" t="s">
        <v>132</v>
      </c>
      <c r="D13" s="549">
        <v>100.13999939999999</v>
      </c>
      <c r="E13" s="550">
        <v>97.098709600000007</v>
      </c>
      <c r="F13" s="551">
        <f t="shared" si="0"/>
        <v>3.132162942770958E-2</v>
      </c>
      <c r="G13" s="137"/>
      <c r="H13" s="273"/>
      <c r="M13" s="326">
        <v>2</v>
      </c>
      <c r="N13" s="327">
        <v>93.1</v>
      </c>
      <c r="O13" s="327">
        <v>103.4720001</v>
      </c>
      <c r="P13" s="327">
        <v>116.0110016</v>
      </c>
      <c r="Q13" s="564">
        <v>146.93600459999999</v>
      </c>
      <c r="R13" s="324"/>
      <c r="S13" s="324"/>
      <c r="T13" s="324"/>
      <c r="AD13" s="324"/>
      <c r="AE13" s="324"/>
      <c r="AF13" s="217"/>
      <c r="AG13" s="217"/>
      <c r="AH13" s="217"/>
      <c r="AI13" s="217"/>
      <c r="AJ13" s="217"/>
      <c r="AK13" s="217"/>
      <c r="AL13" s="217"/>
    </row>
    <row r="14" spans="1:38" ht="11.25" customHeight="1">
      <c r="A14" s="77"/>
      <c r="C14" s="544" t="s">
        <v>133</v>
      </c>
      <c r="D14" s="545">
        <v>260.2999878</v>
      </c>
      <c r="E14" s="546">
        <v>239.9935815</v>
      </c>
      <c r="F14" s="547">
        <f t="shared" si="0"/>
        <v>8.4612289099906576E-2</v>
      </c>
      <c r="G14" s="137"/>
      <c r="H14" s="273"/>
      <c r="M14" s="326">
        <v>3</v>
      </c>
      <c r="N14" s="327">
        <v>98.74</v>
      </c>
      <c r="O14" s="327">
        <v>106.08699799999999</v>
      </c>
      <c r="P14" s="327">
        <v>117.6</v>
      </c>
      <c r="Q14" s="564">
        <v>149.93200680000001</v>
      </c>
      <c r="R14" s="324"/>
      <c r="S14" s="324"/>
      <c r="T14" s="324"/>
      <c r="AD14" s="324"/>
      <c r="AE14" s="324"/>
      <c r="AF14" s="217"/>
      <c r="AG14" s="217"/>
      <c r="AH14" s="217"/>
      <c r="AI14" s="217"/>
      <c r="AJ14" s="217"/>
      <c r="AK14" s="217"/>
      <c r="AL14" s="217"/>
    </row>
    <row r="15" spans="1:38" ht="11.25" customHeight="1">
      <c r="A15" s="77"/>
      <c r="C15" s="548" t="s">
        <v>134</v>
      </c>
      <c r="D15" s="549">
        <v>68.730003359999998</v>
      </c>
      <c r="E15" s="550">
        <v>30.25354853</v>
      </c>
      <c r="F15" s="551">
        <f t="shared" si="0"/>
        <v>1.2717997292729479</v>
      </c>
      <c r="G15" s="137"/>
      <c r="H15" s="273"/>
      <c r="M15" s="326">
        <v>4</v>
      </c>
      <c r="N15" s="327">
        <v>98.74</v>
      </c>
      <c r="O15" s="327">
        <v>112.7200012</v>
      </c>
      <c r="P15" s="327">
        <v>128.32000729999999</v>
      </c>
      <c r="Q15" s="564">
        <v>152.6190033</v>
      </c>
      <c r="R15" s="324"/>
      <c r="S15" s="324"/>
      <c r="T15" s="324"/>
      <c r="AD15" s="324"/>
      <c r="AE15" s="324"/>
      <c r="AF15" s="217"/>
      <c r="AG15" s="217"/>
      <c r="AH15" s="217"/>
      <c r="AI15" s="217"/>
      <c r="AJ15" s="217"/>
      <c r="AK15" s="217"/>
      <c r="AL15" s="217"/>
    </row>
    <row r="16" spans="1:38" ht="11.25" customHeight="1">
      <c r="A16" s="77"/>
      <c r="C16" s="544" t="s">
        <v>135</v>
      </c>
      <c r="D16" s="545">
        <v>301.78900149999998</v>
      </c>
      <c r="E16" s="546">
        <v>305.93361340000001</v>
      </c>
      <c r="F16" s="547">
        <f t="shared" si="0"/>
        <v>-1.3547422442205003E-2</v>
      </c>
      <c r="G16" s="137"/>
      <c r="H16" s="273"/>
      <c r="M16" s="326">
        <v>5</v>
      </c>
      <c r="N16" s="327">
        <v>125.15</v>
      </c>
      <c r="O16" s="327">
        <v>122.3190002</v>
      </c>
      <c r="P16" s="327">
        <v>139.2400055</v>
      </c>
      <c r="Q16" s="564">
        <v>162.19599909999999</v>
      </c>
      <c r="R16" s="324"/>
      <c r="S16" s="324"/>
      <c r="T16" s="324"/>
      <c r="AD16" s="324"/>
      <c r="AE16" s="324"/>
      <c r="AF16" s="217"/>
      <c r="AG16" s="217"/>
      <c r="AH16" s="217"/>
      <c r="AI16" s="217"/>
      <c r="AJ16" s="217"/>
      <c r="AK16" s="217"/>
      <c r="AL16" s="217"/>
    </row>
    <row r="17" spans="1:38" ht="11.25" customHeight="1">
      <c r="A17" s="77"/>
      <c r="C17" s="548" t="s">
        <v>136</v>
      </c>
      <c r="D17" s="549">
        <v>159.88000489999999</v>
      </c>
      <c r="E17" s="550">
        <v>159.75451609999999</v>
      </c>
      <c r="F17" s="551">
        <f t="shared" si="0"/>
        <v>7.8551018815298083E-4</v>
      </c>
      <c r="G17" s="137"/>
      <c r="H17" s="273"/>
      <c r="M17" s="326">
        <v>6</v>
      </c>
      <c r="N17" s="327">
        <v>125.15</v>
      </c>
      <c r="O17" s="327">
        <v>126.1559982</v>
      </c>
      <c r="P17" s="327">
        <v>150.94</v>
      </c>
      <c r="Q17" s="564">
        <v>168.51100158691401</v>
      </c>
      <c r="R17" s="324"/>
      <c r="S17" s="324"/>
      <c r="T17" s="324"/>
      <c r="AD17" s="324"/>
      <c r="AE17" s="324"/>
      <c r="AF17" s="217"/>
      <c r="AG17" s="217"/>
      <c r="AH17" s="217"/>
      <c r="AI17" s="217"/>
      <c r="AJ17" s="217"/>
      <c r="AK17" s="217"/>
      <c r="AL17" s="217"/>
    </row>
    <row r="18" spans="1:38" ht="11.25" customHeight="1">
      <c r="A18" s="77"/>
      <c r="C18" s="544" t="s">
        <v>137</v>
      </c>
      <c r="D18" s="545">
        <v>15.446000099999999</v>
      </c>
      <c r="E18" s="546">
        <v>16.97016116</v>
      </c>
      <c r="F18" s="547">
        <f t="shared" si="0"/>
        <v>-8.9814177109441243E-2</v>
      </c>
      <c r="G18" s="137"/>
      <c r="H18" s="273"/>
      <c r="M18" s="326">
        <v>7</v>
      </c>
      <c r="N18" s="327">
        <v>142.99</v>
      </c>
      <c r="O18" s="327">
        <v>142.9900055</v>
      </c>
      <c r="P18" s="327">
        <v>162.4909973</v>
      </c>
      <c r="Q18" s="564">
        <v>175.46800229999999</v>
      </c>
      <c r="R18" s="324"/>
      <c r="S18" s="324"/>
      <c r="T18" s="324"/>
      <c r="AD18" s="324"/>
      <c r="AE18" s="324"/>
      <c r="AF18" s="217"/>
      <c r="AG18" s="217"/>
      <c r="AH18" s="217"/>
      <c r="AI18" s="217"/>
      <c r="AJ18" s="217"/>
      <c r="AK18" s="217"/>
      <c r="AL18" s="217"/>
    </row>
    <row r="19" spans="1:38" ht="12.75" customHeight="1">
      <c r="A19" s="77"/>
      <c r="C19" s="548" t="s">
        <v>138</v>
      </c>
      <c r="D19" s="549">
        <v>50.415000919999997</v>
      </c>
      <c r="E19" s="550">
        <v>61.438884369999997</v>
      </c>
      <c r="F19" s="551">
        <f t="shared" si="0"/>
        <v>-0.17942844442961359</v>
      </c>
      <c r="G19" s="137"/>
      <c r="H19" s="273"/>
      <c r="M19" s="326">
        <v>8</v>
      </c>
      <c r="N19" s="327">
        <v>142.99</v>
      </c>
      <c r="O19" s="327">
        <v>134.13600159999999</v>
      </c>
      <c r="P19" s="327">
        <v>169.03700259999999</v>
      </c>
      <c r="Q19" s="564">
        <v>188.82800292968699</v>
      </c>
      <c r="R19" s="324"/>
      <c r="S19" s="324"/>
      <c r="T19" s="324"/>
      <c r="AD19" s="324"/>
      <c r="AE19" s="324"/>
      <c r="AF19" s="217"/>
      <c r="AG19" s="217"/>
      <c r="AH19" s="217"/>
      <c r="AI19" s="217"/>
      <c r="AJ19" s="217"/>
      <c r="AK19" s="217"/>
      <c r="AL19" s="217"/>
    </row>
    <row r="20" spans="1:38" ht="13.5" customHeight="1">
      <c r="A20" s="77"/>
      <c r="C20" s="544" t="s">
        <v>139</v>
      </c>
      <c r="D20" s="545">
        <v>26.44199944</v>
      </c>
      <c r="E20" s="546">
        <v>16.4642892</v>
      </c>
      <c r="F20" s="547">
        <f t="shared" si="0"/>
        <v>0.6060213179442937</v>
      </c>
      <c r="G20" s="137"/>
      <c r="H20" s="273"/>
      <c r="M20" s="326">
        <v>9</v>
      </c>
      <c r="N20" s="327">
        <v>159.53</v>
      </c>
      <c r="O20" s="327">
        <v>153.34500120000001</v>
      </c>
      <c r="P20" s="327">
        <v>182.64300539999999</v>
      </c>
      <c r="Q20" s="564">
        <v>196.47700499999999</v>
      </c>
      <c r="R20" s="324"/>
      <c r="S20" s="324"/>
      <c r="T20" s="324"/>
      <c r="AD20" s="324"/>
      <c r="AE20" s="324"/>
      <c r="AF20" s="217"/>
      <c r="AG20" s="217"/>
      <c r="AH20" s="217"/>
      <c r="AI20" s="217"/>
      <c r="AJ20" s="217"/>
      <c r="AK20" s="217"/>
      <c r="AL20" s="217"/>
    </row>
    <row r="21" spans="1:38" ht="11.25" customHeight="1">
      <c r="A21" s="77"/>
      <c r="C21" s="548" t="s">
        <v>140</v>
      </c>
      <c r="D21" s="549">
        <v>5.3769998550000002</v>
      </c>
      <c r="E21" s="550">
        <v>3.5810000899999999</v>
      </c>
      <c r="F21" s="551">
        <f t="shared" ref="F21:F27" si="1">IF(E21=0,"",(D21-E21)/E21)</f>
        <v>0.50153580560228372</v>
      </c>
      <c r="M21" s="326">
        <v>10</v>
      </c>
      <c r="N21" s="327">
        <v>159.53</v>
      </c>
      <c r="O21" s="327">
        <v>153.0590057</v>
      </c>
      <c r="P21" s="327">
        <v>190.99600219999999</v>
      </c>
      <c r="Q21" s="564">
        <v>199.98199460000001</v>
      </c>
      <c r="R21" s="324"/>
      <c r="S21" s="324"/>
      <c r="T21" s="324"/>
      <c r="AD21" s="324"/>
      <c r="AE21" s="324"/>
      <c r="AF21" s="217"/>
      <c r="AG21" s="217"/>
      <c r="AH21" s="217"/>
      <c r="AI21" s="217"/>
      <c r="AJ21" s="217"/>
      <c r="AK21" s="217"/>
      <c r="AL21" s="217"/>
    </row>
    <row r="22" spans="1:38" ht="11.25" customHeight="1">
      <c r="A22" s="77"/>
      <c r="C22" s="544" t="s">
        <v>141</v>
      </c>
      <c r="D22" s="545">
        <v>7.1290001869999999</v>
      </c>
      <c r="E22" s="546">
        <v>5.2979998589999999</v>
      </c>
      <c r="F22" s="547">
        <f t="shared" si="1"/>
        <v>0.34560218511323293</v>
      </c>
      <c r="G22" s="137"/>
      <c r="H22" s="273"/>
      <c r="M22" s="326">
        <v>11</v>
      </c>
      <c r="N22" s="327">
        <v>184.94</v>
      </c>
      <c r="O22" s="327">
        <v>162.93200680000001</v>
      </c>
      <c r="P22" s="327">
        <v>200.89500427246</v>
      </c>
      <c r="Q22" s="367">
        <v>200.89500430000001</v>
      </c>
      <c r="AF22" s="274"/>
      <c r="AG22" s="274"/>
      <c r="AH22" s="274"/>
      <c r="AI22" s="274"/>
      <c r="AJ22" s="274"/>
      <c r="AK22" s="274"/>
      <c r="AL22" s="274"/>
    </row>
    <row r="23" spans="1:38" ht="11.25" customHeight="1">
      <c r="A23" s="77"/>
      <c r="C23" s="548" t="s">
        <v>421</v>
      </c>
      <c r="D23" s="549">
        <v>5.5029997829999999</v>
      </c>
      <c r="E23" s="550">
        <v>0.53399997899999996</v>
      </c>
      <c r="F23" s="551">
        <f t="shared" si="1"/>
        <v>9.3052434445882266</v>
      </c>
      <c r="G23" s="137"/>
      <c r="H23" s="273"/>
      <c r="M23" s="326">
        <v>12</v>
      </c>
      <c r="N23" s="327">
        <v>184.94</v>
      </c>
      <c r="O23" s="327">
        <v>172.76199339999999</v>
      </c>
      <c r="P23" s="327">
        <v>209.09500120000001</v>
      </c>
      <c r="Q23" s="367">
        <v>210.61200000000002</v>
      </c>
      <c r="AF23" s="274"/>
      <c r="AG23" s="274"/>
      <c r="AH23" s="274"/>
      <c r="AI23" s="274"/>
      <c r="AJ23" s="274"/>
      <c r="AK23" s="274"/>
      <c r="AL23" s="274"/>
    </row>
    <row r="24" spans="1:38" ht="11.25" customHeight="1">
      <c r="A24" s="77"/>
      <c r="C24" s="544" t="s">
        <v>142</v>
      </c>
      <c r="D24" s="546">
        <v>210.6119995</v>
      </c>
      <c r="E24" s="546">
        <v>203.0885035</v>
      </c>
      <c r="F24" s="547">
        <f t="shared" si="1"/>
        <v>3.7045405674575739E-2</v>
      </c>
      <c r="G24" s="137"/>
      <c r="H24" s="273"/>
      <c r="M24" s="326">
        <v>13</v>
      </c>
      <c r="N24" s="327">
        <v>203.73</v>
      </c>
      <c r="O24" s="327">
        <v>182.13900760000001</v>
      </c>
      <c r="P24" s="327">
        <v>215.7310028</v>
      </c>
      <c r="Q24" s="367">
        <v>221.91900634765599</v>
      </c>
      <c r="AF24" s="274"/>
      <c r="AG24" s="274"/>
      <c r="AH24" s="274"/>
      <c r="AI24" s="274"/>
      <c r="AJ24" s="274"/>
      <c r="AK24" s="274"/>
      <c r="AL24" s="274"/>
    </row>
    <row r="25" spans="1:38" ht="11.25" customHeight="1">
      <c r="A25" s="77"/>
      <c r="C25" s="548" t="s">
        <v>143</v>
      </c>
      <c r="D25" s="550">
        <v>38.95500183</v>
      </c>
      <c r="E25" s="550">
        <v>37.989499729999999</v>
      </c>
      <c r="F25" s="551">
        <f t="shared" si="1"/>
        <v>2.5414972738836906E-2</v>
      </c>
      <c r="G25" s="137"/>
      <c r="H25" s="273"/>
      <c r="M25" s="326">
        <v>14</v>
      </c>
      <c r="N25" s="327">
        <v>203.73</v>
      </c>
      <c r="O25" s="327">
        <v>191.4750061</v>
      </c>
      <c r="P25" s="327">
        <v>219.1710052</v>
      </c>
      <c r="Q25" s="367"/>
      <c r="AF25" s="274"/>
      <c r="AG25" s="274"/>
      <c r="AH25" s="274"/>
      <c r="AI25" s="274"/>
      <c r="AJ25" s="274"/>
      <c r="AK25" s="274"/>
      <c r="AL25" s="274"/>
    </row>
    <row r="26" spans="1:38" ht="11.25" customHeight="1">
      <c r="A26" s="77"/>
      <c r="C26" s="544" t="s">
        <v>144</v>
      </c>
      <c r="D26" s="546">
        <v>63.003</v>
      </c>
      <c r="E26" s="546">
        <v>59.722999999999999</v>
      </c>
      <c r="F26" s="547">
        <f t="shared" si="1"/>
        <v>5.4920214992548955E-2</v>
      </c>
      <c r="G26" s="137"/>
      <c r="H26" s="137"/>
      <c r="M26" s="326">
        <v>15</v>
      </c>
      <c r="N26" s="327">
        <v>203.73</v>
      </c>
      <c r="O26" s="327">
        <v>198.43899540000001</v>
      </c>
      <c r="P26" s="327">
        <v>220.17399599999999</v>
      </c>
      <c r="Q26" s="367"/>
      <c r="AF26" s="274"/>
      <c r="AG26" s="274"/>
      <c r="AH26" s="274"/>
      <c r="AI26" s="274"/>
      <c r="AJ26" s="274"/>
      <c r="AK26" s="274"/>
      <c r="AL26" s="274"/>
    </row>
    <row r="27" spans="1:38" ht="11.25" customHeight="1">
      <c r="A27" s="77"/>
      <c r="C27" s="548" t="s">
        <v>145</v>
      </c>
      <c r="D27" s="549">
        <v>105.5189972</v>
      </c>
      <c r="E27" s="550">
        <v>316.0653221</v>
      </c>
      <c r="F27" s="551">
        <f t="shared" si="1"/>
        <v>-0.66614813514209315</v>
      </c>
      <c r="G27" s="137"/>
      <c r="H27" s="137"/>
      <c r="M27" s="326">
        <v>16</v>
      </c>
      <c r="N27" s="327">
        <v>222.8</v>
      </c>
      <c r="O27" s="327">
        <v>201.52999879999999</v>
      </c>
      <c r="P27" s="327">
        <v>220.3150024</v>
      </c>
      <c r="Q27" s="367"/>
      <c r="AF27" s="274"/>
      <c r="AG27" s="274"/>
      <c r="AH27" s="274"/>
      <c r="AI27" s="274"/>
      <c r="AJ27" s="274"/>
      <c r="AK27" s="274"/>
      <c r="AL27" s="274"/>
    </row>
    <row r="28" spans="1:38" ht="26.25" customHeight="1">
      <c r="A28" s="77"/>
      <c r="C28" s="949"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marzo) </v>
      </c>
      <c r="D28" s="949"/>
      <c r="E28" s="949"/>
      <c r="F28" s="949"/>
      <c r="G28" s="137"/>
      <c r="H28" s="137"/>
      <c r="M28" s="326">
        <v>17</v>
      </c>
      <c r="N28" s="327">
        <v>222.8</v>
      </c>
      <c r="O28" s="327">
        <v>206.03700259999999</v>
      </c>
      <c r="P28" s="327">
        <v>220.56</v>
      </c>
      <c r="Q28" s="367"/>
      <c r="AF28" s="274"/>
      <c r="AG28" s="274"/>
      <c r="AH28" s="274"/>
      <c r="AI28" s="274"/>
      <c r="AJ28" s="274"/>
      <c r="AK28" s="274"/>
      <c r="AL28" s="274"/>
    </row>
    <row r="29" spans="1:38" ht="12" customHeight="1">
      <c r="A29" s="75"/>
      <c r="G29" s="137"/>
      <c r="H29" s="137"/>
      <c r="I29" s="167"/>
      <c r="J29" s="328"/>
      <c r="M29" s="326">
        <v>18</v>
      </c>
      <c r="N29" s="327">
        <v>225.58</v>
      </c>
      <c r="O29" s="327">
        <v>213.67399599999999</v>
      </c>
      <c r="P29" s="327">
        <v>224.15199279999999</v>
      </c>
      <c r="Q29" s="733"/>
      <c r="AF29" s="274"/>
      <c r="AG29" s="274"/>
      <c r="AH29" s="274"/>
      <c r="AI29" s="274"/>
      <c r="AJ29" s="274"/>
      <c r="AK29" s="274"/>
      <c r="AL29" s="274"/>
    </row>
    <row r="30" spans="1:38" ht="11.25" customHeight="1">
      <c r="A30" s="75"/>
      <c r="B30" s="173"/>
      <c r="C30" s="173"/>
      <c r="D30" s="173"/>
      <c r="E30" s="173"/>
      <c r="F30" s="171"/>
      <c r="G30" s="137"/>
      <c r="H30" s="137"/>
      <c r="M30" s="326">
        <v>19</v>
      </c>
      <c r="N30" s="327">
        <v>225.58</v>
      </c>
      <c r="O30" s="327">
        <v>216.75700380000001</v>
      </c>
      <c r="P30" s="327">
        <v>224.378006</v>
      </c>
      <c r="Q30" s="733"/>
      <c r="AF30" s="274"/>
      <c r="AG30" s="274"/>
      <c r="AH30" s="274"/>
      <c r="AI30" s="274"/>
      <c r="AJ30" s="274"/>
      <c r="AK30" s="274"/>
      <c r="AL30" s="274"/>
    </row>
    <row r="31" spans="1:38" ht="11.25" customHeight="1">
      <c r="A31" s="75"/>
      <c r="B31" s="173"/>
      <c r="C31" s="173"/>
      <c r="D31" s="173"/>
      <c r="E31" s="173"/>
      <c r="F31" s="171"/>
      <c r="G31" s="171"/>
      <c r="H31" s="171"/>
      <c r="I31" s="167"/>
      <c r="J31" s="328"/>
      <c r="M31" s="326">
        <v>20</v>
      </c>
      <c r="N31" s="327">
        <v>226.61</v>
      </c>
      <c r="O31" s="327">
        <v>217.29400630000001</v>
      </c>
      <c r="P31" s="327">
        <v>224.60401920000001</v>
      </c>
      <c r="Q31" s="733"/>
      <c r="AF31" s="274"/>
      <c r="AG31" s="274"/>
      <c r="AH31" s="274"/>
      <c r="AI31" s="274"/>
      <c r="AJ31" s="274"/>
      <c r="AK31" s="274"/>
      <c r="AL31" s="274"/>
    </row>
    <row r="32" spans="1:38" ht="13.5" customHeight="1">
      <c r="A32" s="948" t="s">
        <v>445</v>
      </c>
      <c r="B32" s="948"/>
      <c r="C32" s="948"/>
      <c r="D32" s="948"/>
      <c r="E32" s="948"/>
      <c r="F32" s="948"/>
      <c r="G32" s="948"/>
      <c r="H32" s="948"/>
      <c r="I32" s="56"/>
      <c r="J32" s="328"/>
      <c r="M32" s="326">
        <v>21</v>
      </c>
      <c r="N32" s="327">
        <v>226.61</v>
      </c>
      <c r="O32" s="327">
        <v>218.3190002</v>
      </c>
      <c r="P32" s="327">
        <v>223.4909973</v>
      </c>
      <c r="Q32" s="733"/>
      <c r="AF32" s="274"/>
      <c r="AG32" s="274"/>
      <c r="AH32" s="274"/>
      <c r="AI32" s="274"/>
      <c r="AJ32" s="274"/>
      <c r="AK32" s="274"/>
      <c r="AL32" s="274"/>
    </row>
    <row r="33" spans="1:38" ht="11.25" customHeight="1">
      <c r="A33" s="75"/>
      <c r="B33" s="82"/>
      <c r="C33" s="82"/>
      <c r="D33" s="82"/>
      <c r="E33" s="82"/>
      <c r="F33" s="82"/>
      <c r="G33" s="82"/>
      <c r="H33" s="82"/>
      <c r="I33" s="56"/>
      <c r="J33" s="328"/>
      <c r="M33" s="326">
        <v>22</v>
      </c>
      <c r="N33" s="327">
        <v>227.42</v>
      </c>
      <c r="O33" s="327">
        <v>218.79899599999999</v>
      </c>
      <c r="P33" s="327">
        <v>222.62600710000001</v>
      </c>
      <c r="Q33" s="733"/>
      <c r="AF33" s="274"/>
      <c r="AG33" s="274"/>
      <c r="AH33" s="274"/>
      <c r="AI33" s="274"/>
      <c r="AJ33" s="274"/>
      <c r="AK33" s="274"/>
      <c r="AL33" s="274"/>
    </row>
    <row r="34" spans="1:38" ht="11.25" customHeight="1">
      <c r="A34" s="75"/>
      <c r="B34" s="82"/>
      <c r="C34" s="82"/>
      <c r="D34" s="82"/>
      <c r="E34" s="82"/>
      <c r="F34" s="82"/>
      <c r="G34" s="82"/>
      <c r="H34" s="82"/>
      <c r="I34" s="56"/>
      <c r="J34" s="328"/>
      <c r="M34" s="326">
        <v>23</v>
      </c>
      <c r="N34" s="327">
        <v>227.42</v>
      </c>
      <c r="O34" s="327">
        <v>217.8880005</v>
      </c>
      <c r="P34" s="327">
        <v>221.62399289999999</v>
      </c>
      <c r="Q34" s="733"/>
      <c r="AF34" s="274"/>
      <c r="AG34" s="274"/>
      <c r="AH34" s="274"/>
      <c r="AI34" s="274"/>
      <c r="AJ34" s="274"/>
      <c r="AK34" s="274"/>
      <c r="AL34" s="274"/>
    </row>
    <row r="35" spans="1:38" ht="11.25" customHeight="1">
      <c r="A35" s="75"/>
      <c r="B35" s="82"/>
      <c r="C35" s="82"/>
      <c r="D35" s="82"/>
      <c r="E35" s="82"/>
      <c r="F35" s="82"/>
      <c r="G35" s="82"/>
      <c r="H35" s="82"/>
      <c r="I35" s="168"/>
      <c r="J35" s="328"/>
      <c r="M35" s="326">
        <v>24</v>
      </c>
      <c r="N35" s="327">
        <v>227.45</v>
      </c>
      <c r="O35" s="327">
        <v>216.04899599999999</v>
      </c>
      <c r="P35" s="327">
        <v>218.3840027</v>
      </c>
      <c r="Q35" s="733"/>
      <c r="AF35" s="274"/>
      <c r="AG35" s="274"/>
      <c r="AH35" s="274"/>
      <c r="AI35" s="274"/>
      <c r="AJ35" s="274"/>
      <c r="AK35" s="274"/>
      <c r="AL35" s="274"/>
    </row>
    <row r="36" spans="1:38" ht="11.25" customHeight="1">
      <c r="A36" s="75"/>
      <c r="B36" s="82"/>
      <c r="C36" s="82"/>
      <c r="D36" s="82"/>
      <c r="E36" s="82"/>
      <c r="F36" s="82"/>
      <c r="G36" s="82"/>
      <c r="H36" s="82"/>
      <c r="I36" s="56"/>
      <c r="J36" s="328"/>
      <c r="M36" s="326">
        <v>25</v>
      </c>
      <c r="N36" s="327">
        <v>227.45</v>
      </c>
      <c r="O36" s="327">
        <v>212.24600219999999</v>
      </c>
      <c r="P36" s="327">
        <v>215.08099369999999</v>
      </c>
      <c r="Q36" s="733"/>
      <c r="AF36" s="274"/>
      <c r="AG36" s="274"/>
      <c r="AH36" s="274"/>
      <c r="AI36" s="274"/>
      <c r="AJ36" s="274"/>
      <c r="AK36" s="274"/>
      <c r="AL36" s="274"/>
    </row>
    <row r="37" spans="1:38" ht="11.25" customHeight="1">
      <c r="A37" s="75"/>
      <c r="B37" s="82"/>
      <c r="C37" s="82"/>
      <c r="D37" s="82"/>
      <c r="E37" s="82"/>
      <c r="F37" s="82"/>
      <c r="G37" s="82"/>
      <c r="H37" s="82"/>
      <c r="I37" s="56"/>
      <c r="J37" s="329"/>
      <c r="M37" s="326">
        <v>26</v>
      </c>
      <c r="N37" s="327">
        <v>225.56</v>
      </c>
      <c r="O37" s="327">
        <v>210.22099299999999</v>
      </c>
      <c r="P37" s="327">
        <v>210.41900630000001</v>
      </c>
      <c r="Q37" s="733"/>
      <c r="AF37" s="274"/>
      <c r="AG37" s="274"/>
      <c r="AH37" s="274"/>
      <c r="AI37" s="274"/>
      <c r="AJ37" s="274"/>
      <c r="AK37" s="274"/>
      <c r="AL37" s="274"/>
    </row>
    <row r="38" spans="1:38" ht="11.25" customHeight="1">
      <c r="A38" s="75"/>
      <c r="B38" s="82"/>
      <c r="C38" s="82"/>
      <c r="D38" s="82"/>
      <c r="E38" s="82"/>
      <c r="F38" s="82"/>
      <c r="G38" s="82"/>
      <c r="H38" s="82"/>
      <c r="I38" s="56"/>
      <c r="J38" s="329"/>
      <c r="M38" s="326">
        <v>27</v>
      </c>
      <c r="N38" s="327">
        <v>225.56</v>
      </c>
      <c r="O38" s="327">
        <v>209.85200499999999</v>
      </c>
      <c r="P38" s="327">
        <v>204.23</v>
      </c>
      <c r="Q38" s="733"/>
      <c r="AF38" s="274"/>
      <c r="AG38" s="274"/>
      <c r="AH38" s="274"/>
      <c r="AI38" s="274"/>
      <c r="AJ38" s="274"/>
      <c r="AK38" s="274"/>
      <c r="AL38" s="274"/>
    </row>
    <row r="39" spans="1:38" ht="11.25" customHeight="1">
      <c r="A39" s="75"/>
      <c r="B39" s="82"/>
      <c r="C39" s="82"/>
      <c r="D39" s="82"/>
      <c r="E39" s="82"/>
      <c r="F39" s="82"/>
      <c r="G39" s="82"/>
      <c r="H39" s="82"/>
      <c r="I39" s="56"/>
      <c r="J39" s="330"/>
      <c r="M39" s="326">
        <v>28</v>
      </c>
      <c r="N39" s="327">
        <v>225.56</v>
      </c>
      <c r="O39" s="331">
        <v>203.92900090000001</v>
      </c>
      <c r="P39" s="331">
        <v>201.1309967</v>
      </c>
      <c r="Q39" s="733"/>
      <c r="AF39" s="274"/>
      <c r="AG39" s="274"/>
      <c r="AH39" s="274"/>
      <c r="AI39" s="274"/>
      <c r="AJ39" s="274"/>
      <c r="AK39" s="274"/>
      <c r="AL39" s="274"/>
    </row>
    <row r="40" spans="1:38" ht="11.25" customHeight="1">
      <c r="A40" s="75"/>
      <c r="B40" s="82"/>
      <c r="C40" s="82"/>
      <c r="D40" s="82"/>
      <c r="E40" s="82"/>
      <c r="F40" s="82"/>
      <c r="G40" s="82"/>
      <c r="H40" s="82"/>
      <c r="I40" s="56"/>
      <c r="J40" s="330"/>
      <c r="M40" s="326">
        <v>29</v>
      </c>
      <c r="N40" s="327">
        <v>222.04</v>
      </c>
      <c r="O40" s="327">
        <v>200.56300350000001</v>
      </c>
      <c r="P40" s="327">
        <v>196.16000366210901</v>
      </c>
      <c r="Q40" s="733"/>
      <c r="AF40" s="274"/>
      <c r="AG40" s="274"/>
      <c r="AH40" s="274"/>
      <c r="AI40" s="274"/>
      <c r="AJ40" s="274"/>
      <c r="AK40" s="274"/>
      <c r="AL40" s="274"/>
    </row>
    <row r="41" spans="1:38" ht="11.25" customHeight="1">
      <c r="A41" s="75"/>
      <c r="B41" s="82"/>
      <c r="C41" s="82"/>
      <c r="D41" s="82"/>
      <c r="E41" s="82"/>
      <c r="F41" s="82"/>
      <c r="G41" s="82"/>
      <c r="H41" s="82"/>
      <c r="I41" s="56"/>
      <c r="J41" s="330"/>
      <c r="M41" s="326">
        <v>30</v>
      </c>
      <c r="N41" s="327">
        <v>222.04</v>
      </c>
      <c r="O41" s="327">
        <v>194.94900509999999</v>
      </c>
      <c r="P41" s="327">
        <v>193.86</v>
      </c>
      <c r="Q41" s="733"/>
      <c r="AF41" s="274"/>
      <c r="AG41" s="274"/>
      <c r="AH41" s="274"/>
      <c r="AI41" s="274"/>
      <c r="AJ41" s="274"/>
      <c r="AK41" s="274"/>
      <c r="AL41" s="274"/>
    </row>
    <row r="42" spans="1:38" ht="11.25" customHeight="1">
      <c r="A42" s="75"/>
      <c r="B42" s="82"/>
      <c r="C42" s="82"/>
      <c r="D42" s="82"/>
      <c r="E42" s="82"/>
      <c r="F42" s="82"/>
      <c r="G42" s="82"/>
      <c r="H42" s="82"/>
      <c r="I42" s="168"/>
      <c r="J42" s="329"/>
      <c r="M42" s="326">
        <v>31</v>
      </c>
      <c r="N42" s="327">
        <v>213.13</v>
      </c>
      <c r="O42" s="327">
        <v>188.386</v>
      </c>
      <c r="P42" s="327">
        <v>186.24800110000001</v>
      </c>
      <c r="Q42" s="733"/>
      <c r="AF42" s="274"/>
      <c r="AG42" s="274"/>
      <c r="AH42" s="274"/>
      <c r="AI42" s="274"/>
      <c r="AJ42" s="274"/>
      <c r="AK42" s="274"/>
      <c r="AL42" s="274"/>
    </row>
    <row r="43" spans="1:38" ht="11.25" customHeight="1">
      <c r="A43" s="75"/>
      <c r="B43" s="82"/>
      <c r="C43" s="82"/>
      <c r="D43" s="82"/>
      <c r="E43" s="82"/>
      <c r="F43" s="82"/>
      <c r="G43" s="82"/>
      <c r="H43" s="82"/>
      <c r="I43" s="56"/>
      <c r="J43" s="329"/>
      <c r="M43" s="326">
        <v>32</v>
      </c>
      <c r="N43" s="327">
        <v>213.13</v>
      </c>
      <c r="O43" s="327">
        <v>184.72900390000001</v>
      </c>
      <c r="P43" s="327">
        <v>182.40899659999999</v>
      </c>
      <c r="AF43" s="274"/>
      <c r="AG43" s="274"/>
      <c r="AH43" s="274"/>
      <c r="AI43" s="274"/>
      <c r="AJ43" s="274"/>
      <c r="AK43" s="274"/>
      <c r="AL43" s="274"/>
    </row>
    <row r="44" spans="1:38" ht="11.25" customHeight="1">
      <c r="A44" s="75"/>
      <c r="B44" s="82"/>
      <c r="C44" s="82"/>
      <c r="D44" s="82"/>
      <c r="E44" s="82"/>
      <c r="F44" s="82"/>
      <c r="G44" s="82"/>
      <c r="H44" s="82"/>
      <c r="I44" s="56"/>
      <c r="J44" s="329"/>
      <c r="M44" s="326">
        <v>33</v>
      </c>
      <c r="N44" s="327">
        <v>205.97</v>
      </c>
      <c r="O44" s="327">
        <v>178.8809967</v>
      </c>
      <c r="P44" s="327">
        <v>178.6940002</v>
      </c>
      <c r="AF44" s="274"/>
      <c r="AG44" s="274"/>
      <c r="AH44" s="274"/>
      <c r="AI44" s="274"/>
      <c r="AJ44" s="274"/>
      <c r="AK44" s="274"/>
      <c r="AL44" s="274"/>
    </row>
    <row r="45" spans="1:38" ht="11.25" customHeight="1">
      <c r="A45" s="75"/>
      <c r="B45" s="82"/>
      <c r="C45" s="82"/>
      <c r="D45" s="82"/>
      <c r="E45" s="82"/>
      <c r="F45" s="82"/>
      <c r="G45" s="82"/>
      <c r="H45" s="82"/>
      <c r="I45" s="59"/>
      <c r="J45" s="332"/>
      <c r="M45" s="326">
        <v>34</v>
      </c>
      <c r="N45" s="327">
        <v>199.49</v>
      </c>
      <c r="O45" s="327">
        <v>176.98599239999999</v>
      </c>
      <c r="P45" s="327">
        <v>173.61300660000001</v>
      </c>
      <c r="AF45" s="274"/>
      <c r="AG45" s="274"/>
      <c r="AH45" s="274"/>
      <c r="AI45" s="274"/>
      <c r="AJ45" s="274"/>
      <c r="AK45" s="274"/>
      <c r="AL45" s="274"/>
    </row>
    <row r="46" spans="1:38" ht="11.25" customHeight="1">
      <c r="A46" s="75"/>
      <c r="B46" s="82"/>
      <c r="C46" s="82"/>
      <c r="D46" s="82"/>
      <c r="E46" s="82"/>
      <c r="F46" s="82"/>
      <c r="G46" s="82"/>
      <c r="H46" s="82"/>
      <c r="I46" s="59"/>
      <c r="J46" s="332"/>
      <c r="M46" s="326">
        <v>35</v>
      </c>
      <c r="N46" s="333">
        <v>193.4</v>
      </c>
      <c r="O46" s="327">
        <v>173.36999510000001</v>
      </c>
      <c r="P46" s="327">
        <v>170.0189972</v>
      </c>
      <c r="AF46" s="274"/>
      <c r="AG46" s="274"/>
      <c r="AH46" s="274"/>
      <c r="AI46" s="274"/>
      <c r="AJ46" s="274"/>
      <c r="AK46" s="274"/>
      <c r="AL46" s="274"/>
    </row>
    <row r="47" spans="1:38" ht="11.25" customHeight="1">
      <c r="A47" s="75"/>
      <c r="B47" s="82"/>
      <c r="C47" s="82"/>
      <c r="D47" s="82"/>
      <c r="E47" s="82"/>
      <c r="F47" s="82"/>
      <c r="G47" s="82"/>
      <c r="H47" s="82"/>
      <c r="I47" s="59"/>
      <c r="J47" s="332"/>
      <c r="M47" s="326">
        <v>36</v>
      </c>
      <c r="N47" s="333">
        <v>187.93</v>
      </c>
      <c r="O47" s="327">
        <v>167.63</v>
      </c>
      <c r="P47" s="327">
        <v>166.0690002</v>
      </c>
      <c r="AF47" s="274"/>
      <c r="AG47" s="274"/>
      <c r="AH47" s="274"/>
      <c r="AI47" s="274"/>
      <c r="AJ47" s="274"/>
      <c r="AK47" s="274"/>
      <c r="AL47" s="274"/>
    </row>
    <row r="48" spans="1:38" ht="11.25" customHeight="1">
      <c r="A48" s="75"/>
      <c r="B48" s="82"/>
      <c r="C48" s="82"/>
      <c r="D48" s="82"/>
      <c r="E48" s="82"/>
      <c r="F48" s="82"/>
      <c r="G48" s="82"/>
      <c r="H48" s="82"/>
      <c r="I48" s="59"/>
      <c r="J48" s="332"/>
      <c r="M48" s="326">
        <v>37</v>
      </c>
      <c r="N48" s="327">
        <v>182.85</v>
      </c>
      <c r="O48" s="327">
        <v>162.30700680000001</v>
      </c>
      <c r="P48" s="327">
        <v>159.17399599999999</v>
      </c>
      <c r="AF48" s="274"/>
      <c r="AG48" s="274"/>
      <c r="AH48" s="274"/>
      <c r="AI48" s="274"/>
      <c r="AJ48" s="274"/>
      <c r="AK48" s="274"/>
      <c r="AL48" s="274"/>
    </row>
    <row r="49" spans="1:38" ht="11.25" customHeight="1">
      <c r="A49" s="75"/>
      <c r="B49" s="82"/>
      <c r="C49" s="82"/>
      <c r="D49" s="82"/>
      <c r="E49" s="82"/>
      <c r="F49" s="82"/>
      <c r="G49" s="82"/>
      <c r="H49" s="82"/>
      <c r="I49" s="59"/>
      <c r="J49" s="332"/>
      <c r="M49" s="326">
        <v>38</v>
      </c>
      <c r="N49" s="327">
        <v>179.77</v>
      </c>
      <c r="O49" s="327">
        <v>159.02699279999999</v>
      </c>
      <c r="P49" s="327">
        <v>157.84</v>
      </c>
      <c r="AF49" s="274"/>
      <c r="AG49" s="274"/>
      <c r="AH49" s="274"/>
      <c r="AI49" s="274"/>
      <c r="AJ49" s="274"/>
      <c r="AK49" s="274"/>
      <c r="AL49" s="274"/>
    </row>
    <row r="50" spans="1:38" ht="12.75">
      <c r="A50" s="75"/>
      <c r="B50" s="82"/>
      <c r="C50" s="82"/>
      <c r="D50" s="82"/>
      <c r="E50" s="82"/>
      <c r="F50" s="82"/>
      <c r="G50" s="82"/>
      <c r="H50" s="82"/>
      <c r="I50" s="59"/>
      <c r="J50" s="332"/>
      <c r="M50" s="326">
        <v>39</v>
      </c>
      <c r="N50" s="327">
        <v>173.62</v>
      </c>
      <c r="O50" s="327">
        <v>153.61700440000001</v>
      </c>
      <c r="P50" s="327">
        <v>156.28199768066401</v>
      </c>
      <c r="AF50" s="274"/>
      <c r="AG50" s="274"/>
      <c r="AH50" s="274"/>
      <c r="AI50" s="274"/>
      <c r="AJ50" s="274"/>
      <c r="AK50" s="274"/>
      <c r="AL50" s="274"/>
    </row>
    <row r="51" spans="1:38" ht="10.5" customHeight="1">
      <c r="A51" s="75"/>
      <c r="B51" s="82"/>
      <c r="C51" s="82"/>
      <c r="D51" s="82"/>
      <c r="E51" s="82"/>
      <c r="F51" s="82"/>
      <c r="G51" s="82"/>
      <c r="H51" s="82"/>
      <c r="I51" s="59"/>
      <c r="J51" s="332"/>
      <c r="M51" s="326">
        <v>40</v>
      </c>
      <c r="N51" s="327">
        <v>163</v>
      </c>
      <c r="O51" s="327">
        <v>151.72999569999999</v>
      </c>
      <c r="P51" s="327">
        <v>148.3529968</v>
      </c>
      <c r="AF51" s="274"/>
      <c r="AG51" s="274"/>
      <c r="AH51" s="274"/>
      <c r="AI51" s="274"/>
      <c r="AJ51" s="274"/>
      <c r="AK51" s="274"/>
      <c r="AL51" s="274"/>
    </row>
    <row r="52" spans="1:38" ht="12.75">
      <c r="A52" s="75"/>
      <c r="B52" s="82"/>
      <c r="C52" s="82"/>
      <c r="D52" s="82"/>
      <c r="E52" s="82"/>
      <c r="F52" s="82"/>
      <c r="G52" s="82"/>
      <c r="H52" s="82"/>
      <c r="I52" s="59"/>
      <c r="J52" s="332"/>
      <c r="M52" s="326">
        <v>41</v>
      </c>
      <c r="N52" s="327">
        <v>156.5</v>
      </c>
      <c r="O52" s="327">
        <v>147.996002197265</v>
      </c>
      <c r="P52" s="327">
        <v>151.04400630000001</v>
      </c>
      <c r="AF52" s="274"/>
      <c r="AG52" s="274"/>
      <c r="AH52" s="274"/>
      <c r="AI52" s="274"/>
      <c r="AJ52" s="274"/>
      <c r="AK52" s="274"/>
      <c r="AL52" s="274"/>
    </row>
    <row r="53" spans="1:38" ht="12.75">
      <c r="A53" s="75"/>
      <c r="B53" s="82"/>
      <c r="C53" s="82"/>
      <c r="D53" s="82"/>
      <c r="E53" s="82"/>
      <c r="F53" s="82"/>
      <c r="G53" s="82"/>
      <c r="H53" s="82"/>
      <c r="I53" s="59"/>
      <c r="J53" s="332"/>
      <c r="M53" s="326">
        <v>42</v>
      </c>
      <c r="N53" s="327">
        <v>152.78</v>
      </c>
      <c r="O53" s="327">
        <v>144.53999328613199</v>
      </c>
      <c r="P53" s="327">
        <v>146.53</v>
      </c>
      <c r="AF53" s="274"/>
      <c r="AG53" s="274"/>
      <c r="AH53" s="274"/>
      <c r="AI53" s="274"/>
      <c r="AJ53" s="274"/>
      <c r="AK53" s="274"/>
      <c r="AL53" s="274"/>
    </row>
    <row r="54" spans="1:38" ht="12.75">
      <c r="A54" s="75"/>
      <c r="B54" s="82"/>
      <c r="C54" s="82"/>
      <c r="D54" s="82"/>
      <c r="E54" s="82"/>
      <c r="F54" s="82"/>
      <c r="G54" s="82"/>
      <c r="H54" s="82"/>
      <c r="I54" s="59"/>
      <c r="J54" s="332"/>
      <c r="M54" s="326">
        <v>43</v>
      </c>
      <c r="N54" s="327">
        <v>148.63</v>
      </c>
      <c r="O54" s="327">
        <v>143.72300720214801</v>
      </c>
      <c r="P54" s="327">
        <v>137.7400055</v>
      </c>
      <c r="AF54" s="274"/>
      <c r="AG54" s="274"/>
      <c r="AH54" s="274"/>
      <c r="AI54" s="274"/>
      <c r="AJ54" s="274"/>
      <c r="AK54" s="274"/>
      <c r="AL54" s="274"/>
    </row>
    <row r="55" spans="1:38" ht="12.75">
      <c r="A55" s="75"/>
      <c r="B55" s="82"/>
      <c r="C55" s="82"/>
      <c r="D55" s="82"/>
      <c r="E55" s="82"/>
      <c r="F55" s="82"/>
      <c r="G55" s="82"/>
      <c r="H55" s="82"/>
      <c r="I55" s="59"/>
      <c r="J55" s="332"/>
      <c r="M55" s="326">
        <v>44</v>
      </c>
      <c r="N55" s="327">
        <v>142.91</v>
      </c>
      <c r="O55" s="327">
        <v>142.33900449999999</v>
      </c>
      <c r="P55" s="327">
        <v>133.1380005</v>
      </c>
      <c r="AF55" s="274"/>
      <c r="AG55" s="274"/>
      <c r="AH55" s="274"/>
      <c r="AI55" s="274"/>
      <c r="AJ55" s="274"/>
      <c r="AK55" s="274"/>
      <c r="AL55" s="274"/>
    </row>
    <row r="56" spans="1:38" ht="12.75">
      <c r="A56" s="75"/>
      <c r="B56" s="82"/>
      <c r="C56" s="82"/>
      <c r="D56" s="82"/>
      <c r="E56" s="82"/>
      <c r="F56" s="82"/>
      <c r="G56" s="82"/>
      <c r="H56" s="82"/>
      <c r="I56" s="59"/>
      <c r="J56" s="332"/>
      <c r="M56" s="326">
        <v>45</v>
      </c>
      <c r="N56" s="327">
        <v>137.04</v>
      </c>
      <c r="O56" s="327">
        <v>143.13200380000001</v>
      </c>
      <c r="P56" s="327">
        <v>125.7330017</v>
      </c>
      <c r="AF56" s="274"/>
      <c r="AG56" s="274"/>
      <c r="AH56" s="274"/>
      <c r="AI56" s="274"/>
      <c r="AJ56" s="274"/>
      <c r="AK56" s="274"/>
      <c r="AL56" s="274"/>
    </row>
    <row r="57" spans="1:38" ht="12.75">
      <c r="A57" s="75"/>
      <c r="B57" s="82"/>
      <c r="C57" s="82"/>
      <c r="D57" s="82"/>
      <c r="E57" s="82"/>
      <c r="F57" s="82"/>
      <c r="G57" s="82"/>
      <c r="H57" s="82"/>
      <c r="M57" s="326">
        <v>46</v>
      </c>
      <c r="N57" s="327">
        <v>131.22999999999999</v>
      </c>
      <c r="O57" s="327">
        <v>141.37</v>
      </c>
      <c r="P57" s="327">
        <v>125.2030029</v>
      </c>
      <c r="AF57" s="274"/>
      <c r="AG57" s="274"/>
      <c r="AH57" s="274"/>
      <c r="AI57" s="274"/>
      <c r="AJ57" s="274"/>
      <c r="AK57" s="274"/>
      <c r="AL57" s="274"/>
    </row>
    <row r="58" spans="1:38" ht="12.75">
      <c r="A58" s="75"/>
      <c r="B58" s="82"/>
      <c r="C58" s="82"/>
      <c r="D58" s="82"/>
      <c r="E58" s="82"/>
      <c r="F58" s="82"/>
      <c r="G58" s="82"/>
      <c r="H58" s="82"/>
      <c r="M58" s="326">
        <v>47</v>
      </c>
      <c r="N58" s="327">
        <v>125.5</v>
      </c>
      <c r="O58" s="327">
        <v>140.33900449999999</v>
      </c>
      <c r="P58" s="327">
        <v>120.5130005</v>
      </c>
      <c r="AF58" s="274"/>
      <c r="AG58" s="274"/>
      <c r="AH58" s="274"/>
      <c r="AI58" s="274"/>
      <c r="AJ58" s="274"/>
      <c r="AK58" s="274"/>
      <c r="AL58" s="274"/>
    </row>
    <row r="59" spans="1:38" ht="12.75">
      <c r="A59" s="271" t="s">
        <v>499</v>
      </c>
      <c r="B59" s="82"/>
      <c r="C59" s="82"/>
      <c r="D59" s="82"/>
      <c r="E59" s="82"/>
      <c r="F59" s="82"/>
      <c r="G59" s="82"/>
      <c r="H59" s="82"/>
      <c r="M59" s="326">
        <v>48</v>
      </c>
      <c r="N59" s="327">
        <v>120.41</v>
      </c>
      <c r="O59" s="327">
        <v>137.8150024</v>
      </c>
      <c r="P59" s="327">
        <v>119.3089981</v>
      </c>
      <c r="AF59" s="274"/>
      <c r="AG59" s="274"/>
      <c r="AH59" s="274"/>
      <c r="AI59" s="274"/>
      <c r="AJ59" s="274"/>
      <c r="AK59" s="274"/>
      <c r="AL59" s="274"/>
    </row>
    <row r="60" spans="1:38" ht="12.75">
      <c r="A60" s="54"/>
      <c r="B60" s="82"/>
      <c r="C60" s="82"/>
      <c r="D60" s="82"/>
      <c r="E60" s="82"/>
      <c r="F60" s="82"/>
      <c r="G60" s="82"/>
      <c r="H60" s="82"/>
      <c r="M60" s="326">
        <v>49</v>
      </c>
      <c r="N60" s="327">
        <v>115.91300200000001</v>
      </c>
      <c r="O60" s="327">
        <v>129.0279999</v>
      </c>
      <c r="P60" s="327">
        <v>119.33200069999999</v>
      </c>
      <c r="AF60" s="274"/>
      <c r="AG60" s="274"/>
      <c r="AH60" s="274"/>
      <c r="AI60" s="274"/>
      <c r="AJ60" s="274"/>
      <c r="AK60" s="274"/>
      <c r="AL60" s="274"/>
    </row>
    <row r="61" spans="1:38">
      <c r="M61" s="326">
        <v>50</v>
      </c>
      <c r="N61" s="327">
        <v>110.0599976</v>
      </c>
      <c r="O61" s="327">
        <v>129.30000000000001</v>
      </c>
      <c r="P61" s="327">
        <v>135.91499329999999</v>
      </c>
      <c r="AD61" s="324"/>
      <c r="AE61" s="324"/>
      <c r="AF61" s="217"/>
      <c r="AG61" s="217"/>
      <c r="AH61" s="217"/>
      <c r="AI61" s="217"/>
      <c r="AJ61" s="217"/>
      <c r="AK61" s="217"/>
      <c r="AL61" s="217"/>
    </row>
    <row r="62" spans="1:38">
      <c r="M62" s="326">
        <v>51</v>
      </c>
      <c r="N62" s="327">
        <v>107.5970001</v>
      </c>
      <c r="O62" s="327">
        <v>129</v>
      </c>
      <c r="P62" s="327">
        <v>131.21000670000001</v>
      </c>
      <c r="AD62" s="324"/>
      <c r="AE62" s="324"/>
      <c r="AF62" s="217"/>
      <c r="AG62" s="217"/>
      <c r="AH62" s="217"/>
      <c r="AI62" s="217"/>
      <c r="AJ62" s="217"/>
      <c r="AK62" s="217"/>
      <c r="AL62" s="217"/>
    </row>
    <row r="63" spans="1:38">
      <c r="M63" s="326">
        <v>52</v>
      </c>
      <c r="N63" s="327">
        <v>104.4029999</v>
      </c>
      <c r="O63" s="327">
        <v>130.4810028</v>
      </c>
      <c r="P63" s="327">
        <v>139.86399840000001</v>
      </c>
      <c r="AD63" s="324"/>
      <c r="AE63" s="324"/>
      <c r="AF63" s="217"/>
      <c r="AG63" s="217"/>
      <c r="AH63" s="217"/>
      <c r="AI63" s="217"/>
      <c r="AJ63" s="217"/>
      <c r="AK63" s="217"/>
      <c r="AL63" s="217"/>
    </row>
    <row r="64" spans="1:38">
      <c r="M64" s="326">
        <v>53</v>
      </c>
      <c r="N64" s="327"/>
      <c r="O64" s="327"/>
      <c r="P64" s="785">
        <v>146.8090057</v>
      </c>
      <c r="AD64" s="324"/>
      <c r="AE64" s="324"/>
      <c r="AF64" s="217"/>
      <c r="AG64" s="217"/>
      <c r="AH64" s="217"/>
      <c r="AI64" s="217"/>
      <c r="AJ64" s="217"/>
      <c r="AK64" s="217"/>
      <c r="AL64" s="217"/>
    </row>
    <row r="65" spans="13:38">
      <c r="M65" s="324"/>
      <c r="N65" s="324"/>
      <c r="O65" s="324"/>
      <c r="P65" s="324"/>
      <c r="Q65" s="324"/>
      <c r="R65" s="324"/>
      <c r="S65" s="324"/>
      <c r="T65" s="324"/>
      <c r="AD65" s="324"/>
      <c r="AE65" s="324"/>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85" zoomScaleNormal="100" zoomScaleSheetLayoutView="85" zoomScalePageLayoutView="115" workbookViewId="0">
      <selection activeCell="R40" sqref="R40"/>
    </sheetView>
  </sheetViews>
  <sheetFormatPr baseColWidth="10" defaultColWidth="9.33203125" defaultRowHeight="11.25"/>
  <cols>
    <col min="10" max="11" width="9.33203125" customWidth="1"/>
    <col min="14" max="28" width="9.33203125" style="428"/>
    <col min="29" max="31" width="9.33203125" style="418"/>
  </cols>
  <sheetData>
    <row r="1" spans="1:23" ht="11.25" customHeight="1"/>
    <row r="2" spans="1:23" ht="11.25" customHeight="1">
      <c r="A2" s="302"/>
      <c r="B2" s="309"/>
      <c r="C2" s="309"/>
      <c r="D2" s="309"/>
      <c r="E2" s="309"/>
      <c r="F2" s="309"/>
      <c r="G2" s="310"/>
      <c r="H2" s="310"/>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31" t="s">
        <v>260</v>
      </c>
      <c r="T4" s="432" t="s">
        <v>261</v>
      </c>
    </row>
    <row r="5" spans="1:23" ht="11.25" customHeight="1">
      <c r="A5" s="950"/>
      <c r="B5" s="950"/>
      <c r="C5" s="950"/>
      <c r="D5" s="950"/>
      <c r="E5" s="950"/>
      <c r="F5" s="950"/>
      <c r="G5" s="950"/>
      <c r="H5" s="950"/>
      <c r="I5" s="950"/>
      <c r="J5" s="12"/>
      <c r="K5" s="12"/>
      <c r="L5" s="8"/>
      <c r="O5" s="433">
        <v>2017</v>
      </c>
      <c r="P5" s="433">
        <v>2018</v>
      </c>
      <c r="Q5" s="433">
        <v>2019</v>
      </c>
      <c r="R5" s="433">
        <v>2020</v>
      </c>
      <c r="T5" s="433">
        <v>2017</v>
      </c>
      <c r="U5" s="433">
        <v>2018</v>
      </c>
      <c r="V5" s="433">
        <v>2019</v>
      </c>
      <c r="W5" s="433">
        <v>2020</v>
      </c>
    </row>
    <row r="6" spans="1:23" ht="11.25" customHeight="1">
      <c r="A6" s="17"/>
      <c r="B6" s="159"/>
      <c r="C6" s="68"/>
      <c r="D6" s="69"/>
      <c r="E6" s="69"/>
      <c r="F6" s="70"/>
      <c r="G6" s="66"/>
      <c r="H6" s="66"/>
      <c r="I6" s="71"/>
      <c r="J6" s="12"/>
      <c r="K6" s="12"/>
      <c r="L6" s="5"/>
      <c r="N6" s="434">
        <v>1</v>
      </c>
      <c r="O6" s="435">
        <v>27.559000019999999</v>
      </c>
      <c r="P6" s="435">
        <v>34.76</v>
      </c>
      <c r="Q6" s="436">
        <v>71.125</v>
      </c>
      <c r="R6" s="859">
        <v>133.42999267578099</v>
      </c>
      <c r="S6" s="434">
        <v>1</v>
      </c>
      <c r="T6" s="435">
        <v>122.19600180599998</v>
      </c>
      <c r="U6" s="435">
        <v>210.20000000000002</v>
      </c>
      <c r="V6" s="436">
        <v>190.20000426299998</v>
      </c>
      <c r="W6" s="859">
        <v>186.65300035476668</v>
      </c>
    </row>
    <row r="7" spans="1:23" ht="11.25" customHeight="1">
      <c r="A7" s="17"/>
      <c r="B7" s="951"/>
      <c r="C7" s="951"/>
      <c r="D7" s="160"/>
      <c r="E7" s="160"/>
      <c r="F7" s="70"/>
      <c r="G7" s="66"/>
      <c r="H7" s="66"/>
      <c r="I7" s="71"/>
      <c r="J7" s="3"/>
      <c r="K7" s="3"/>
      <c r="L7" s="15"/>
      <c r="N7" s="434">
        <v>2</v>
      </c>
      <c r="O7" s="435">
        <v>36.5890007</v>
      </c>
      <c r="P7" s="435">
        <v>47.749000549999998</v>
      </c>
      <c r="Q7" s="436">
        <v>79.228996280000004</v>
      </c>
      <c r="R7" s="859">
        <v>141.27299500000001</v>
      </c>
      <c r="S7" s="434">
        <v>2</v>
      </c>
      <c r="T7" s="435">
        <v>136.535000822</v>
      </c>
      <c r="U7" s="435">
        <v>216.70300435500002</v>
      </c>
      <c r="V7" s="436">
        <v>185.80498987600001</v>
      </c>
      <c r="W7" s="859">
        <v>194.494995117</v>
      </c>
    </row>
    <row r="8" spans="1:23" ht="11.25" customHeight="1">
      <c r="A8" s="17"/>
      <c r="B8" s="161"/>
      <c r="C8" s="39"/>
      <c r="D8" s="162"/>
      <c r="E8" s="162"/>
      <c r="F8" s="70"/>
      <c r="G8" s="66"/>
      <c r="H8" s="66"/>
      <c r="I8" s="71"/>
      <c r="J8" s="4"/>
      <c r="K8" s="4"/>
      <c r="L8" s="12"/>
      <c r="N8" s="434">
        <v>3</v>
      </c>
      <c r="O8" s="435">
        <v>63.17599869</v>
      </c>
      <c r="P8" s="435">
        <v>67.130996699999997</v>
      </c>
      <c r="Q8" s="436">
        <v>106.65</v>
      </c>
      <c r="R8" s="859">
        <v>151.56199649999999</v>
      </c>
      <c r="S8" s="434">
        <v>3</v>
      </c>
      <c r="T8" s="435">
        <v>170.80799961000002</v>
      </c>
      <c r="U8" s="435">
        <v>232.83600043999999</v>
      </c>
      <c r="V8" s="436">
        <v>190.06000000000003</v>
      </c>
      <c r="W8" s="859">
        <v>212.15300178999999</v>
      </c>
    </row>
    <row r="9" spans="1:23" ht="11.25" customHeight="1">
      <c r="A9" s="17"/>
      <c r="B9" s="161"/>
      <c r="C9" s="39"/>
      <c r="D9" s="162"/>
      <c r="E9" s="162"/>
      <c r="F9" s="70"/>
      <c r="G9" s="66"/>
      <c r="H9" s="66"/>
      <c r="I9" s="71"/>
      <c r="J9" s="3"/>
      <c r="K9" s="6"/>
      <c r="L9" s="15"/>
      <c r="N9" s="434">
        <v>4</v>
      </c>
      <c r="O9" s="435">
        <v>113.2139969</v>
      </c>
      <c r="P9" s="435">
        <v>93.789001459999994</v>
      </c>
      <c r="Q9" s="436">
        <v>140.34500120000001</v>
      </c>
      <c r="R9" s="859">
        <v>167.9100037</v>
      </c>
      <c r="S9" s="434">
        <v>4</v>
      </c>
      <c r="T9" s="435">
        <v>186.385000214</v>
      </c>
      <c r="U9" s="435">
        <v>271.78000545999998</v>
      </c>
      <c r="V9" s="436">
        <v>198.06799936900001</v>
      </c>
      <c r="W9" s="859">
        <v>213.71899984999999</v>
      </c>
    </row>
    <row r="10" spans="1:23" ht="11.25" customHeight="1">
      <c r="A10" s="17"/>
      <c r="B10" s="161"/>
      <c r="C10" s="39"/>
      <c r="D10" s="162"/>
      <c r="E10" s="162"/>
      <c r="F10" s="70"/>
      <c r="G10" s="66"/>
      <c r="H10" s="66"/>
      <c r="I10" s="71"/>
      <c r="J10" s="3"/>
      <c r="K10" s="3"/>
      <c r="L10" s="15"/>
      <c r="N10" s="434">
        <v>5</v>
      </c>
      <c r="O10" s="435">
        <v>156.8220062</v>
      </c>
      <c r="P10" s="435">
        <v>111.01599880000001</v>
      </c>
      <c r="Q10" s="436">
        <v>186.18299870000001</v>
      </c>
      <c r="R10" s="859">
        <v>209.06850435244098</v>
      </c>
      <c r="S10" s="434">
        <v>5</v>
      </c>
      <c r="T10" s="435">
        <v>204.80799868699998</v>
      </c>
      <c r="U10" s="435">
        <v>269.07999802</v>
      </c>
      <c r="V10" s="436">
        <v>217.55805158600003</v>
      </c>
      <c r="W10" s="859">
        <v>219.56099320000001</v>
      </c>
    </row>
    <row r="11" spans="1:23" ht="11.25" customHeight="1">
      <c r="A11" s="17"/>
      <c r="B11" s="162"/>
      <c r="C11" s="39"/>
      <c r="D11" s="162"/>
      <c r="E11" s="162"/>
      <c r="F11" s="70"/>
      <c r="G11" s="66"/>
      <c r="H11" s="66"/>
      <c r="I11" s="71"/>
      <c r="J11" s="3"/>
      <c r="K11" s="3"/>
      <c r="L11" s="15"/>
      <c r="N11" s="434">
        <v>6</v>
      </c>
      <c r="O11" s="435">
        <v>168.8840027</v>
      </c>
      <c r="P11" s="435">
        <v>126.6029968</v>
      </c>
      <c r="Q11" s="436">
        <v>222.22</v>
      </c>
      <c r="R11" s="859">
        <v>250.22700500488199</v>
      </c>
      <c r="S11" s="434">
        <v>6</v>
      </c>
      <c r="T11" s="435">
        <v>201.82999366799999</v>
      </c>
      <c r="U11" s="435">
        <v>273.52000047000001</v>
      </c>
      <c r="V11" s="436">
        <v>279.10000000000002</v>
      </c>
      <c r="W11" s="859">
        <v>285.12099838256813</v>
      </c>
    </row>
    <row r="12" spans="1:23" ht="11.25" customHeight="1">
      <c r="A12" s="17"/>
      <c r="B12" s="162"/>
      <c r="C12" s="39"/>
      <c r="D12" s="162"/>
      <c r="E12" s="162"/>
      <c r="F12" s="70"/>
      <c r="G12" s="66"/>
      <c r="H12" s="66"/>
      <c r="I12" s="71"/>
      <c r="J12" s="3"/>
      <c r="K12" s="3"/>
      <c r="L12" s="15"/>
      <c r="N12" s="434">
        <v>7</v>
      </c>
      <c r="O12" s="435">
        <v>196.28300479999999</v>
      </c>
      <c r="P12" s="435">
        <v>135.7250061</v>
      </c>
      <c r="Q12" s="436">
        <v>277.02099609999999</v>
      </c>
      <c r="R12" s="859">
        <v>274.18798829999997</v>
      </c>
      <c r="S12" s="434">
        <v>7</v>
      </c>
      <c r="T12" s="435">
        <v>199.59600258</v>
      </c>
      <c r="U12" s="435">
        <v>302.63299941999998</v>
      </c>
      <c r="V12" s="436">
        <v>338.21854399</v>
      </c>
      <c r="W12" s="859">
        <v>329.34199910000001</v>
      </c>
    </row>
    <row r="13" spans="1:23" ht="11.25" customHeight="1">
      <c r="A13" s="17"/>
      <c r="B13" s="162"/>
      <c r="C13" s="39"/>
      <c r="D13" s="162"/>
      <c r="E13" s="162"/>
      <c r="F13" s="70"/>
      <c r="G13" s="66"/>
      <c r="H13" s="66"/>
      <c r="I13" s="71"/>
      <c r="J13" s="4"/>
      <c r="K13" s="4"/>
      <c r="L13" s="12"/>
      <c r="N13" s="434">
        <v>8</v>
      </c>
      <c r="O13" s="435">
        <v>230.18899540000001</v>
      </c>
      <c r="P13" s="435">
        <v>159.2149963</v>
      </c>
      <c r="Q13" s="436">
        <v>293.06698610000001</v>
      </c>
      <c r="R13" s="859">
        <v>291.3330078125</v>
      </c>
      <c r="S13" s="434">
        <v>8</v>
      </c>
      <c r="T13" s="435">
        <v>214.34299659800001</v>
      </c>
      <c r="U13" s="435">
        <v>328.23703</v>
      </c>
      <c r="V13" s="436">
        <v>388.64800643000001</v>
      </c>
      <c r="W13" s="859">
        <v>352.60932731628355</v>
      </c>
    </row>
    <row r="14" spans="1:23" ht="11.25" customHeight="1">
      <c r="A14" s="17"/>
      <c r="B14" s="162"/>
      <c r="C14" s="39"/>
      <c r="D14" s="162"/>
      <c r="E14" s="162"/>
      <c r="F14" s="70"/>
      <c r="G14" s="66"/>
      <c r="H14" s="66"/>
      <c r="I14" s="71"/>
      <c r="J14" s="3"/>
      <c r="K14" s="6"/>
      <c r="L14" s="15"/>
      <c r="N14" s="434">
        <v>9</v>
      </c>
      <c r="O14" s="435">
        <v>249.13000489999999</v>
      </c>
      <c r="P14" s="435">
        <v>186.18299870000001</v>
      </c>
      <c r="Q14" s="436">
        <v>294.29501340000002</v>
      </c>
      <c r="R14" s="859">
        <v>281.57400510000002</v>
      </c>
      <c r="S14" s="434">
        <v>9</v>
      </c>
      <c r="T14" s="435">
        <v>250.89400288000002</v>
      </c>
      <c r="U14" s="435">
        <v>343.54049999999995</v>
      </c>
      <c r="V14" s="436">
        <v>377.13099283000003</v>
      </c>
      <c r="W14" s="859">
        <v>377.95000650999998</v>
      </c>
    </row>
    <row r="15" spans="1:23" ht="11.25" customHeight="1">
      <c r="A15" s="17"/>
      <c r="B15" s="162"/>
      <c r="C15" s="39"/>
      <c r="D15" s="162"/>
      <c r="E15" s="162"/>
      <c r="F15" s="70"/>
      <c r="G15" s="66"/>
      <c r="H15" s="66"/>
      <c r="I15" s="71"/>
      <c r="J15" s="3"/>
      <c r="K15" s="6"/>
      <c r="L15" s="15"/>
      <c r="N15" s="434">
        <v>10</v>
      </c>
      <c r="O15" s="435">
        <v>311.77999999999997</v>
      </c>
      <c r="P15" s="435">
        <v>203.96099849999999</v>
      </c>
      <c r="Q15" s="436">
        <v>291.91101070000002</v>
      </c>
      <c r="R15" s="859">
        <v>277.58898929999998</v>
      </c>
      <c r="S15" s="434">
        <v>10</v>
      </c>
      <c r="T15" s="435">
        <v>298.99899296000001</v>
      </c>
      <c r="U15" s="435">
        <v>371.29100467000001</v>
      </c>
      <c r="V15" s="436">
        <v>385.62499995999997</v>
      </c>
      <c r="W15" s="859">
        <v>383.25900259000002</v>
      </c>
    </row>
    <row r="16" spans="1:23" ht="11.25" customHeight="1">
      <c r="A16" s="17"/>
      <c r="B16" s="162"/>
      <c r="C16" s="39"/>
      <c r="D16" s="162"/>
      <c r="E16" s="162"/>
      <c r="F16" s="70"/>
      <c r="G16" s="66"/>
      <c r="H16" s="66"/>
      <c r="I16" s="71"/>
      <c r="J16" s="3"/>
      <c r="K16" s="6"/>
      <c r="L16" s="15"/>
      <c r="N16" s="434">
        <v>11</v>
      </c>
      <c r="O16" s="435">
        <v>332.70800000000003</v>
      </c>
      <c r="P16" s="435">
        <v>230.18899540000001</v>
      </c>
      <c r="Q16" s="436">
        <v>301.204986572265</v>
      </c>
      <c r="R16" s="860">
        <v>288.4509888</v>
      </c>
      <c r="S16" s="434">
        <v>11</v>
      </c>
      <c r="T16" s="435">
        <v>321.03300188000003</v>
      </c>
      <c r="U16" s="435">
        <v>390.38299555999998</v>
      </c>
      <c r="V16" s="436">
        <v>389.38100242614604</v>
      </c>
      <c r="W16" s="859">
        <v>394.92200288000009</v>
      </c>
    </row>
    <row r="17" spans="1:23" ht="11.25" customHeight="1">
      <c r="A17" s="17"/>
      <c r="B17" s="162"/>
      <c r="C17" s="39"/>
      <c r="D17" s="162"/>
      <c r="E17" s="162"/>
      <c r="F17" s="70"/>
      <c r="G17" s="66"/>
      <c r="H17" s="66"/>
      <c r="I17" s="71"/>
      <c r="J17" s="3"/>
      <c r="K17" s="6"/>
      <c r="L17" s="15"/>
      <c r="N17" s="434">
        <v>12</v>
      </c>
      <c r="O17" s="435">
        <v>344.881012</v>
      </c>
      <c r="P17" s="435">
        <v>282.71701050000001</v>
      </c>
      <c r="Q17" s="436">
        <v>310.0090027</v>
      </c>
      <c r="R17" s="860">
        <v>295.38400268554602</v>
      </c>
      <c r="S17" s="434">
        <v>12</v>
      </c>
      <c r="T17" s="435">
        <v>332.34900279999999</v>
      </c>
      <c r="U17" s="435">
        <v>412.41217171999995</v>
      </c>
      <c r="V17" s="436">
        <v>386.27799791999996</v>
      </c>
      <c r="W17" s="859">
        <v>390.290998458861</v>
      </c>
    </row>
    <row r="18" spans="1:23" ht="11.25" customHeight="1">
      <c r="A18" s="17"/>
      <c r="B18" s="162"/>
      <c r="C18" s="39"/>
      <c r="D18" s="162"/>
      <c r="E18" s="162"/>
      <c r="F18" s="70"/>
      <c r="G18" s="66"/>
      <c r="H18" s="66"/>
      <c r="I18" s="71"/>
      <c r="J18" s="3"/>
      <c r="K18" s="6"/>
      <c r="L18" s="15"/>
      <c r="N18" s="434">
        <v>13</v>
      </c>
      <c r="O18" s="435">
        <v>338.77499390000003</v>
      </c>
      <c r="P18" s="435">
        <v>329.68899540000001</v>
      </c>
      <c r="Q18" s="436">
        <v>333.91799930000002</v>
      </c>
      <c r="R18" s="860">
        <v>303.54400634765602</v>
      </c>
      <c r="S18" s="434">
        <v>13</v>
      </c>
      <c r="T18" s="435">
        <v>366.02899361000004</v>
      </c>
      <c r="U18" s="435">
        <v>410.83199501000001</v>
      </c>
      <c r="V18" s="436">
        <v>388.98099517000003</v>
      </c>
      <c r="W18" s="859">
        <v>402.17499160766499</v>
      </c>
    </row>
    <row r="19" spans="1:23" ht="11.25" customHeight="1">
      <c r="A19" s="17"/>
      <c r="B19" s="162"/>
      <c r="C19" s="39"/>
      <c r="D19" s="162"/>
      <c r="E19" s="162"/>
      <c r="F19" s="70"/>
      <c r="G19" s="66"/>
      <c r="H19" s="66"/>
      <c r="I19" s="71"/>
      <c r="J19" s="3"/>
      <c r="K19" s="6"/>
      <c r="L19" s="15"/>
      <c r="N19" s="434">
        <v>14</v>
      </c>
      <c r="O19" s="435">
        <v>338.77999390000002</v>
      </c>
      <c r="P19" s="435">
        <v>329.68899540000001</v>
      </c>
      <c r="Q19" s="436">
        <v>335.73699950000002</v>
      </c>
      <c r="R19" s="437"/>
      <c r="S19" s="434">
        <v>14</v>
      </c>
      <c r="T19" s="435">
        <v>382.58400344</v>
      </c>
      <c r="U19" s="435">
        <v>403.70400233999999</v>
      </c>
      <c r="V19" s="436">
        <v>393.36499596000004</v>
      </c>
    </row>
    <row r="20" spans="1:23" ht="11.25" customHeight="1">
      <c r="A20" s="17"/>
      <c r="B20" s="162"/>
      <c r="C20" s="39"/>
      <c r="D20" s="162"/>
      <c r="E20" s="162"/>
      <c r="F20" s="70"/>
      <c r="G20" s="66"/>
      <c r="H20" s="66"/>
      <c r="I20" s="71"/>
      <c r="J20" s="3"/>
      <c r="K20" s="6"/>
      <c r="L20" s="15"/>
      <c r="N20" s="434">
        <v>15</v>
      </c>
      <c r="O20" s="435">
        <v>347.94900510000002</v>
      </c>
      <c r="P20" s="435">
        <v>326.67999270000001</v>
      </c>
      <c r="Q20" s="436">
        <v>335.73699950000002</v>
      </c>
      <c r="R20" s="437"/>
      <c r="S20" s="434">
        <v>15</v>
      </c>
      <c r="T20" s="435">
        <v>385.29699126999998</v>
      </c>
      <c r="U20" s="435">
        <v>399.27400204999998</v>
      </c>
      <c r="V20" s="436">
        <v>385.77799804</v>
      </c>
    </row>
    <row r="21" spans="1:23" ht="11.25" customHeight="1">
      <c r="A21" s="17"/>
      <c r="B21" s="162"/>
      <c r="C21" s="39"/>
      <c r="D21" s="162"/>
      <c r="E21" s="162"/>
      <c r="F21" s="70"/>
      <c r="G21" s="66"/>
      <c r="H21" s="66"/>
      <c r="I21" s="71"/>
      <c r="J21" s="3"/>
      <c r="K21" s="7"/>
      <c r="L21" s="16"/>
      <c r="N21" s="434">
        <v>16</v>
      </c>
      <c r="O21" s="435">
        <v>354.11401369999999</v>
      </c>
      <c r="P21" s="435">
        <v>314.7409973</v>
      </c>
      <c r="Q21" s="436">
        <v>335.73699950000002</v>
      </c>
      <c r="R21" s="437"/>
      <c r="S21" s="434">
        <v>16</v>
      </c>
      <c r="T21" s="435">
        <v>384.95899003</v>
      </c>
      <c r="U21" s="435">
        <v>394.58499913000003</v>
      </c>
      <c r="V21" s="436">
        <v>385.72399323999997</v>
      </c>
    </row>
    <row r="22" spans="1:23" ht="11.25" customHeight="1">
      <c r="A22" s="77"/>
      <c r="B22" s="162"/>
      <c r="C22" s="39"/>
      <c r="D22" s="162"/>
      <c r="E22" s="162"/>
      <c r="F22" s="70"/>
      <c r="G22" s="66"/>
      <c r="H22" s="66"/>
      <c r="I22" s="71"/>
      <c r="J22" s="3"/>
      <c r="K22" s="6"/>
      <c r="L22" s="15"/>
      <c r="N22" s="434">
        <v>17</v>
      </c>
      <c r="O22" s="435">
        <v>351.02700809999999</v>
      </c>
      <c r="P22" s="435">
        <v>305.89001459999997</v>
      </c>
      <c r="Q22" s="436">
        <v>335.73699950000002</v>
      </c>
      <c r="R22" s="437"/>
      <c r="S22" s="434">
        <v>17</v>
      </c>
      <c r="T22" s="435">
        <v>381.86699488000005</v>
      </c>
      <c r="U22" s="435">
        <v>392.29800030000007</v>
      </c>
      <c r="V22" s="436">
        <v>388.74200823000001</v>
      </c>
    </row>
    <row r="23" spans="1:23" ht="11.25" customHeight="1">
      <c r="A23" s="77"/>
      <c r="B23" s="162"/>
      <c r="C23" s="39"/>
      <c r="D23" s="162"/>
      <c r="E23" s="162"/>
      <c r="F23" s="70"/>
      <c r="G23" s="66"/>
      <c r="H23" s="66"/>
      <c r="I23" s="71"/>
      <c r="J23" s="3"/>
      <c r="K23" s="6"/>
      <c r="L23" s="15"/>
      <c r="N23" s="434">
        <v>18</v>
      </c>
      <c r="O23" s="435">
        <v>354.11401369999999</v>
      </c>
      <c r="P23" s="435">
        <v>314.7409973</v>
      </c>
      <c r="Q23" s="436">
        <v>335.73699950000002</v>
      </c>
      <c r="R23" s="437"/>
      <c r="S23" s="434">
        <v>18</v>
      </c>
      <c r="T23" s="435">
        <v>382.77999115</v>
      </c>
      <c r="U23" s="435">
        <v>390.15600400999995</v>
      </c>
      <c r="V23" s="436">
        <v>386.49800113000003</v>
      </c>
    </row>
    <row r="24" spans="1:23" ht="11.25" customHeight="1">
      <c r="A24" s="77"/>
      <c r="B24" s="162"/>
      <c r="C24" s="39"/>
      <c r="D24" s="162"/>
      <c r="E24" s="162"/>
      <c r="F24" s="70"/>
      <c r="G24" s="66"/>
      <c r="H24" s="66"/>
      <c r="I24" s="71"/>
      <c r="J24" s="6"/>
      <c r="K24" s="6"/>
      <c r="L24" s="15"/>
      <c r="N24" s="434">
        <v>19</v>
      </c>
      <c r="O24" s="435">
        <v>363.43499759999997</v>
      </c>
      <c r="P24" s="435">
        <v>314.7409973</v>
      </c>
      <c r="Q24" s="436">
        <v>314.7409973</v>
      </c>
      <c r="R24" s="437"/>
      <c r="S24" s="434">
        <v>19</v>
      </c>
      <c r="T24" s="435">
        <v>381.91700169999996</v>
      </c>
      <c r="U24" s="435">
        <v>386.47099490999994</v>
      </c>
      <c r="V24" s="436">
        <v>384.38200000000001</v>
      </c>
    </row>
    <row r="25" spans="1:23" ht="11.25" customHeight="1">
      <c r="A25" s="272" t="s">
        <v>497</v>
      </c>
      <c r="B25" s="162"/>
      <c r="C25" s="39"/>
      <c r="D25" s="162"/>
      <c r="E25" s="162"/>
      <c r="F25" s="70"/>
      <c r="G25" s="66"/>
      <c r="H25" s="66"/>
      <c r="I25" s="71"/>
      <c r="J25" s="3"/>
      <c r="K25" s="7"/>
      <c r="L25" s="16"/>
      <c r="N25" s="734">
        <v>20</v>
      </c>
      <c r="O25" s="735">
        <v>366.56100459999999</v>
      </c>
      <c r="P25" s="735">
        <v>314.7409973</v>
      </c>
      <c r="Q25" s="736">
        <v>315.3340149</v>
      </c>
      <c r="R25" s="737"/>
      <c r="S25" s="434">
        <v>20</v>
      </c>
      <c r="T25" s="435">
        <v>379.35699083999998</v>
      </c>
      <c r="U25" s="435">
        <v>382.00799562999993</v>
      </c>
      <c r="V25" s="436">
        <v>381.56399727000002</v>
      </c>
      <c r="W25" s="739"/>
    </row>
    <row r="26" spans="1:23" ht="11.25" customHeight="1">
      <c r="A26" s="54"/>
      <c r="B26" s="162"/>
      <c r="C26" s="39"/>
      <c r="D26" s="162"/>
      <c r="E26" s="162"/>
      <c r="F26" s="70"/>
      <c r="G26" s="66"/>
      <c r="H26" s="66"/>
      <c r="I26" s="71"/>
      <c r="J26" s="4"/>
      <c r="K26" s="6"/>
      <c r="L26" s="15"/>
      <c r="N26" s="434">
        <v>21</v>
      </c>
      <c r="O26" s="435">
        <v>357.21099850000002</v>
      </c>
      <c r="P26" s="435">
        <v>314.7409973</v>
      </c>
      <c r="Q26" s="436">
        <v>311.78100590000003</v>
      </c>
      <c r="R26" s="738"/>
      <c r="S26" s="434">
        <v>21</v>
      </c>
      <c r="T26" s="435">
        <v>375.59600258</v>
      </c>
      <c r="U26" s="435">
        <v>378.52099610999994</v>
      </c>
      <c r="V26" s="436">
        <v>376.47088237999998</v>
      </c>
    </row>
    <row r="27" spans="1:23" ht="11.25" customHeight="1">
      <c r="A27" s="77"/>
      <c r="B27" s="162"/>
      <c r="C27" s="39"/>
      <c r="D27" s="162"/>
      <c r="E27" s="162"/>
      <c r="F27" s="73"/>
      <c r="G27" s="73"/>
      <c r="H27" s="73"/>
      <c r="I27" s="73"/>
      <c r="J27" s="4"/>
      <c r="K27" s="6"/>
      <c r="L27" s="15"/>
      <c r="N27" s="434">
        <v>22</v>
      </c>
      <c r="O27" s="435">
        <v>341.82</v>
      </c>
      <c r="P27" s="435">
        <v>311.78100590000003</v>
      </c>
      <c r="Q27" s="436">
        <v>310.60000609999997</v>
      </c>
      <c r="R27" s="738"/>
      <c r="S27" s="434">
        <v>22</v>
      </c>
      <c r="T27" s="435">
        <v>373.52000000000004</v>
      </c>
      <c r="U27" s="435">
        <v>375.20999716</v>
      </c>
      <c r="V27" s="436">
        <v>370.73099807</v>
      </c>
    </row>
    <row r="28" spans="1:23" ht="11.25" customHeight="1">
      <c r="A28" s="77"/>
      <c r="B28" s="162"/>
      <c r="C28" s="39"/>
      <c r="D28" s="162"/>
      <c r="E28" s="162"/>
      <c r="F28" s="73"/>
      <c r="G28" s="73"/>
      <c r="H28" s="73"/>
      <c r="I28" s="73"/>
      <c r="J28" s="4"/>
      <c r="K28" s="6"/>
      <c r="L28" s="15"/>
      <c r="N28" s="434">
        <v>23</v>
      </c>
      <c r="O28" s="435">
        <v>326.67999270000001</v>
      </c>
      <c r="P28" s="435">
        <v>308.82998659999998</v>
      </c>
      <c r="Q28" s="436">
        <v>307.06500240000003</v>
      </c>
      <c r="R28" s="738"/>
      <c r="S28" s="434">
        <v>23</v>
      </c>
      <c r="T28" s="435">
        <v>369.22100255000004</v>
      </c>
      <c r="U28" s="435">
        <v>374.07600211999994</v>
      </c>
      <c r="V28" s="436">
        <v>363.24299430999997</v>
      </c>
    </row>
    <row r="29" spans="1:23" ht="11.25" customHeight="1">
      <c r="A29" s="77"/>
      <c r="B29" s="162"/>
      <c r="C29" s="39"/>
      <c r="D29" s="162"/>
      <c r="E29" s="162"/>
      <c r="F29" s="73"/>
      <c r="G29" s="73"/>
      <c r="H29" s="73"/>
      <c r="I29" s="73"/>
      <c r="J29" s="4"/>
      <c r="K29" s="6"/>
      <c r="L29" s="15"/>
      <c r="N29" s="434">
        <v>24</v>
      </c>
      <c r="O29" s="435">
        <v>308.82998659999998</v>
      </c>
      <c r="P29" s="435">
        <v>300.0379944</v>
      </c>
      <c r="Q29" s="436">
        <v>302.9590149</v>
      </c>
      <c r="R29" s="738"/>
      <c r="S29" s="434">
        <v>24</v>
      </c>
      <c r="T29" s="435">
        <v>364.44200138999997</v>
      </c>
      <c r="U29" s="435">
        <v>370.89200402</v>
      </c>
      <c r="V29" s="436">
        <v>357.21200376000002</v>
      </c>
    </row>
    <row r="30" spans="1:23" ht="11.25" customHeight="1">
      <c r="A30" s="74"/>
      <c r="B30" s="73"/>
      <c r="C30" s="73"/>
      <c r="D30" s="73"/>
      <c r="E30" s="73"/>
      <c r="F30" s="73"/>
      <c r="G30" s="73"/>
      <c r="H30" s="73"/>
      <c r="I30" s="73"/>
      <c r="J30" s="3"/>
      <c r="K30" s="6"/>
      <c r="L30" s="15"/>
      <c r="N30" s="434">
        <v>25</v>
      </c>
      <c r="O30" s="435">
        <v>291.33300780000002</v>
      </c>
      <c r="P30" s="435">
        <v>294.22500609999997</v>
      </c>
      <c r="Q30" s="436">
        <v>300.0379944</v>
      </c>
      <c r="R30" s="738"/>
      <c r="S30" s="434">
        <v>25</v>
      </c>
      <c r="T30" s="435">
        <v>359.61999897999999</v>
      </c>
      <c r="U30" s="435">
        <v>366.71700096999996</v>
      </c>
      <c r="V30" s="436">
        <v>352.1909981</v>
      </c>
    </row>
    <row r="31" spans="1:23" ht="11.25" customHeight="1">
      <c r="A31" s="74"/>
      <c r="B31" s="73"/>
      <c r="C31" s="73"/>
      <c r="D31" s="73"/>
      <c r="E31" s="73"/>
      <c r="F31" s="73"/>
      <c r="G31" s="73"/>
      <c r="H31" s="73"/>
      <c r="I31" s="73"/>
      <c r="J31" s="3"/>
      <c r="K31" s="6"/>
      <c r="L31" s="15"/>
      <c r="N31" s="434">
        <v>26</v>
      </c>
      <c r="O31" s="435">
        <v>268.55099489999998</v>
      </c>
      <c r="P31" s="435">
        <v>282.71701050000001</v>
      </c>
      <c r="Q31" s="436">
        <v>296.06698610000001</v>
      </c>
      <c r="R31" s="738"/>
      <c r="S31" s="434">
        <v>26</v>
      </c>
      <c r="T31" s="435">
        <v>354.77499773999995</v>
      </c>
      <c r="U31" s="435">
        <v>361.43599508999995</v>
      </c>
      <c r="V31" s="436">
        <v>346.62612917400003</v>
      </c>
    </row>
    <row r="32" spans="1:23" ht="11.25" customHeight="1">
      <c r="A32" s="74"/>
      <c r="B32" s="73"/>
      <c r="C32" s="73"/>
      <c r="D32" s="73"/>
      <c r="E32" s="73"/>
      <c r="F32" s="73"/>
      <c r="G32" s="73"/>
      <c r="H32" s="73"/>
      <c r="I32" s="73"/>
      <c r="J32" s="3"/>
      <c r="K32" s="6"/>
      <c r="L32" s="15"/>
      <c r="N32" s="434">
        <v>27</v>
      </c>
      <c r="O32" s="435">
        <v>265.7470093</v>
      </c>
      <c r="P32" s="435">
        <v>271.36</v>
      </c>
      <c r="Q32" s="436">
        <v>275.89</v>
      </c>
      <c r="R32" s="738"/>
      <c r="S32" s="434">
        <v>27</v>
      </c>
      <c r="T32" s="435">
        <v>349.77999684000002</v>
      </c>
      <c r="U32" s="435">
        <v>355.34</v>
      </c>
      <c r="V32" s="436">
        <v>341.25900444999996</v>
      </c>
    </row>
    <row r="33" spans="1:22" ht="11.25" customHeight="1">
      <c r="A33" s="74"/>
      <c r="B33" s="73"/>
      <c r="C33" s="73"/>
      <c r="D33" s="73"/>
      <c r="E33" s="73"/>
      <c r="F33" s="73"/>
      <c r="G33" s="73"/>
      <c r="H33" s="73"/>
      <c r="I33" s="73"/>
      <c r="J33" s="3"/>
      <c r="K33" s="6"/>
      <c r="L33" s="15"/>
      <c r="N33" s="434">
        <v>28</v>
      </c>
      <c r="O33" s="435">
        <v>243.66999820000001</v>
      </c>
      <c r="P33" s="438">
        <v>260.16900629999998</v>
      </c>
      <c r="Q33" s="436">
        <v>248.58200070000001</v>
      </c>
      <c r="R33" s="738"/>
      <c r="S33" s="434">
        <v>28</v>
      </c>
      <c r="T33" s="435">
        <v>344.32400322999996</v>
      </c>
      <c r="U33" s="435">
        <v>349.01599981000004</v>
      </c>
      <c r="V33" s="436">
        <v>337.18899436699996</v>
      </c>
    </row>
    <row r="34" spans="1:22" ht="11.25" customHeight="1">
      <c r="A34" s="74"/>
      <c r="B34" s="73"/>
      <c r="C34" s="73"/>
      <c r="D34" s="73"/>
      <c r="E34" s="73"/>
      <c r="F34" s="73"/>
      <c r="G34" s="73"/>
      <c r="H34" s="73"/>
      <c r="I34" s="73"/>
      <c r="J34" s="3"/>
      <c r="K34" s="6"/>
      <c r="L34" s="15"/>
      <c r="N34" s="434">
        <v>29</v>
      </c>
      <c r="O34" s="435">
        <v>227.5220032</v>
      </c>
      <c r="P34" s="435">
        <v>251.88</v>
      </c>
      <c r="Q34" s="436">
        <v>238.787994384765</v>
      </c>
      <c r="R34" s="738"/>
      <c r="S34" s="434">
        <v>29</v>
      </c>
      <c r="T34" s="435">
        <v>338.60699847999996</v>
      </c>
      <c r="U34" s="435">
        <v>343.97999999999996</v>
      </c>
      <c r="V34" s="436">
        <v>333.50600986443789</v>
      </c>
    </row>
    <row r="35" spans="1:22" ht="11.25" customHeight="1">
      <c r="A35" s="74"/>
      <c r="B35" s="73"/>
      <c r="C35" s="73"/>
      <c r="D35" s="73"/>
      <c r="E35" s="73"/>
      <c r="F35" s="73"/>
      <c r="G35" s="73"/>
      <c r="H35" s="73"/>
      <c r="I35" s="73"/>
      <c r="J35" s="6"/>
      <c r="K35" s="6"/>
      <c r="L35" s="15"/>
      <c r="N35" s="434">
        <v>30</v>
      </c>
      <c r="O35" s="435">
        <v>216.95199579999999</v>
      </c>
      <c r="P35" s="435">
        <v>232.8650055</v>
      </c>
      <c r="Q35" s="436">
        <v>229.12</v>
      </c>
      <c r="R35" s="738"/>
      <c r="S35" s="434">
        <v>30</v>
      </c>
      <c r="T35" s="435">
        <v>332.49400331000004</v>
      </c>
      <c r="U35" s="435">
        <v>342.06599807739167</v>
      </c>
      <c r="V35" s="436">
        <v>324.04999999999995</v>
      </c>
    </row>
    <row r="36" spans="1:22" ht="11.25" customHeight="1">
      <c r="A36" s="74"/>
      <c r="B36" s="73"/>
      <c r="C36" s="73"/>
      <c r="D36" s="73"/>
      <c r="E36" s="73"/>
      <c r="F36" s="73"/>
      <c r="G36" s="73"/>
      <c r="H36" s="73"/>
      <c r="I36" s="73"/>
      <c r="J36" s="3"/>
      <c r="K36" s="6"/>
      <c r="L36" s="15"/>
      <c r="N36" s="434">
        <v>31</v>
      </c>
      <c r="O36" s="435">
        <v>209.128006</v>
      </c>
      <c r="P36" s="435">
        <v>211.726</v>
      </c>
      <c r="Q36" s="436">
        <v>219.05400090000001</v>
      </c>
      <c r="R36" s="738"/>
      <c r="S36" s="434">
        <v>31</v>
      </c>
      <c r="T36" s="435">
        <v>324</v>
      </c>
      <c r="U36" s="435">
        <v>335.23199999999997</v>
      </c>
      <c r="V36" s="436">
        <v>318.10600236499999</v>
      </c>
    </row>
    <row r="37" spans="1:22" ht="11.25" customHeight="1">
      <c r="A37" s="74"/>
      <c r="B37" s="73"/>
      <c r="C37" s="73"/>
      <c r="D37" s="73"/>
      <c r="E37" s="73"/>
      <c r="F37" s="73"/>
      <c r="G37" s="73"/>
      <c r="H37" s="73"/>
      <c r="I37" s="73"/>
      <c r="J37" s="3"/>
      <c r="K37" s="10"/>
      <c r="L37" s="15"/>
      <c r="N37" s="434">
        <v>32</v>
      </c>
      <c r="O37" s="435">
        <v>198.83200070000001</v>
      </c>
      <c r="P37" s="435">
        <v>181.19200129999999</v>
      </c>
      <c r="Q37" s="436">
        <v>209.128006</v>
      </c>
      <c r="R37" s="437"/>
      <c r="S37" s="434">
        <v>32</v>
      </c>
      <c r="T37" s="435">
        <v>320.73399734000003</v>
      </c>
      <c r="U37" s="435">
        <v>329.56800555999996</v>
      </c>
      <c r="V37" s="436">
        <v>312.078003352</v>
      </c>
    </row>
    <row r="38" spans="1:22" ht="11.25" customHeight="1">
      <c r="A38" s="74"/>
      <c r="B38" s="73"/>
      <c r="C38" s="73"/>
      <c r="D38" s="73"/>
      <c r="E38" s="73"/>
      <c r="F38" s="73"/>
      <c r="G38" s="73"/>
      <c r="H38" s="73"/>
      <c r="I38" s="73"/>
      <c r="J38" s="3"/>
      <c r="K38" s="10"/>
      <c r="L38" s="38"/>
      <c r="N38" s="434">
        <v>33</v>
      </c>
      <c r="O38" s="435">
        <v>188.69299319999999</v>
      </c>
      <c r="P38" s="435">
        <v>152.0650024</v>
      </c>
      <c r="Q38" s="436">
        <v>199.85499569999999</v>
      </c>
      <c r="R38" s="437"/>
      <c r="S38" s="434">
        <v>33</v>
      </c>
      <c r="T38" s="435">
        <v>314.19900131999998</v>
      </c>
      <c r="U38" s="435">
        <v>323.79099748000004</v>
      </c>
      <c r="V38" s="436">
        <v>312.078003352</v>
      </c>
    </row>
    <row r="39" spans="1:22" ht="11.25" customHeight="1">
      <c r="A39" s="74"/>
      <c r="B39" s="73"/>
      <c r="C39" s="73"/>
      <c r="D39" s="73"/>
      <c r="E39" s="73"/>
      <c r="F39" s="73"/>
      <c r="G39" s="73"/>
      <c r="H39" s="73"/>
      <c r="I39" s="73"/>
      <c r="J39" s="3"/>
      <c r="K39" s="7"/>
      <c r="L39" s="15"/>
      <c r="N39" s="434">
        <v>34</v>
      </c>
      <c r="O39" s="435">
        <v>183.68200680000001</v>
      </c>
      <c r="P39" s="435">
        <v>156.8220062</v>
      </c>
      <c r="Q39" s="436">
        <v>188.69299319999999</v>
      </c>
      <c r="R39" s="437"/>
      <c r="S39" s="434">
        <v>34</v>
      </c>
      <c r="T39" s="435">
        <v>307.85200500000002</v>
      </c>
      <c r="U39" s="435">
        <v>317.64699750999995</v>
      </c>
      <c r="V39" s="436">
        <v>299.58200316099999</v>
      </c>
    </row>
    <row r="40" spans="1:22" ht="11.25" customHeight="1">
      <c r="A40" s="74"/>
      <c r="B40" s="73"/>
      <c r="C40" s="73"/>
      <c r="D40" s="73"/>
      <c r="E40" s="73"/>
      <c r="F40" s="73"/>
      <c r="G40" s="73"/>
      <c r="H40" s="73"/>
      <c r="I40" s="73"/>
      <c r="J40" s="3"/>
      <c r="K40" s="7"/>
      <c r="L40" s="15"/>
      <c r="N40" s="434">
        <v>35</v>
      </c>
      <c r="O40" s="435">
        <v>176.23899840000001</v>
      </c>
      <c r="P40" s="439">
        <v>156.82</v>
      </c>
      <c r="Q40" s="436">
        <v>177.72099299999999</v>
      </c>
      <c r="R40" s="437"/>
      <c r="S40" s="434">
        <v>35</v>
      </c>
      <c r="T40" s="435">
        <v>300.83900069999999</v>
      </c>
      <c r="U40" s="435">
        <v>311.42</v>
      </c>
      <c r="V40" s="436">
        <v>292.71899843200003</v>
      </c>
    </row>
    <row r="41" spans="1:22" ht="11.25" customHeight="1">
      <c r="A41" s="74"/>
      <c r="B41" s="73"/>
      <c r="C41" s="73"/>
      <c r="D41" s="73"/>
      <c r="E41" s="73"/>
      <c r="F41" s="73"/>
      <c r="G41" s="73"/>
      <c r="H41" s="73"/>
      <c r="I41" s="73"/>
      <c r="J41" s="3"/>
      <c r="K41" s="7"/>
      <c r="L41" s="15"/>
      <c r="N41" s="434">
        <v>36</v>
      </c>
      <c r="O41" s="435">
        <v>168.8840027</v>
      </c>
      <c r="P41" s="439">
        <v>159.21</v>
      </c>
      <c r="Q41" s="436">
        <v>164.99800110000001</v>
      </c>
      <c r="R41" s="437"/>
      <c r="S41" s="434">
        <v>36</v>
      </c>
      <c r="T41" s="435">
        <v>293.46100233999999</v>
      </c>
      <c r="U41" s="435">
        <v>305.20999999999998</v>
      </c>
      <c r="V41" s="436">
        <v>286.64699412499999</v>
      </c>
    </row>
    <row r="42" spans="1:22" ht="11.25" customHeight="1">
      <c r="A42" s="74"/>
      <c r="B42" s="73"/>
      <c r="C42" s="73"/>
      <c r="D42" s="73"/>
      <c r="E42" s="73"/>
      <c r="F42" s="73"/>
      <c r="G42" s="73"/>
      <c r="H42" s="73"/>
      <c r="I42" s="73"/>
      <c r="J42" s="6"/>
      <c r="K42" s="10"/>
      <c r="L42" s="15"/>
      <c r="N42" s="434">
        <v>37</v>
      </c>
      <c r="O42" s="435">
        <v>159.2149963</v>
      </c>
      <c r="P42" s="439">
        <v>159.2149963</v>
      </c>
      <c r="Q42" s="436">
        <v>154.53400055</v>
      </c>
      <c r="R42" s="437"/>
      <c r="S42" s="434">
        <v>37</v>
      </c>
      <c r="T42" s="435">
        <v>287.76599501999999</v>
      </c>
      <c r="U42" s="435">
        <v>299.17000225600003</v>
      </c>
      <c r="V42" s="436">
        <v>280.605003845</v>
      </c>
    </row>
    <row r="43" spans="1:22" ht="11.25" customHeight="1">
      <c r="A43" s="74"/>
      <c r="B43" s="73"/>
      <c r="C43" s="73"/>
      <c r="D43" s="73"/>
      <c r="E43" s="73"/>
      <c r="F43" s="73"/>
      <c r="G43" s="73"/>
      <c r="H43" s="73"/>
      <c r="I43" s="73"/>
      <c r="J43" s="3"/>
      <c r="K43" s="10"/>
      <c r="L43" s="15"/>
      <c r="N43" s="434">
        <v>38</v>
      </c>
      <c r="O43" s="435">
        <v>149.70199579999999</v>
      </c>
      <c r="P43" s="439">
        <v>149.70199579999999</v>
      </c>
      <c r="Q43" s="436">
        <v>144.07</v>
      </c>
      <c r="R43" s="437"/>
      <c r="S43" s="434">
        <v>38</v>
      </c>
      <c r="T43" s="435">
        <v>282.07300377000001</v>
      </c>
      <c r="U43" s="435">
        <v>292.45899891799996</v>
      </c>
      <c r="V43" s="436">
        <v>274.21999999999997</v>
      </c>
    </row>
    <row r="44" spans="1:22" ht="11.25" customHeight="1">
      <c r="A44" s="74"/>
      <c r="B44" s="73"/>
      <c r="C44" s="73"/>
      <c r="D44" s="73"/>
      <c r="E44" s="73"/>
      <c r="F44" s="73"/>
      <c r="G44" s="73"/>
      <c r="H44" s="73"/>
      <c r="I44" s="73"/>
      <c r="J44" s="3"/>
      <c r="K44" s="10"/>
      <c r="L44" s="15"/>
      <c r="N44" s="434">
        <v>39</v>
      </c>
      <c r="O44" s="435">
        <v>138.02999879999999</v>
      </c>
      <c r="P44" s="439">
        <v>117.6380005</v>
      </c>
      <c r="Q44" s="436">
        <v>135.725006103515</v>
      </c>
      <c r="R44" s="437"/>
      <c r="S44" s="434">
        <v>39</v>
      </c>
      <c r="T44" s="435">
        <v>275.53000069000001</v>
      </c>
      <c r="U44" s="435">
        <v>286.11999916000002</v>
      </c>
      <c r="V44" s="436">
        <v>267.58499765396107</v>
      </c>
    </row>
    <row r="45" spans="1:22" ht="11.25" customHeight="1">
      <c r="A45" s="74"/>
      <c r="B45" s="73"/>
      <c r="C45" s="73"/>
      <c r="D45" s="73"/>
      <c r="E45" s="73"/>
      <c r="F45" s="73"/>
      <c r="G45" s="73"/>
      <c r="H45" s="73"/>
      <c r="I45" s="73"/>
      <c r="J45" s="11"/>
      <c r="K45" s="11"/>
      <c r="L45" s="11"/>
      <c r="N45" s="434">
        <v>40</v>
      </c>
      <c r="O45" s="435">
        <v>131.14500430000001</v>
      </c>
      <c r="P45" s="435">
        <v>91.680000309999997</v>
      </c>
      <c r="Q45" s="436">
        <v>127.0559998</v>
      </c>
      <c r="R45" s="437"/>
      <c r="S45" s="434">
        <v>40</v>
      </c>
      <c r="T45" s="435">
        <v>268.25699615000002</v>
      </c>
      <c r="U45" s="435">
        <v>278.57999837699998</v>
      </c>
      <c r="V45" s="436">
        <v>260.96199703900004</v>
      </c>
    </row>
    <row r="46" spans="1:22" ht="11.25" customHeight="1">
      <c r="A46" s="74"/>
      <c r="B46" s="73"/>
      <c r="C46" s="73"/>
      <c r="D46" s="73"/>
      <c r="E46" s="73"/>
      <c r="F46" s="73"/>
      <c r="G46" s="73"/>
      <c r="H46" s="73"/>
      <c r="I46" s="73"/>
      <c r="J46" s="11"/>
      <c r="K46" s="11"/>
      <c r="L46" s="11"/>
      <c r="N46" s="434">
        <v>41</v>
      </c>
      <c r="O46" s="435">
        <v>108.82900239999999</v>
      </c>
      <c r="P46" s="435">
        <v>71.125</v>
      </c>
      <c r="Q46" s="436">
        <v>110.13999939999999</v>
      </c>
      <c r="R46" s="437"/>
      <c r="S46" s="434">
        <v>41</v>
      </c>
      <c r="T46" s="435">
        <v>261.21399689000003</v>
      </c>
      <c r="U46" s="435">
        <v>271.23250496387476</v>
      </c>
      <c r="V46" s="436">
        <v>253.29600046600001</v>
      </c>
    </row>
    <row r="47" spans="1:22" ht="11.25" customHeight="1">
      <c r="A47" s="74"/>
      <c r="B47" s="73"/>
      <c r="C47" s="73"/>
      <c r="D47" s="73"/>
      <c r="E47" s="73"/>
      <c r="F47" s="73"/>
      <c r="G47" s="73"/>
      <c r="H47" s="73"/>
      <c r="I47" s="73"/>
      <c r="J47" s="11"/>
      <c r="K47" s="11"/>
      <c r="L47" s="11"/>
      <c r="N47" s="434">
        <v>42</v>
      </c>
      <c r="O47" s="435">
        <v>95.908996579999993</v>
      </c>
      <c r="P47" s="435">
        <v>59.261001586913999</v>
      </c>
      <c r="Q47" s="436">
        <v>100.61</v>
      </c>
      <c r="R47" s="437"/>
      <c r="S47" s="434">
        <v>42</v>
      </c>
      <c r="T47" s="435">
        <v>255.58900451</v>
      </c>
      <c r="U47" s="435">
        <v>256.27199935913058</v>
      </c>
      <c r="V47" s="436">
        <v>246.06</v>
      </c>
    </row>
    <row r="48" spans="1:22" ht="11.25" customHeight="1">
      <c r="A48" s="74"/>
      <c r="B48" s="73"/>
      <c r="C48" s="73"/>
      <c r="D48" s="73"/>
      <c r="E48" s="73"/>
      <c r="F48" s="73"/>
      <c r="G48" s="73"/>
      <c r="H48" s="73"/>
      <c r="I48" s="73"/>
      <c r="J48" s="11"/>
      <c r="K48" s="11"/>
      <c r="L48" s="11"/>
      <c r="N48" s="434">
        <v>43</v>
      </c>
      <c r="O48" s="435">
        <v>83.341003420000007</v>
      </c>
      <c r="P48" s="435">
        <v>47.749000549316399</v>
      </c>
      <c r="Q48" s="436">
        <v>95.484001160000005</v>
      </c>
      <c r="R48" s="437"/>
      <c r="S48" s="434">
        <v>43</v>
      </c>
      <c r="T48" s="435">
        <v>249.85500335</v>
      </c>
      <c r="U48" s="435">
        <v>249.67099761962871</v>
      </c>
      <c r="V48" s="436">
        <v>241.02699661899999</v>
      </c>
    </row>
    <row r="49" spans="1:22" ht="11.25" customHeight="1">
      <c r="A49" s="74"/>
      <c r="B49" s="73"/>
      <c r="C49" s="73"/>
      <c r="D49" s="73"/>
      <c r="E49" s="73"/>
      <c r="F49" s="73"/>
      <c r="G49" s="73"/>
      <c r="H49" s="73"/>
      <c r="I49" s="73"/>
      <c r="J49" s="11"/>
      <c r="K49" s="11"/>
      <c r="L49" s="11"/>
      <c r="N49" s="434">
        <v>44</v>
      </c>
      <c r="O49" s="435">
        <v>75.16</v>
      </c>
      <c r="P49" s="435">
        <v>38.424999239999998</v>
      </c>
      <c r="Q49" s="436">
        <v>89.581001279999995</v>
      </c>
      <c r="R49" s="437"/>
      <c r="S49" s="434">
        <v>44</v>
      </c>
      <c r="T49" s="435">
        <v>242.79000000000002</v>
      </c>
      <c r="U49" s="435">
        <v>249.67099761962871</v>
      </c>
      <c r="V49" s="436">
        <v>234.19399833099999</v>
      </c>
    </row>
    <row r="50" spans="1:22" ht="12.75">
      <c r="A50" s="74"/>
      <c r="B50" s="73"/>
      <c r="C50" s="73"/>
      <c r="D50" s="73"/>
      <c r="E50" s="73"/>
      <c r="F50" s="73"/>
      <c r="G50" s="73"/>
      <c r="H50" s="73"/>
      <c r="I50" s="73"/>
      <c r="J50" s="11"/>
      <c r="K50" s="11"/>
      <c r="L50" s="11"/>
      <c r="N50" s="434">
        <v>45</v>
      </c>
      <c r="O50" s="435">
        <v>65.149002080000002</v>
      </c>
      <c r="P50" s="435">
        <v>31.142000199999998</v>
      </c>
      <c r="Q50" s="436">
        <v>79.638999940000005</v>
      </c>
      <c r="R50" s="437"/>
      <c r="S50" s="434">
        <v>45</v>
      </c>
      <c r="T50" s="435">
        <v>235.60499572000001</v>
      </c>
      <c r="U50" s="435">
        <v>243.378839739</v>
      </c>
      <c r="V50" s="436">
        <v>228.64612817499997</v>
      </c>
    </row>
    <row r="51" spans="1:22" ht="12.75">
      <c r="A51" s="74"/>
      <c r="B51" s="73"/>
      <c r="C51" s="73"/>
      <c r="D51" s="73"/>
      <c r="E51" s="73"/>
      <c r="F51" s="73"/>
      <c r="G51" s="73"/>
      <c r="H51" s="73"/>
      <c r="I51" s="73"/>
      <c r="J51" s="11"/>
      <c r="K51" s="11"/>
      <c r="L51" s="11"/>
      <c r="N51" s="434">
        <v>46</v>
      </c>
      <c r="O51" s="435">
        <v>47.749000549999998</v>
      </c>
      <c r="P51" s="435">
        <v>22.26</v>
      </c>
      <c r="Q51" s="436">
        <v>80.049003600000006</v>
      </c>
      <c r="R51" s="437"/>
      <c r="S51" s="434">
        <v>46</v>
      </c>
      <c r="T51" s="435">
        <v>230.54900361099999</v>
      </c>
      <c r="U51" s="435">
        <v>236.34</v>
      </c>
      <c r="V51" s="436">
        <v>222.81199835999999</v>
      </c>
    </row>
    <row r="52" spans="1:22" ht="12.75">
      <c r="A52" s="74"/>
      <c r="B52" s="73"/>
      <c r="C52" s="73"/>
      <c r="D52" s="73"/>
      <c r="E52" s="73"/>
      <c r="F52" s="73"/>
      <c r="G52" s="73"/>
      <c r="H52" s="73"/>
      <c r="I52" s="73"/>
      <c r="J52" s="11"/>
      <c r="K52" s="11"/>
      <c r="L52" s="11"/>
      <c r="N52" s="434">
        <v>47</v>
      </c>
      <c r="O52" s="435">
        <v>34.763999939999998</v>
      </c>
      <c r="P52" s="435">
        <v>17.044000629999999</v>
      </c>
      <c r="Q52" s="436">
        <v>85.825996399999994</v>
      </c>
      <c r="R52" s="437"/>
      <c r="S52" s="434">
        <v>47</v>
      </c>
      <c r="T52" s="435">
        <v>223.60000467499998</v>
      </c>
      <c r="U52" s="435">
        <v>227.62000255999999</v>
      </c>
      <c r="V52" s="436">
        <v>216.31200409100001</v>
      </c>
    </row>
    <row r="53" spans="1:22" ht="12.75">
      <c r="A53" s="74"/>
      <c r="B53" s="73"/>
      <c r="C53" s="73"/>
      <c r="D53" s="73"/>
      <c r="E53" s="73"/>
      <c r="F53" s="73"/>
      <c r="G53" s="73"/>
      <c r="H53" s="73"/>
      <c r="I53" s="73"/>
      <c r="J53" s="11"/>
      <c r="K53" s="11"/>
      <c r="L53" s="11"/>
      <c r="N53" s="434">
        <v>48</v>
      </c>
      <c r="O53" s="435">
        <v>13.618000029999999</v>
      </c>
      <c r="P53" s="435">
        <v>36.5890007</v>
      </c>
      <c r="Q53" s="436">
        <v>77.596000669999995</v>
      </c>
      <c r="R53" s="437"/>
      <c r="S53" s="434">
        <v>48</v>
      </c>
      <c r="T53" s="435">
        <v>217.17600035300001</v>
      </c>
      <c r="U53" s="435">
        <v>220.01436420799999</v>
      </c>
      <c r="V53" s="436">
        <v>210.250997547</v>
      </c>
    </row>
    <row r="54" spans="1:22" ht="13.5">
      <c r="A54" s="74"/>
      <c r="B54" s="73"/>
      <c r="C54" s="73"/>
      <c r="D54" s="73"/>
      <c r="E54" s="73"/>
      <c r="F54" s="73"/>
      <c r="G54" s="73"/>
      <c r="H54" s="73"/>
      <c r="I54" s="73"/>
      <c r="J54" s="11"/>
      <c r="K54" s="11"/>
      <c r="L54" s="11"/>
      <c r="N54" s="434">
        <v>49</v>
      </c>
      <c r="O54" s="440">
        <v>8.5520000459999999</v>
      </c>
      <c r="P54" s="435">
        <v>36.590000000000003</v>
      </c>
      <c r="Q54" s="436">
        <v>54.613998410000001</v>
      </c>
      <c r="R54" s="437"/>
      <c r="S54" s="434">
        <v>49</v>
      </c>
      <c r="T54" s="435">
        <v>210.45100211699997</v>
      </c>
      <c r="U54" s="435">
        <v>212.37999999999997</v>
      </c>
      <c r="V54" s="436">
        <v>202.73299884100001</v>
      </c>
    </row>
    <row r="55" spans="1:22" ht="12.75">
      <c r="A55" s="74"/>
      <c r="B55" s="73"/>
      <c r="C55" s="73"/>
      <c r="D55" s="73"/>
      <c r="E55" s="73"/>
      <c r="F55" s="73"/>
      <c r="G55" s="73"/>
      <c r="H55" s="73"/>
      <c r="I55" s="73"/>
      <c r="J55" s="11"/>
      <c r="K55" s="11"/>
      <c r="L55" s="11"/>
      <c r="N55" s="434">
        <v>50</v>
      </c>
      <c r="O55" s="435">
        <v>13.618000029999999</v>
      </c>
      <c r="P55" s="435">
        <v>34.763999939999998</v>
      </c>
      <c r="Q55" s="436">
        <v>64.358001709999996</v>
      </c>
      <c r="R55" s="437"/>
      <c r="S55" s="434">
        <v>50</v>
      </c>
      <c r="T55" s="435">
        <v>203.37099885499998</v>
      </c>
      <c r="U55" s="435">
        <v>205.46782675599999</v>
      </c>
      <c r="V55" s="436">
        <v>195.51400422099999</v>
      </c>
    </row>
    <row r="56" spans="1:22" ht="12.75">
      <c r="A56" s="74"/>
      <c r="B56" s="73"/>
      <c r="C56" s="73"/>
      <c r="D56" s="73"/>
      <c r="E56" s="73"/>
      <c r="F56" s="73"/>
      <c r="G56" s="73"/>
      <c r="H56" s="73"/>
      <c r="I56" s="73"/>
      <c r="J56" s="11"/>
      <c r="K56" s="11"/>
      <c r="L56" s="11"/>
      <c r="N56" s="434">
        <v>51</v>
      </c>
      <c r="O56" s="435">
        <v>18.771999359999999</v>
      </c>
      <c r="P56" s="435">
        <v>38.4</v>
      </c>
      <c r="Q56" s="436">
        <v>80.049003600000006</v>
      </c>
      <c r="R56" s="437"/>
      <c r="S56" s="434">
        <v>51</v>
      </c>
      <c r="T56" s="435">
        <v>202.35899971500001</v>
      </c>
      <c r="U56" s="435">
        <v>199</v>
      </c>
      <c r="V56" s="436">
        <v>188.995997891</v>
      </c>
    </row>
    <row r="57" spans="1:22" ht="12.75">
      <c r="A57" s="74"/>
      <c r="B57" s="73"/>
      <c r="C57" s="73"/>
      <c r="D57" s="73"/>
      <c r="E57" s="73"/>
      <c r="F57" s="73"/>
      <c r="G57" s="73"/>
      <c r="H57" s="73"/>
      <c r="I57" s="73"/>
      <c r="N57" s="434">
        <v>52</v>
      </c>
      <c r="O57" s="435">
        <v>25.781999590000002</v>
      </c>
      <c r="P57" s="435">
        <v>59.261001589999999</v>
      </c>
      <c r="Q57" s="436">
        <v>108.82900239999999</v>
      </c>
      <c r="R57" s="437"/>
      <c r="S57" s="434">
        <v>52</v>
      </c>
      <c r="T57" s="435">
        <v>201.25199794899999</v>
      </c>
      <c r="U57" s="435">
        <v>192.88799664499999</v>
      </c>
      <c r="V57" s="436">
        <v>184.65400219100002</v>
      </c>
    </row>
    <row r="58" spans="1:22" ht="12.75">
      <c r="A58" s="74"/>
      <c r="B58" s="73"/>
      <c r="C58" s="73"/>
      <c r="D58" s="73"/>
      <c r="E58" s="73"/>
      <c r="F58" s="73"/>
      <c r="G58" s="73"/>
      <c r="H58" s="73"/>
      <c r="I58" s="73"/>
      <c r="N58" s="434">
        <v>53</v>
      </c>
      <c r="O58" s="437"/>
      <c r="P58" s="437"/>
      <c r="Q58" s="437">
        <v>140.34500120000001</v>
      </c>
      <c r="R58" s="437"/>
      <c r="S58" s="434">
        <v>53</v>
      </c>
      <c r="T58" s="435"/>
      <c r="U58" s="435"/>
      <c r="V58" s="436"/>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498</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3"/>
  <sheetViews>
    <sheetView showGridLines="0" view="pageBreakPreview" zoomScaleNormal="100" zoomScaleSheetLayoutView="100" zoomScalePageLayoutView="130" workbookViewId="0">
      <selection activeCell="R40" sqref="R40"/>
    </sheetView>
  </sheetViews>
  <sheetFormatPr baseColWidth="10"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28"/>
    <col min="12" max="12" width="3.1640625" style="429" bestFit="1" customWidth="1"/>
    <col min="13" max="21" width="9.33203125" style="428"/>
  </cols>
  <sheetData>
    <row r="1" spans="1:15" ht="11.25" customHeight="1"/>
    <row r="2" spans="1:15" ht="11.25" customHeight="1">
      <c r="A2" s="17"/>
      <c r="B2" s="17"/>
      <c r="C2" s="17"/>
      <c r="D2" s="17"/>
      <c r="E2" s="73"/>
      <c r="F2" s="73"/>
      <c r="G2" s="73"/>
    </row>
    <row r="3" spans="1:15" ht="17.25" customHeight="1">
      <c r="A3" s="952" t="s">
        <v>384</v>
      </c>
      <c r="B3" s="952"/>
      <c r="C3" s="952"/>
      <c r="D3" s="952"/>
      <c r="E3" s="952"/>
      <c r="F3" s="952"/>
      <c r="G3" s="952"/>
      <c r="H3" s="36"/>
      <c r="I3" s="36"/>
      <c r="K3" s="428" t="s">
        <v>262</v>
      </c>
      <c r="M3" s="428" t="s">
        <v>263</v>
      </c>
      <c r="N3" s="428" t="s">
        <v>264</v>
      </c>
      <c r="O3" s="428" t="s">
        <v>265</v>
      </c>
    </row>
    <row r="4" spans="1:15" ht="11.25" customHeight="1">
      <c r="A4" s="74"/>
      <c r="B4" s="73"/>
      <c r="C4" s="73"/>
      <c r="D4" s="73"/>
      <c r="E4" s="73"/>
      <c r="F4" s="73"/>
      <c r="G4" s="73"/>
      <c r="H4" s="36"/>
      <c r="I4" s="36"/>
      <c r="J4" s="25">
        <v>2017</v>
      </c>
      <c r="K4" s="428">
        <v>1</v>
      </c>
      <c r="L4" s="429">
        <v>1</v>
      </c>
      <c r="M4" s="430">
        <v>41.55</v>
      </c>
      <c r="N4" s="430">
        <v>103.58</v>
      </c>
      <c r="O4" s="430">
        <v>29.67</v>
      </c>
    </row>
    <row r="5" spans="1:15" ht="11.25" customHeight="1">
      <c r="A5" s="74"/>
      <c r="B5" s="73"/>
      <c r="C5" s="73"/>
      <c r="D5" s="73"/>
      <c r="E5" s="73"/>
      <c r="F5" s="73"/>
      <c r="G5" s="73"/>
      <c r="H5" s="12"/>
      <c r="I5" s="12"/>
      <c r="L5" s="429">
        <v>2</v>
      </c>
      <c r="M5" s="430">
        <v>39.6</v>
      </c>
      <c r="N5" s="430">
        <v>105.01</v>
      </c>
      <c r="O5" s="430">
        <v>51.2</v>
      </c>
    </row>
    <row r="6" spans="1:15" ht="29.25" customHeight="1">
      <c r="A6" s="136"/>
      <c r="C6" s="490" t="s">
        <v>146</v>
      </c>
      <c r="D6" s="493" t="str">
        <f>UPPER('1. Resumen'!Q4)&amp;"
 "&amp;'1. Resumen'!Q5</f>
        <v>MARZO
 2020</v>
      </c>
      <c r="E6" s="494" t="str">
        <f>UPPER('1. Resumen'!Q4)&amp;"
 "&amp;'1. Resumen'!Q5-1</f>
        <v>MARZO
 2019</v>
      </c>
      <c r="F6" s="495" t="s">
        <v>447</v>
      </c>
      <c r="G6" s="138"/>
      <c r="H6" s="24"/>
      <c r="I6" s="12"/>
      <c r="L6" s="429">
        <v>3</v>
      </c>
      <c r="M6" s="430">
        <v>73.650000000000006</v>
      </c>
      <c r="N6" s="430">
        <v>137.41</v>
      </c>
      <c r="O6" s="430">
        <v>43.26</v>
      </c>
    </row>
    <row r="7" spans="1:15" ht="11.25" customHeight="1">
      <c r="A7" s="174"/>
      <c r="C7" s="552" t="s">
        <v>147</v>
      </c>
      <c r="D7" s="553">
        <v>134.15262024978074</v>
      </c>
      <c r="E7" s="780">
        <v>79.500354150000007</v>
      </c>
      <c r="F7" s="554">
        <f>IF(E7=0,"",(D7-E7)/E7)</f>
        <v>0.68744682566650839</v>
      </c>
      <c r="G7" s="138"/>
      <c r="H7" s="25"/>
      <c r="I7" s="3"/>
      <c r="K7" s="428">
        <v>4</v>
      </c>
      <c r="L7" s="429">
        <v>4</v>
      </c>
      <c r="M7" s="430">
        <v>65.03</v>
      </c>
      <c r="N7" s="430">
        <v>127.83</v>
      </c>
      <c r="O7" s="430">
        <v>32.72</v>
      </c>
    </row>
    <row r="8" spans="1:15" ht="11.25" customHeight="1">
      <c r="A8" s="174"/>
      <c r="C8" s="555" t="s">
        <v>153</v>
      </c>
      <c r="D8" s="556">
        <v>42.143965556703726</v>
      </c>
      <c r="E8" s="556">
        <v>46.473935279999999</v>
      </c>
      <c r="F8" s="557">
        <f t="shared" ref="F8:F30" si="0">IF(E8=0,"",(D8-E8)/E8)</f>
        <v>-9.3169853106019843E-2</v>
      </c>
      <c r="G8" s="138"/>
      <c r="H8" s="23"/>
      <c r="I8" s="3"/>
      <c r="L8" s="429">
        <v>5</v>
      </c>
      <c r="M8" s="430">
        <v>56.95</v>
      </c>
      <c r="N8" s="430">
        <v>97.31</v>
      </c>
      <c r="O8" s="430">
        <v>48.46</v>
      </c>
    </row>
    <row r="9" spans="1:15" ht="11.25" customHeight="1">
      <c r="A9" s="174"/>
      <c r="C9" s="558" t="s">
        <v>154</v>
      </c>
      <c r="D9" s="559">
        <v>185.65662147258868</v>
      </c>
      <c r="E9" s="559">
        <v>207.88035489999999</v>
      </c>
      <c r="F9" s="560">
        <f t="shared" si="0"/>
        <v>-0.10690636658813644</v>
      </c>
      <c r="G9" s="138"/>
      <c r="H9" s="25"/>
      <c r="I9" s="3"/>
      <c r="L9" s="429">
        <v>6</v>
      </c>
      <c r="M9" s="430">
        <v>61.87</v>
      </c>
      <c r="N9" s="430">
        <v>123.44</v>
      </c>
      <c r="O9" s="430">
        <v>72.52</v>
      </c>
    </row>
    <row r="10" spans="1:15" ht="11.25" customHeight="1">
      <c r="A10" s="174"/>
      <c r="C10" s="555" t="s">
        <v>161</v>
      </c>
      <c r="D10" s="556">
        <v>147.58244876203835</v>
      </c>
      <c r="E10" s="556">
        <v>250.8891941</v>
      </c>
      <c r="F10" s="557">
        <f t="shared" si="0"/>
        <v>-0.41176243444261457</v>
      </c>
      <c r="G10" s="138"/>
      <c r="H10" s="25"/>
      <c r="I10" s="3"/>
      <c r="L10" s="429">
        <v>7</v>
      </c>
      <c r="M10" s="430">
        <v>77.569999999999993</v>
      </c>
      <c r="N10" s="430">
        <v>145.02000000000001</v>
      </c>
      <c r="O10" s="430">
        <v>59.16</v>
      </c>
    </row>
    <row r="11" spans="1:15" ht="11.25" customHeight="1">
      <c r="A11" s="174"/>
      <c r="C11" s="558" t="s">
        <v>162</v>
      </c>
      <c r="D11" s="559">
        <v>18.562344682627668</v>
      </c>
      <c r="E11" s="559">
        <v>156.5577097</v>
      </c>
      <c r="F11" s="560">
        <f t="shared" si="0"/>
        <v>-0.88143449007910679</v>
      </c>
      <c r="G11" s="138"/>
      <c r="H11" s="25"/>
      <c r="I11" s="3"/>
      <c r="K11" s="428">
        <v>8</v>
      </c>
      <c r="L11" s="429">
        <v>8</v>
      </c>
      <c r="M11" s="430">
        <v>86.94</v>
      </c>
      <c r="N11" s="430">
        <v>175.03</v>
      </c>
      <c r="O11" s="430">
        <v>24.36</v>
      </c>
    </row>
    <row r="12" spans="1:15" ht="11.25" customHeight="1">
      <c r="A12" s="174"/>
      <c r="C12" s="555" t="s">
        <v>164</v>
      </c>
      <c r="D12" s="556">
        <v>15.395137951291803</v>
      </c>
      <c r="E12" s="556">
        <v>139.73206579999999</v>
      </c>
      <c r="F12" s="557">
        <f t="shared" si="0"/>
        <v>-0.88982387211445779</v>
      </c>
      <c r="G12" s="138"/>
      <c r="H12" s="25"/>
      <c r="I12" s="3"/>
      <c r="L12" s="429">
        <v>9</v>
      </c>
      <c r="M12" s="430">
        <v>85.13</v>
      </c>
      <c r="N12" s="430">
        <v>206.14</v>
      </c>
      <c r="O12" s="430">
        <v>39.07</v>
      </c>
    </row>
    <row r="13" spans="1:15" ht="11.25" customHeight="1">
      <c r="A13" s="174"/>
      <c r="C13" s="558" t="s">
        <v>152</v>
      </c>
      <c r="D13" s="559">
        <v>82.215053763440864</v>
      </c>
      <c r="E13" s="559">
        <v>145.9628571428571</v>
      </c>
      <c r="F13" s="560">
        <f t="shared" si="0"/>
        <v>-0.4367398982675767</v>
      </c>
      <c r="G13" s="138"/>
      <c r="H13" s="23"/>
      <c r="I13" s="3"/>
      <c r="L13" s="429">
        <v>10</v>
      </c>
      <c r="M13" s="430">
        <v>84.78</v>
      </c>
      <c r="N13" s="430">
        <v>270.17</v>
      </c>
      <c r="O13" s="430">
        <v>109.16</v>
      </c>
    </row>
    <row r="14" spans="1:15" ht="11.25" customHeight="1">
      <c r="A14" s="174"/>
      <c r="C14" s="555" t="s">
        <v>253</v>
      </c>
      <c r="D14" s="556">
        <v>96.691268000109332</v>
      </c>
      <c r="E14" s="556">
        <v>138.5274143</v>
      </c>
      <c r="F14" s="557">
        <f t="shared" si="0"/>
        <v>-0.30200625999766945</v>
      </c>
      <c r="G14" s="138"/>
      <c r="H14" s="25"/>
      <c r="I14" s="3"/>
      <c r="L14" s="429">
        <v>11</v>
      </c>
      <c r="M14" s="430">
        <v>84.78</v>
      </c>
      <c r="N14" s="430">
        <v>376.42</v>
      </c>
      <c r="O14" s="430">
        <v>188.18</v>
      </c>
    </row>
    <row r="15" spans="1:15" ht="11.25" customHeight="1">
      <c r="A15" s="174"/>
      <c r="C15" s="558" t="s">
        <v>254</v>
      </c>
      <c r="D15" s="559">
        <v>464.86137916301846</v>
      </c>
      <c r="E15" s="559">
        <v>279.52306240000001</v>
      </c>
      <c r="F15" s="560">
        <f t="shared" si="0"/>
        <v>0.66305196849123538</v>
      </c>
      <c r="G15" s="138"/>
      <c r="H15" s="25"/>
      <c r="I15" s="3"/>
      <c r="K15" s="428">
        <v>12</v>
      </c>
      <c r="L15" s="429">
        <v>12</v>
      </c>
      <c r="M15" s="430">
        <v>106.16</v>
      </c>
      <c r="N15" s="430">
        <v>351.57</v>
      </c>
      <c r="O15" s="430">
        <v>159.6</v>
      </c>
    </row>
    <row r="16" spans="1:15" ht="11.25" customHeight="1">
      <c r="A16" s="174"/>
      <c r="C16" s="555" t="s">
        <v>159</v>
      </c>
      <c r="D16" s="556">
        <v>66.494482763882289</v>
      </c>
      <c r="E16" s="556">
        <v>96.206322450000002</v>
      </c>
      <c r="F16" s="557">
        <f t="shared" si="0"/>
        <v>-0.30883458518601459</v>
      </c>
      <c r="G16" s="138"/>
      <c r="H16" s="25"/>
      <c r="I16" s="3"/>
      <c r="L16" s="429">
        <v>13</v>
      </c>
      <c r="M16" s="430">
        <v>101.71</v>
      </c>
      <c r="N16" s="430">
        <v>384.37</v>
      </c>
      <c r="O16" s="430">
        <v>161.77000000000001</v>
      </c>
    </row>
    <row r="17" spans="1:17" ht="11.25" customHeight="1">
      <c r="A17" s="174"/>
      <c r="C17" s="558" t="s">
        <v>163</v>
      </c>
      <c r="D17" s="559">
        <v>22.355620778840123</v>
      </c>
      <c r="E17" s="559">
        <v>27.27729034</v>
      </c>
      <c r="F17" s="560">
        <f t="shared" si="0"/>
        <v>-0.18043102888202336</v>
      </c>
      <c r="G17" s="138"/>
      <c r="H17" s="25"/>
      <c r="I17" s="3"/>
      <c r="L17" s="429">
        <v>14</v>
      </c>
      <c r="M17" s="430">
        <v>83.1</v>
      </c>
      <c r="N17" s="430">
        <v>337.84</v>
      </c>
      <c r="O17" s="430">
        <v>115.43</v>
      </c>
    </row>
    <row r="18" spans="1:17" ht="11.25" customHeight="1">
      <c r="A18" s="174"/>
      <c r="C18" s="555" t="s">
        <v>255</v>
      </c>
      <c r="D18" s="556">
        <v>20.001722796209894</v>
      </c>
      <c r="E18" s="556">
        <v>19.753169639999999</v>
      </c>
      <c r="F18" s="557">
        <f t="shared" si="0"/>
        <v>1.2582950520840774E-2</v>
      </c>
      <c r="G18" s="138"/>
      <c r="H18" s="25"/>
      <c r="I18" s="3"/>
      <c r="L18" s="429">
        <v>15</v>
      </c>
      <c r="M18" s="430">
        <v>61.23</v>
      </c>
      <c r="N18" s="430">
        <v>282.32</v>
      </c>
      <c r="O18" s="430">
        <v>98.92</v>
      </c>
    </row>
    <row r="19" spans="1:17" ht="11.25" customHeight="1">
      <c r="A19" s="174"/>
      <c r="C19" s="558" t="s">
        <v>256</v>
      </c>
      <c r="D19" s="559">
        <v>36.801275416666698</v>
      </c>
      <c r="E19" s="559">
        <v>37.19333270833328</v>
      </c>
      <c r="F19" s="560">
        <f t="shared" si="0"/>
        <v>-1.0541063763794963E-2</v>
      </c>
      <c r="G19" s="138"/>
      <c r="H19" s="25"/>
      <c r="I19" s="3"/>
      <c r="K19" s="428">
        <v>16</v>
      </c>
      <c r="L19" s="429">
        <v>16</v>
      </c>
      <c r="M19" s="430">
        <v>49.8</v>
      </c>
      <c r="N19" s="430">
        <v>191.65</v>
      </c>
      <c r="O19" s="430">
        <v>82.48</v>
      </c>
      <c r="Q19" s="741"/>
    </row>
    <row r="20" spans="1:17" ht="11.25" customHeight="1">
      <c r="A20" s="174"/>
      <c r="C20" s="555" t="s">
        <v>257</v>
      </c>
      <c r="D20" s="556">
        <v>1.473241378521092</v>
      </c>
      <c r="E20" s="556">
        <v>0.99561290800000002</v>
      </c>
      <c r="F20" s="557">
        <f t="shared" si="0"/>
        <v>0.47973310378283285</v>
      </c>
      <c r="G20" s="138"/>
      <c r="H20" s="25"/>
      <c r="I20" s="3"/>
      <c r="L20" s="429">
        <v>17</v>
      </c>
      <c r="M20" s="430">
        <v>40.21</v>
      </c>
      <c r="N20" s="430">
        <v>160.35</v>
      </c>
      <c r="O20" s="430">
        <v>77.02</v>
      </c>
    </row>
    <row r="21" spans="1:17" ht="11.25" customHeight="1">
      <c r="A21" s="174"/>
      <c r="C21" s="558" t="s">
        <v>150</v>
      </c>
      <c r="D21" s="559">
        <v>394.67272475670092</v>
      </c>
      <c r="E21" s="559">
        <v>484.08635390000001</v>
      </c>
      <c r="F21" s="560">
        <f t="shared" si="0"/>
        <v>-0.18470594847994762</v>
      </c>
      <c r="G21" s="138"/>
      <c r="H21" s="25"/>
      <c r="I21" s="3"/>
      <c r="L21" s="429">
        <v>18</v>
      </c>
      <c r="M21" s="430">
        <v>43.46</v>
      </c>
      <c r="N21" s="430">
        <v>136.65</v>
      </c>
      <c r="O21" s="430">
        <v>62.63</v>
      </c>
    </row>
    <row r="22" spans="1:17" ht="11.25" customHeight="1">
      <c r="A22" s="174"/>
      <c r="C22" s="555" t="s">
        <v>148</v>
      </c>
      <c r="D22" s="556">
        <v>0</v>
      </c>
      <c r="E22" s="556">
        <v>0</v>
      </c>
      <c r="F22" s="557" t="str">
        <f t="shared" si="0"/>
        <v/>
      </c>
      <c r="G22" s="138"/>
      <c r="H22" s="25"/>
      <c r="I22" s="3"/>
      <c r="L22" s="429">
        <v>19</v>
      </c>
      <c r="M22" s="430">
        <v>35.65</v>
      </c>
      <c r="N22" s="430">
        <v>135.97</v>
      </c>
      <c r="O22" s="430">
        <v>93.03</v>
      </c>
    </row>
    <row r="23" spans="1:17" ht="11.25" customHeight="1">
      <c r="A23" s="174"/>
      <c r="C23" s="558" t="s">
        <v>149</v>
      </c>
      <c r="D23" s="559">
        <v>21.203620121396781</v>
      </c>
      <c r="E23" s="559">
        <v>75.770290250000002</v>
      </c>
      <c r="F23" s="560">
        <f t="shared" si="0"/>
        <v>-0.72015918044610128</v>
      </c>
      <c r="G23" s="138"/>
      <c r="H23" s="25"/>
      <c r="I23" s="3"/>
      <c r="K23" s="428">
        <v>20</v>
      </c>
      <c r="L23" s="429">
        <v>20</v>
      </c>
      <c r="M23" s="430">
        <v>26.22</v>
      </c>
      <c r="N23" s="430">
        <v>135.66</v>
      </c>
      <c r="O23" s="430">
        <v>72.349999999999994</v>
      </c>
    </row>
    <row r="24" spans="1:17" ht="11.25" customHeight="1">
      <c r="A24" s="174"/>
      <c r="C24" s="555" t="s">
        <v>165</v>
      </c>
      <c r="D24" s="556">
        <v>30.218758681724758</v>
      </c>
      <c r="E24" s="556">
        <v>23.084677599999999</v>
      </c>
      <c r="F24" s="557">
        <f t="shared" si="0"/>
        <v>0.3090396671480809</v>
      </c>
      <c r="G24" s="138"/>
      <c r="H24" s="26"/>
      <c r="I24" s="3"/>
      <c r="L24" s="429">
        <v>21</v>
      </c>
      <c r="M24" s="430">
        <v>27.95</v>
      </c>
      <c r="N24" s="430">
        <v>113.82</v>
      </c>
      <c r="O24" s="430">
        <v>90.75</v>
      </c>
    </row>
    <row r="25" spans="1:17" ht="11.25" customHeight="1">
      <c r="A25" s="138"/>
      <c r="C25" s="558" t="s">
        <v>155</v>
      </c>
      <c r="D25" s="559">
        <v>0</v>
      </c>
      <c r="E25" s="559">
        <v>0.71452645299999995</v>
      </c>
      <c r="F25" s="560">
        <f t="shared" si="0"/>
        <v>-1</v>
      </c>
      <c r="G25" s="158"/>
      <c r="H25" s="25"/>
      <c r="I25" s="3"/>
      <c r="L25" s="429">
        <v>22</v>
      </c>
      <c r="M25" s="430">
        <v>32.409999999999997</v>
      </c>
      <c r="N25" s="430">
        <v>64.03</v>
      </c>
      <c r="O25" s="430">
        <v>53.02</v>
      </c>
    </row>
    <row r="26" spans="1:17" ht="11.25" customHeight="1">
      <c r="A26" s="175"/>
      <c r="C26" s="555" t="s">
        <v>156</v>
      </c>
      <c r="D26" s="556">
        <v>0.71227588119177954</v>
      </c>
      <c r="E26" s="556">
        <v>1.4454515859999999</v>
      </c>
      <c r="F26" s="557">
        <f t="shared" si="0"/>
        <v>-0.50722951353710743</v>
      </c>
      <c r="G26" s="138"/>
      <c r="H26" s="23"/>
      <c r="I26" s="3"/>
      <c r="L26" s="429">
        <v>23</v>
      </c>
      <c r="M26" s="430">
        <v>28.93</v>
      </c>
      <c r="N26" s="430">
        <v>53.15</v>
      </c>
      <c r="O26" s="430">
        <v>32.43</v>
      </c>
    </row>
    <row r="27" spans="1:17" ht="11.25" customHeight="1">
      <c r="A27" s="138"/>
      <c r="C27" s="558" t="s">
        <v>157</v>
      </c>
      <c r="D27" s="559">
        <v>0</v>
      </c>
      <c r="E27" s="559">
        <v>0</v>
      </c>
      <c r="F27" s="560" t="str">
        <f t="shared" si="0"/>
        <v/>
      </c>
      <c r="G27" s="138"/>
      <c r="H27" s="23"/>
      <c r="I27" s="3"/>
      <c r="K27" s="428">
        <v>24</v>
      </c>
      <c r="L27" s="429">
        <v>24</v>
      </c>
      <c r="M27" s="430">
        <v>26.59</v>
      </c>
      <c r="N27" s="430">
        <v>45.98</v>
      </c>
      <c r="O27" s="430">
        <v>27.75</v>
      </c>
    </row>
    <row r="28" spans="1:17" ht="11.25" customHeight="1">
      <c r="A28" s="138"/>
      <c r="C28" s="555" t="s">
        <v>158</v>
      </c>
      <c r="D28" s="556">
        <v>0</v>
      </c>
      <c r="E28" s="556">
        <v>0</v>
      </c>
      <c r="F28" s="557" t="str">
        <f t="shared" si="0"/>
        <v/>
      </c>
      <c r="G28" s="138"/>
      <c r="H28" s="23"/>
      <c r="I28" s="3"/>
      <c r="L28" s="429">
        <v>25</v>
      </c>
      <c r="M28" s="430">
        <v>23.61</v>
      </c>
      <c r="N28" s="430">
        <v>38.68</v>
      </c>
      <c r="O28" s="430">
        <v>24.81</v>
      </c>
    </row>
    <row r="29" spans="1:17" ht="11.25" customHeight="1">
      <c r="A29" s="158"/>
      <c r="C29" s="558" t="s">
        <v>160</v>
      </c>
      <c r="D29" s="559">
        <v>0.44132758625622354</v>
      </c>
      <c r="E29" s="559">
        <v>2.7865042359999999</v>
      </c>
      <c r="F29" s="560">
        <f t="shared" si="0"/>
        <v>-0.84161962484946917</v>
      </c>
      <c r="G29" s="176"/>
      <c r="H29" s="23"/>
      <c r="I29" s="3"/>
      <c r="L29" s="429">
        <v>26</v>
      </c>
      <c r="M29" s="430">
        <v>24.94</v>
      </c>
      <c r="N29" s="430">
        <v>34.68</v>
      </c>
      <c r="O29" s="430">
        <v>21.81</v>
      </c>
    </row>
    <row r="30" spans="1:17" ht="11.25" customHeight="1">
      <c r="A30" s="175"/>
      <c r="C30" s="561" t="s">
        <v>151</v>
      </c>
      <c r="D30" s="562">
        <v>2.9455645161290325</v>
      </c>
      <c r="E30" s="562">
        <v>13.038690476190476</v>
      </c>
      <c r="F30" s="563">
        <f t="shared" si="0"/>
        <v>-0.77409046395358261</v>
      </c>
      <c r="G30" s="138"/>
      <c r="H30" s="25"/>
      <c r="I30" s="3"/>
      <c r="L30" s="429">
        <v>27</v>
      </c>
      <c r="M30" s="430">
        <v>25.54</v>
      </c>
      <c r="N30" s="430">
        <v>31.72</v>
      </c>
      <c r="O30" s="430">
        <v>18.649999999999999</v>
      </c>
    </row>
    <row r="31" spans="1:17" ht="11.25" customHeight="1">
      <c r="A31" s="137"/>
      <c r="C31" s="273" t="str">
        <f>"Cuadro N°10: Promedio de caudales en "&amp;'1. Resumen'!Q4</f>
        <v>Cuadro N°10: Promedio de caudales en marzo</v>
      </c>
      <c r="D31" s="137"/>
      <c r="E31" s="137"/>
      <c r="F31" s="137"/>
      <c r="G31" s="137"/>
      <c r="H31" s="25"/>
      <c r="I31" s="6"/>
      <c r="K31" s="428">
        <v>28</v>
      </c>
      <c r="L31" s="429">
        <v>28</v>
      </c>
      <c r="M31" s="430">
        <v>23.56</v>
      </c>
      <c r="N31" s="430">
        <v>29.25</v>
      </c>
      <c r="O31" s="430">
        <v>14.27</v>
      </c>
    </row>
    <row r="32" spans="1:17" ht="11.25" customHeight="1">
      <c r="A32" s="137"/>
      <c r="B32" s="137"/>
      <c r="C32" s="137"/>
      <c r="D32" s="137"/>
      <c r="E32" s="137"/>
      <c r="F32" s="137"/>
      <c r="G32" s="137"/>
      <c r="H32" s="25"/>
      <c r="I32" s="6"/>
      <c r="L32" s="429">
        <v>29</v>
      </c>
      <c r="M32" s="430">
        <v>22.4</v>
      </c>
      <c r="N32" s="430">
        <v>29.53</v>
      </c>
      <c r="O32" s="430">
        <v>11.51</v>
      </c>
    </row>
    <row r="33" spans="1:15" ht="11.25" customHeight="1">
      <c r="A33" s="137"/>
      <c r="B33" s="137"/>
      <c r="C33" s="137"/>
      <c r="D33" s="137"/>
      <c r="E33" s="137"/>
      <c r="F33" s="137"/>
      <c r="G33" s="137"/>
      <c r="H33" s="25"/>
      <c r="I33" s="6"/>
      <c r="L33" s="429">
        <v>30</v>
      </c>
      <c r="M33" s="430">
        <v>21.29</v>
      </c>
      <c r="N33" s="430">
        <v>27.62</v>
      </c>
      <c r="O33" s="430">
        <v>9.7200000000000006</v>
      </c>
    </row>
    <row r="34" spans="1:15" ht="11.25" customHeight="1">
      <c r="A34" s="137"/>
      <c r="B34" s="137"/>
      <c r="C34" s="137"/>
      <c r="D34" s="137"/>
      <c r="E34" s="137"/>
      <c r="F34" s="137"/>
      <c r="G34" s="137"/>
      <c r="H34" s="25"/>
      <c r="I34" s="6"/>
      <c r="L34" s="429">
        <v>31</v>
      </c>
      <c r="M34" s="430">
        <v>19.34</v>
      </c>
      <c r="N34" s="430">
        <v>27.99</v>
      </c>
      <c r="O34" s="430">
        <v>8.09</v>
      </c>
    </row>
    <row r="35" spans="1:15" ht="17.25" customHeight="1">
      <c r="A35" s="952" t="s">
        <v>385</v>
      </c>
      <c r="B35" s="952"/>
      <c r="C35" s="952"/>
      <c r="D35" s="952"/>
      <c r="E35" s="952"/>
      <c r="F35" s="952"/>
      <c r="G35" s="952"/>
      <c r="H35" s="25"/>
      <c r="I35" s="6"/>
      <c r="K35" s="428">
        <v>32</v>
      </c>
      <c r="L35" s="429">
        <v>32</v>
      </c>
      <c r="M35" s="430">
        <v>19.649999999999999</v>
      </c>
      <c r="N35" s="430">
        <v>31.42</v>
      </c>
      <c r="O35" s="430">
        <v>7.62</v>
      </c>
    </row>
    <row r="36" spans="1:15" ht="11.25" customHeight="1">
      <c r="A36" s="137"/>
      <c r="B36" s="137"/>
      <c r="C36" s="137"/>
      <c r="D36" s="137"/>
      <c r="E36" s="137"/>
      <c r="F36" s="137"/>
      <c r="G36" s="137"/>
      <c r="H36" s="25"/>
      <c r="I36" s="6"/>
      <c r="L36" s="429">
        <v>33</v>
      </c>
      <c r="M36" s="430">
        <v>18.420000000000002</v>
      </c>
      <c r="N36" s="430">
        <v>29.71</v>
      </c>
      <c r="O36" s="430">
        <v>9.5500000000000007</v>
      </c>
    </row>
    <row r="37" spans="1:15" ht="11.25" customHeight="1">
      <c r="A37" s="136"/>
      <c r="B37" s="138"/>
      <c r="C37" s="138"/>
      <c r="D37" s="138"/>
      <c r="E37" s="138"/>
      <c r="F37" s="138"/>
      <c r="G37" s="138"/>
      <c r="H37" s="26"/>
      <c r="I37" s="6"/>
      <c r="L37" s="429">
        <v>34</v>
      </c>
      <c r="M37" s="430">
        <v>17.170000000000002</v>
      </c>
      <c r="N37" s="430">
        <v>30.51</v>
      </c>
      <c r="O37" s="430">
        <v>10.75</v>
      </c>
    </row>
    <row r="38" spans="1:15" ht="11.25" customHeight="1">
      <c r="A38" s="74"/>
      <c r="B38" s="73"/>
      <c r="C38" s="73"/>
      <c r="D38" s="73"/>
      <c r="E38" s="73"/>
      <c r="F38" s="73"/>
      <c r="G38" s="73"/>
      <c r="H38" s="3"/>
      <c r="I38" s="6"/>
      <c r="L38" s="429">
        <v>35</v>
      </c>
      <c r="M38" s="430">
        <v>17.47</v>
      </c>
      <c r="N38" s="430">
        <v>27.5</v>
      </c>
      <c r="O38" s="430">
        <v>8.31</v>
      </c>
    </row>
    <row r="39" spans="1:15" ht="11.25" customHeight="1">
      <c r="A39" s="74"/>
      <c r="B39" s="73"/>
      <c r="C39" s="73"/>
      <c r="D39" s="73"/>
      <c r="E39" s="73"/>
      <c r="F39" s="73"/>
      <c r="G39" s="73"/>
      <c r="H39" s="3"/>
      <c r="I39" s="10"/>
      <c r="K39" s="428">
        <v>36</v>
      </c>
      <c r="L39" s="429">
        <v>36</v>
      </c>
      <c r="M39" s="430">
        <v>13.42</v>
      </c>
      <c r="N39" s="430">
        <v>26.21</v>
      </c>
      <c r="O39" s="430">
        <v>6.53</v>
      </c>
    </row>
    <row r="40" spans="1:15" ht="11.25" customHeight="1">
      <c r="A40" s="74"/>
      <c r="B40" s="73"/>
      <c r="C40" s="73"/>
      <c r="D40" s="73"/>
      <c r="E40" s="73"/>
      <c r="F40" s="73"/>
      <c r="G40" s="73"/>
      <c r="H40" s="3"/>
      <c r="I40" s="10"/>
      <c r="L40" s="429">
        <v>37</v>
      </c>
      <c r="M40" s="430">
        <v>11.2</v>
      </c>
      <c r="N40" s="430">
        <v>29.98</v>
      </c>
      <c r="O40" s="430">
        <v>9.7799999999999994</v>
      </c>
    </row>
    <row r="41" spans="1:15" ht="11.25" customHeight="1">
      <c r="A41" s="74"/>
      <c r="B41" s="73"/>
      <c r="C41" s="73"/>
      <c r="D41" s="73"/>
      <c r="E41" s="73"/>
      <c r="F41" s="73"/>
      <c r="G41" s="73"/>
      <c r="H41" s="3"/>
      <c r="I41" s="7"/>
      <c r="L41" s="429">
        <v>38</v>
      </c>
      <c r="M41" s="430">
        <v>11</v>
      </c>
      <c r="N41" s="430">
        <v>34.369999999999997</v>
      </c>
      <c r="O41" s="430">
        <v>7.47</v>
      </c>
    </row>
    <row r="42" spans="1:15" ht="11.25" customHeight="1">
      <c r="A42" s="74"/>
      <c r="B42" s="73"/>
      <c r="C42" s="73"/>
      <c r="D42" s="73"/>
      <c r="E42" s="73"/>
      <c r="F42" s="73"/>
      <c r="G42" s="73"/>
      <c r="H42" s="3"/>
      <c r="I42" s="7"/>
      <c r="K42" s="428">
        <v>39</v>
      </c>
      <c r="L42" s="429">
        <v>39</v>
      </c>
      <c r="M42" s="430">
        <v>11.14</v>
      </c>
      <c r="N42" s="430">
        <v>42.17</v>
      </c>
      <c r="O42" s="430">
        <v>7.49</v>
      </c>
    </row>
    <row r="43" spans="1:15" ht="11.25" customHeight="1">
      <c r="A43" s="74"/>
      <c r="B43" s="73"/>
      <c r="C43" s="73"/>
      <c r="D43" s="73"/>
      <c r="E43" s="73"/>
      <c r="F43" s="73"/>
      <c r="G43" s="73"/>
      <c r="H43" s="3"/>
      <c r="I43" s="7"/>
      <c r="L43" s="429">
        <v>40</v>
      </c>
      <c r="M43" s="430">
        <v>12.8</v>
      </c>
      <c r="N43" s="430">
        <v>37.270000000000003</v>
      </c>
      <c r="O43" s="430">
        <v>15.47</v>
      </c>
    </row>
    <row r="44" spans="1:15" ht="11.25" customHeight="1">
      <c r="A44" s="74"/>
      <c r="B44" s="73"/>
      <c r="C44" s="73"/>
      <c r="D44" s="73"/>
      <c r="E44" s="73"/>
      <c r="F44" s="73"/>
      <c r="G44" s="73"/>
      <c r="H44" s="6"/>
      <c r="I44" s="10"/>
      <c r="L44" s="429">
        <v>41</v>
      </c>
      <c r="M44" s="430">
        <v>14.41</v>
      </c>
      <c r="N44" s="430">
        <v>40.04</v>
      </c>
      <c r="O44" s="430">
        <v>18</v>
      </c>
    </row>
    <row r="45" spans="1:15" ht="11.25" customHeight="1">
      <c r="A45" s="74"/>
      <c r="B45" s="73"/>
      <c r="C45" s="73"/>
      <c r="D45" s="73"/>
      <c r="E45" s="73"/>
      <c r="F45" s="73"/>
      <c r="G45" s="73"/>
      <c r="H45" s="3"/>
      <c r="I45" s="10"/>
      <c r="L45" s="429">
        <v>42</v>
      </c>
      <c r="M45" s="430">
        <v>15.87</v>
      </c>
      <c r="N45" s="430">
        <v>35.79</v>
      </c>
      <c r="O45" s="430">
        <v>12.74</v>
      </c>
    </row>
    <row r="46" spans="1:15" ht="11.25" customHeight="1">
      <c r="A46" s="74"/>
      <c r="B46" s="73"/>
      <c r="C46" s="73"/>
      <c r="D46" s="73"/>
      <c r="E46" s="73"/>
      <c r="F46" s="73"/>
      <c r="G46" s="73"/>
      <c r="H46" s="3"/>
      <c r="I46" s="10"/>
      <c r="K46" s="428">
        <v>43</v>
      </c>
      <c r="L46" s="429">
        <v>43</v>
      </c>
      <c r="M46" s="430">
        <v>19.61</v>
      </c>
      <c r="N46" s="430">
        <v>50.36</v>
      </c>
      <c r="O46" s="430">
        <v>30.75</v>
      </c>
    </row>
    <row r="47" spans="1:15" ht="11.25" customHeight="1">
      <c r="A47" s="74"/>
      <c r="B47" s="73"/>
      <c r="C47" s="73"/>
      <c r="D47" s="73"/>
      <c r="E47" s="73"/>
      <c r="F47" s="73"/>
      <c r="G47" s="73"/>
      <c r="H47" s="11"/>
      <c r="I47" s="11"/>
      <c r="L47" s="429">
        <v>44</v>
      </c>
      <c r="M47" s="430">
        <v>21.85</v>
      </c>
      <c r="N47" s="430">
        <v>54.94</v>
      </c>
      <c r="O47" s="430">
        <v>23.58</v>
      </c>
    </row>
    <row r="48" spans="1:15" ht="11.25" customHeight="1">
      <c r="A48" s="74"/>
      <c r="B48" s="73"/>
      <c r="C48" s="73"/>
      <c r="D48" s="73"/>
      <c r="E48" s="73"/>
      <c r="F48" s="73"/>
      <c r="G48" s="73"/>
      <c r="H48" s="11"/>
      <c r="I48" s="11"/>
      <c r="L48" s="429">
        <v>45</v>
      </c>
      <c r="M48" s="430">
        <v>16.79</v>
      </c>
      <c r="N48" s="430">
        <v>41.16</v>
      </c>
      <c r="O48" s="430">
        <v>11.77</v>
      </c>
    </row>
    <row r="49" spans="1:15" ht="11.25" customHeight="1">
      <c r="A49" s="74"/>
      <c r="B49" s="73"/>
      <c r="C49" s="73"/>
      <c r="D49" s="73"/>
      <c r="E49" s="73"/>
      <c r="F49" s="73"/>
      <c r="G49" s="73"/>
      <c r="H49" s="11"/>
      <c r="I49" s="11"/>
      <c r="L49" s="429">
        <v>46</v>
      </c>
      <c r="M49" s="430">
        <v>16.010000000000002</v>
      </c>
      <c r="N49" s="430">
        <v>42.65</v>
      </c>
      <c r="O49" s="430">
        <v>9.33</v>
      </c>
    </row>
    <row r="50" spans="1:15" ht="11.25" customHeight="1">
      <c r="A50" s="74"/>
      <c r="B50" s="73"/>
      <c r="C50" s="73"/>
      <c r="D50" s="73"/>
      <c r="E50" s="73"/>
      <c r="F50" s="73"/>
      <c r="G50" s="73"/>
      <c r="H50" s="11"/>
      <c r="I50" s="11"/>
      <c r="L50" s="429">
        <v>47</v>
      </c>
      <c r="M50" s="430">
        <v>14.72</v>
      </c>
      <c r="N50" s="430">
        <v>39.76</v>
      </c>
      <c r="O50" s="430">
        <v>8.19</v>
      </c>
    </row>
    <row r="51" spans="1:15" ht="11.25" customHeight="1">
      <c r="A51" s="74"/>
      <c r="B51" s="73"/>
      <c r="C51" s="73"/>
      <c r="D51" s="73"/>
      <c r="E51" s="73"/>
      <c r="F51" s="73"/>
      <c r="G51" s="73"/>
      <c r="H51" s="11"/>
      <c r="I51" s="11"/>
      <c r="K51" s="428">
        <v>48</v>
      </c>
      <c r="L51" s="429">
        <v>48</v>
      </c>
      <c r="M51" s="430">
        <v>18.932000297142856</v>
      </c>
      <c r="N51" s="430">
        <v>47.388000487142854</v>
      </c>
      <c r="O51" s="430">
        <v>19.661285946</v>
      </c>
    </row>
    <row r="52" spans="1:15" ht="11.25" customHeight="1">
      <c r="A52" s="74"/>
      <c r="B52" s="73"/>
      <c r="C52" s="73"/>
      <c r="D52" s="73"/>
      <c r="E52" s="73"/>
      <c r="F52" s="73"/>
      <c r="G52" s="73"/>
      <c r="H52" s="11"/>
      <c r="I52" s="11"/>
      <c r="L52" s="429">
        <v>49</v>
      </c>
      <c r="M52" s="430">
        <v>28.48371397</v>
      </c>
      <c r="N52" s="430">
        <v>78.087428497142852</v>
      </c>
      <c r="O52" s="430">
        <v>19.181428364285715</v>
      </c>
    </row>
    <row r="53" spans="1:15" ht="11.25" customHeight="1">
      <c r="A53" s="74"/>
      <c r="B53" s="73"/>
      <c r="C53" s="73"/>
      <c r="D53" s="73"/>
      <c r="E53" s="73"/>
      <c r="F53" s="73"/>
      <c r="G53" s="73"/>
      <c r="H53" s="11"/>
      <c r="I53" s="11"/>
      <c r="L53" s="429">
        <v>50</v>
      </c>
      <c r="M53" s="430">
        <v>32.583286012857144</v>
      </c>
      <c r="N53" s="430">
        <v>69.764142717142846</v>
      </c>
      <c r="O53" s="430">
        <v>23.7245715</v>
      </c>
    </row>
    <row r="54" spans="1:15" ht="11.25" customHeight="1">
      <c r="A54" s="74"/>
      <c r="B54" s="73"/>
      <c r="C54" s="73"/>
      <c r="D54" s="73"/>
      <c r="E54" s="73"/>
      <c r="F54" s="73"/>
      <c r="G54" s="73"/>
      <c r="H54" s="11"/>
      <c r="I54" s="11"/>
      <c r="L54" s="429">
        <v>51</v>
      </c>
      <c r="M54" s="430">
        <v>34.501856668571428</v>
      </c>
      <c r="N54" s="430">
        <v>71.14499991142857</v>
      </c>
      <c r="O54" s="430">
        <v>26.158142907142857</v>
      </c>
    </row>
    <row r="55" spans="1:15" ht="12.75">
      <c r="A55" s="74"/>
      <c r="B55" s="73"/>
      <c r="C55" s="73"/>
      <c r="D55" s="73"/>
      <c r="E55" s="73"/>
      <c r="F55" s="73"/>
      <c r="G55" s="73"/>
      <c r="H55" s="11"/>
      <c r="I55" s="11"/>
      <c r="K55" s="428">
        <v>52</v>
      </c>
      <c r="L55" s="429">
        <v>52</v>
      </c>
      <c r="M55" s="430">
        <v>27.781857355714287</v>
      </c>
      <c r="N55" s="430">
        <v>83.196000228571435</v>
      </c>
      <c r="O55" s="430">
        <v>21.776999882857144</v>
      </c>
    </row>
    <row r="56" spans="1:15" ht="12.75">
      <c r="A56" s="74"/>
      <c r="B56" s="73"/>
      <c r="C56" s="73"/>
      <c r="D56" s="73"/>
      <c r="E56" s="73"/>
      <c r="F56" s="73"/>
      <c r="G56" s="73"/>
      <c r="H56" s="11"/>
      <c r="I56" s="11"/>
      <c r="J56" s="25">
        <v>2018</v>
      </c>
      <c r="K56" s="428">
        <v>1</v>
      </c>
      <c r="L56" s="429">
        <v>1</v>
      </c>
      <c r="M56" s="430">
        <v>29.44</v>
      </c>
      <c r="N56" s="430">
        <v>69.087142857142865</v>
      </c>
      <c r="O56" s="430">
        <v>15.747142857142856</v>
      </c>
    </row>
    <row r="57" spans="1:15" ht="12.75">
      <c r="A57" s="74"/>
      <c r="B57" s="73"/>
      <c r="C57" s="73"/>
      <c r="D57" s="73"/>
      <c r="E57" s="73"/>
      <c r="F57" s="73"/>
      <c r="G57" s="73"/>
      <c r="H57" s="11"/>
      <c r="I57" s="11"/>
      <c r="L57" s="429">
        <v>2</v>
      </c>
      <c r="M57" s="430">
        <v>42.880857194285717</v>
      </c>
      <c r="N57" s="430">
        <v>96.785858138571413</v>
      </c>
      <c r="O57" s="430">
        <v>37.6</v>
      </c>
    </row>
    <row r="58" spans="1:15" ht="12.75">
      <c r="A58" s="74"/>
      <c r="B58" s="73"/>
      <c r="C58" s="73"/>
      <c r="D58" s="73"/>
      <c r="E58" s="73"/>
      <c r="F58" s="73"/>
      <c r="G58" s="73"/>
      <c r="H58" s="11"/>
      <c r="I58" s="11"/>
      <c r="L58" s="429">
        <v>3</v>
      </c>
      <c r="M58" s="430">
        <v>74.002572194285705</v>
      </c>
      <c r="N58" s="430">
        <v>158.17728531428571</v>
      </c>
      <c r="O58" s="430">
        <v>101.26128550142856</v>
      </c>
    </row>
    <row r="59" spans="1:15" ht="12.75">
      <c r="A59" s="74"/>
      <c r="B59" s="73"/>
      <c r="C59" s="73"/>
      <c r="D59" s="73"/>
      <c r="E59" s="73"/>
      <c r="F59" s="73"/>
      <c r="G59" s="73"/>
      <c r="H59" s="11"/>
      <c r="I59" s="11"/>
      <c r="K59" s="428">
        <v>4</v>
      </c>
      <c r="L59" s="429">
        <v>4</v>
      </c>
      <c r="M59" s="430">
        <v>77.812570845714291</v>
      </c>
      <c r="N59" s="430">
        <v>167.02357267142858</v>
      </c>
      <c r="O59" s="430">
        <v>77.354000085714276</v>
      </c>
    </row>
    <row r="60" spans="1:15" ht="12.75">
      <c r="A60" s="74"/>
      <c r="B60" s="73"/>
      <c r="C60" s="73"/>
      <c r="D60" s="73"/>
      <c r="E60" s="73"/>
      <c r="F60" s="73"/>
      <c r="G60" s="73"/>
      <c r="H60" s="11"/>
      <c r="I60" s="11"/>
      <c r="L60" s="429">
        <v>5</v>
      </c>
      <c r="M60" s="430">
        <v>61.531714848571433</v>
      </c>
      <c r="N60" s="430">
        <v>113.19585745142855</v>
      </c>
      <c r="O60" s="430">
        <v>30.667142595714285</v>
      </c>
    </row>
    <row r="61" spans="1:15" ht="12.75">
      <c r="A61" s="273" t="s">
        <v>496</v>
      </c>
      <c r="B61" s="73"/>
      <c r="C61" s="73"/>
      <c r="D61" s="73"/>
      <c r="E61" s="73"/>
      <c r="F61" s="73"/>
      <c r="G61" s="73"/>
      <c r="H61" s="11"/>
      <c r="I61" s="11"/>
      <c r="L61" s="429">
        <v>6</v>
      </c>
      <c r="M61" s="430">
        <v>54.024142672857138</v>
      </c>
      <c r="N61" s="430">
        <v>88.535714287142852</v>
      </c>
      <c r="O61" s="430">
        <v>32.444142750000005</v>
      </c>
    </row>
    <row r="62" spans="1:15">
      <c r="L62" s="429">
        <v>7</v>
      </c>
      <c r="M62" s="430">
        <v>59.271427155714285</v>
      </c>
      <c r="N62" s="430">
        <v>99.37822619047617</v>
      </c>
      <c r="O62" s="430">
        <v>30.338148809523812</v>
      </c>
    </row>
    <row r="63" spans="1:15">
      <c r="K63" s="428">
        <v>8</v>
      </c>
      <c r="L63" s="429">
        <v>8</v>
      </c>
      <c r="M63" s="430">
        <v>78.025571005714284</v>
      </c>
      <c r="N63" s="430">
        <v>140.28</v>
      </c>
      <c r="O63" s="430">
        <v>62.97</v>
      </c>
    </row>
    <row r="64" spans="1:15">
      <c r="L64" s="429">
        <v>9</v>
      </c>
      <c r="M64" s="430">
        <v>61.11871501571428</v>
      </c>
      <c r="N64" s="430">
        <v>102.99642836285715</v>
      </c>
      <c r="O64" s="430">
        <v>31.244571685714288</v>
      </c>
    </row>
    <row r="65" spans="11:15">
      <c r="L65" s="429">
        <v>10</v>
      </c>
      <c r="M65" s="430">
        <v>84.500714981428573</v>
      </c>
      <c r="N65" s="430">
        <v>175.90485927142853</v>
      </c>
      <c r="O65" s="430">
        <v>36.038285662857142</v>
      </c>
    </row>
    <row r="66" spans="11:15">
      <c r="L66" s="429">
        <v>11</v>
      </c>
      <c r="M66" s="430">
        <v>83.643855504285725</v>
      </c>
      <c r="N66" s="430">
        <v>169.64671761428571</v>
      </c>
      <c r="O66" s="430">
        <v>25.076428275714282</v>
      </c>
    </row>
    <row r="67" spans="11:15">
      <c r="K67" s="428">
        <v>12</v>
      </c>
      <c r="L67" s="429">
        <v>12</v>
      </c>
      <c r="M67" s="430">
        <v>98.99</v>
      </c>
      <c r="N67" s="430">
        <v>198.22</v>
      </c>
      <c r="O67" s="430">
        <v>24.63</v>
      </c>
    </row>
    <row r="68" spans="11:15">
      <c r="L68" s="429">
        <v>13</v>
      </c>
      <c r="M68" s="430">
        <v>106.64928652857144</v>
      </c>
      <c r="N68" s="430">
        <v>312.6314304857143</v>
      </c>
      <c r="O68" s="430">
        <v>38.701428550000003</v>
      </c>
    </row>
    <row r="69" spans="11:15">
      <c r="L69" s="429">
        <v>14</v>
      </c>
      <c r="M69" s="430">
        <v>86.488428389999996</v>
      </c>
      <c r="N69" s="430">
        <v>235.31328691428573</v>
      </c>
      <c r="O69" s="430">
        <v>94.596427907142839</v>
      </c>
    </row>
    <row r="70" spans="11:15">
      <c r="L70" s="429">
        <v>15</v>
      </c>
      <c r="M70" s="430">
        <v>88.217001778571429</v>
      </c>
      <c r="N70" s="430">
        <v>294.1721409428572</v>
      </c>
      <c r="O70" s="430">
        <v>92.07</v>
      </c>
    </row>
    <row r="71" spans="11:15">
      <c r="K71" s="428">
        <v>16</v>
      </c>
      <c r="L71" s="429">
        <v>16</v>
      </c>
      <c r="M71" s="430">
        <v>65.84</v>
      </c>
      <c r="N71" s="430">
        <v>149.18</v>
      </c>
      <c r="O71" s="430">
        <v>45.4</v>
      </c>
    </row>
    <row r="72" spans="11:15">
      <c r="L72" s="429">
        <v>17</v>
      </c>
      <c r="M72" s="430">
        <v>51.88</v>
      </c>
      <c r="N72" s="430">
        <v>104.35</v>
      </c>
      <c r="O72" s="430">
        <v>41.47</v>
      </c>
    </row>
    <row r="73" spans="11:15">
      <c r="L73" s="429">
        <v>18</v>
      </c>
      <c r="M73" s="430">
        <v>49.672285897142856</v>
      </c>
      <c r="N73" s="430">
        <v>78.038143701428567</v>
      </c>
      <c r="O73" s="430">
        <v>65.800999782857133</v>
      </c>
    </row>
    <row r="74" spans="11:15">
      <c r="L74" s="429">
        <v>19</v>
      </c>
      <c r="M74" s="430">
        <v>45.203000204285708</v>
      </c>
      <c r="N74" s="430">
        <v>78.313856942857129</v>
      </c>
      <c r="O74" s="430">
        <v>75.104713441428572</v>
      </c>
    </row>
    <row r="75" spans="11:15">
      <c r="K75" s="428">
        <v>20</v>
      </c>
      <c r="L75" s="429">
        <v>20</v>
      </c>
      <c r="M75" s="430">
        <v>37.385857718571437</v>
      </c>
      <c r="N75" s="430">
        <v>130.92628696285712</v>
      </c>
      <c r="O75" s="430">
        <v>97.861000055714285</v>
      </c>
    </row>
    <row r="76" spans="11:15">
      <c r="L76" s="429">
        <v>21</v>
      </c>
      <c r="M76" s="430">
        <v>31.609713962857143</v>
      </c>
      <c r="N76" s="430">
        <v>64.449287412857146</v>
      </c>
      <c r="O76" s="430">
        <v>107.7964292242857</v>
      </c>
    </row>
    <row r="77" spans="11:15">
      <c r="L77" s="429">
        <v>22</v>
      </c>
      <c r="M77" s="430">
        <v>23.360142844285715</v>
      </c>
      <c r="N77" s="430">
        <v>64.449287412857146</v>
      </c>
      <c r="O77" s="430">
        <v>107.7964292242857</v>
      </c>
    </row>
    <row r="78" spans="11:15">
      <c r="L78" s="429">
        <v>23</v>
      </c>
      <c r="M78" s="430">
        <v>22.118571418571431</v>
      </c>
      <c r="N78" s="430">
        <v>39.50100054</v>
      </c>
      <c r="O78" s="430">
        <v>35.176713670000005</v>
      </c>
    </row>
    <row r="79" spans="11:15">
      <c r="K79" s="428">
        <v>24</v>
      </c>
      <c r="L79" s="429">
        <v>24</v>
      </c>
      <c r="M79" s="430">
        <v>18.655142918571432</v>
      </c>
      <c r="N79" s="430">
        <v>33.690285274285714</v>
      </c>
      <c r="O79" s="430">
        <v>23.41942841571429</v>
      </c>
    </row>
    <row r="80" spans="11:15">
      <c r="L80" s="429">
        <v>25</v>
      </c>
      <c r="M80" s="430">
        <v>15.664428437142856</v>
      </c>
      <c r="N80" s="430">
        <v>30.228428704285715</v>
      </c>
      <c r="O80" s="430">
        <v>15.98614284142857</v>
      </c>
    </row>
    <row r="81" spans="11:15">
      <c r="L81" s="429">
        <v>26</v>
      </c>
      <c r="M81" s="430">
        <v>13.848143032857147</v>
      </c>
      <c r="N81" s="430">
        <v>27.872285568571431</v>
      </c>
      <c r="O81" s="430">
        <v>14.09042848857143</v>
      </c>
    </row>
    <row r="82" spans="11:15">
      <c r="L82" s="429">
        <v>27</v>
      </c>
      <c r="M82" s="430">
        <v>12.865857259999999</v>
      </c>
      <c r="N82" s="430">
        <v>27.257571358571429</v>
      </c>
      <c r="O82" s="430">
        <v>11.838857105714284</v>
      </c>
    </row>
    <row r="83" spans="11:15">
      <c r="K83" s="428">
        <v>28</v>
      </c>
      <c r="L83" s="429">
        <v>28</v>
      </c>
      <c r="M83" s="430">
        <v>12.915285789999999</v>
      </c>
      <c r="N83" s="430">
        <v>27.217285974285712</v>
      </c>
      <c r="O83" s="430">
        <v>9.7789998731428565</v>
      </c>
    </row>
    <row r="84" spans="11:15">
      <c r="L84" s="429">
        <v>29</v>
      </c>
      <c r="M84" s="430">
        <v>15.908571428571426</v>
      </c>
      <c r="N84" s="430">
        <v>24.955714285714286</v>
      </c>
      <c r="O84" s="430">
        <v>8.4957142857142856</v>
      </c>
    </row>
    <row r="85" spans="11:15">
      <c r="L85" s="429">
        <v>30</v>
      </c>
      <c r="M85" s="430">
        <v>16.584000042857145</v>
      </c>
      <c r="N85" s="430">
        <v>24.80942862142857</v>
      </c>
      <c r="O85" s="430">
        <v>7.807428428142857</v>
      </c>
    </row>
    <row r="86" spans="11:15">
      <c r="L86" s="429">
        <v>31</v>
      </c>
      <c r="M86" s="430">
        <v>18.553000000000001</v>
      </c>
      <c r="N86" s="430">
        <v>25.690999999999999</v>
      </c>
      <c r="O86" s="430">
        <v>7.53</v>
      </c>
    </row>
    <row r="87" spans="11:15">
      <c r="K87" s="428">
        <v>32</v>
      </c>
      <c r="L87" s="429">
        <v>32</v>
      </c>
      <c r="M87" s="430">
        <v>17.769714355714285</v>
      </c>
      <c r="N87" s="430">
        <v>27.630000251428573</v>
      </c>
      <c r="O87" s="430">
        <v>6.4074286734285701</v>
      </c>
    </row>
    <row r="88" spans="11:15">
      <c r="L88" s="429">
        <v>33</v>
      </c>
      <c r="M88" s="430">
        <v>14.782857348571428</v>
      </c>
      <c r="N88" s="430">
        <v>23.78</v>
      </c>
      <c r="O88" s="430">
        <v>4.9400000000000004</v>
      </c>
    </row>
    <row r="89" spans="11:15">
      <c r="L89" s="429">
        <v>34</v>
      </c>
      <c r="M89" s="430">
        <v>15.984000069999999</v>
      </c>
      <c r="N89" s="430">
        <v>23.527999878571428</v>
      </c>
      <c r="O89" s="430">
        <v>4.6688571658571432</v>
      </c>
    </row>
    <row r="90" spans="11:15">
      <c r="L90" s="429">
        <v>35</v>
      </c>
      <c r="M90" s="430">
        <v>15.55</v>
      </c>
      <c r="N90" s="430">
        <v>23.29</v>
      </c>
      <c r="O90" s="430">
        <v>4.5999999999999996</v>
      </c>
    </row>
    <row r="91" spans="11:15">
      <c r="K91" s="428">
        <v>36</v>
      </c>
      <c r="L91" s="429">
        <v>36</v>
      </c>
      <c r="M91" s="430">
        <v>15.042857142857143</v>
      </c>
      <c r="N91" s="430">
        <v>23.007142857142856</v>
      </c>
      <c r="O91" s="430">
        <v>3.9657142857142857</v>
      </c>
    </row>
    <row r="92" spans="11:15">
      <c r="L92" s="429">
        <v>37</v>
      </c>
      <c r="M92" s="430">
        <v>13.386857033</v>
      </c>
      <c r="N92" s="430">
        <v>23.173571724285711</v>
      </c>
      <c r="O92" s="430">
        <v>3.5334285327142858</v>
      </c>
    </row>
    <row r="93" spans="11:15">
      <c r="L93" s="429">
        <v>38</v>
      </c>
      <c r="M93" s="430">
        <v>12.963714189999999</v>
      </c>
      <c r="N93" s="430">
        <v>26.454000201428567</v>
      </c>
      <c r="O93" s="430">
        <v>6.4914285118571433</v>
      </c>
    </row>
    <row r="94" spans="11:15">
      <c r="L94" s="429">
        <v>39</v>
      </c>
      <c r="M94" s="430">
        <v>9.4700000000000006</v>
      </c>
      <c r="N94" s="430">
        <v>23.7</v>
      </c>
      <c r="O94" s="430">
        <v>4.9000000000000004</v>
      </c>
    </row>
    <row r="95" spans="11:15">
      <c r="K95" s="428">
        <v>40</v>
      </c>
      <c r="L95" s="429">
        <v>40</v>
      </c>
      <c r="M95" s="430">
        <v>9.6714286802857146</v>
      </c>
      <c r="N95" s="430">
        <v>23.695143017142858</v>
      </c>
      <c r="O95" s="430">
        <v>4.898285797571428</v>
      </c>
    </row>
    <row r="96" spans="11:15">
      <c r="L96" s="429">
        <v>41</v>
      </c>
      <c r="M96" s="430">
        <v>13.23900018419533</v>
      </c>
      <c r="N96" s="430">
        <v>28.113285882132363</v>
      </c>
      <c r="O96" s="430">
        <v>8.3430000032697169</v>
      </c>
    </row>
    <row r="97" spans="10:15">
      <c r="L97" s="429">
        <v>42</v>
      </c>
      <c r="M97" s="430">
        <v>13.085142816816015</v>
      </c>
      <c r="N97" s="430">
        <v>37.073285511561743</v>
      </c>
      <c r="O97" s="430">
        <v>7.2735712868826683</v>
      </c>
    </row>
    <row r="98" spans="10:15">
      <c r="L98" s="429">
        <v>43</v>
      </c>
      <c r="M98" s="430">
        <v>24.981571742466489</v>
      </c>
      <c r="N98" s="430">
        <v>70.535571507045162</v>
      </c>
      <c r="O98" s="430">
        <v>7.4324284962245324</v>
      </c>
    </row>
    <row r="99" spans="10:15">
      <c r="K99" s="428">
        <v>44</v>
      </c>
      <c r="L99" s="429">
        <v>44</v>
      </c>
      <c r="M99" s="430">
        <v>20.55814279714286</v>
      </c>
      <c r="N99" s="430">
        <v>55.183714184285712</v>
      </c>
      <c r="O99" s="430">
        <v>15.801856994857145</v>
      </c>
    </row>
    <row r="100" spans="10:15">
      <c r="L100" s="429">
        <v>45</v>
      </c>
      <c r="M100" s="430">
        <v>26.170000077142856</v>
      </c>
      <c r="N100" s="430">
        <v>60.445714132857141</v>
      </c>
      <c r="O100" s="430">
        <v>26.432857787142858</v>
      </c>
    </row>
    <row r="101" spans="10:15">
      <c r="L101" s="429">
        <v>46</v>
      </c>
      <c r="M101" s="430">
        <v>19.728571428571428</v>
      </c>
      <c r="N101" s="430">
        <v>57.005714285714291</v>
      </c>
      <c r="O101" s="430">
        <v>53.502857142857145</v>
      </c>
    </row>
    <row r="102" spans="10:15">
      <c r="L102" s="429">
        <v>47</v>
      </c>
      <c r="M102" s="430">
        <v>39.656714302857139</v>
      </c>
      <c r="N102" s="430">
        <v>103.00771440714287</v>
      </c>
      <c r="O102" s="430">
        <v>53.459142955714292</v>
      </c>
    </row>
    <row r="103" spans="10:15">
      <c r="K103" s="428">
        <v>48</v>
      </c>
      <c r="L103" s="429">
        <v>48</v>
      </c>
      <c r="M103" s="430">
        <v>39.656714302857139</v>
      </c>
      <c r="N103" s="430">
        <v>99.828000734285709</v>
      </c>
      <c r="O103" s="430">
        <v>45.539571760000008</v>
      </c>
    </row>
    <row r="104" spans="10:15">
      <c r="L104" s="429">
        <v>49</v>
      </c>
      <c r="M104" s="430">
        <v>22.62857142857143</v>
      </c>
      <c r="N104" s="430">
        <v>60.27571428571428</v>
      </c>
      <c r="O104" s="430">
        <v>17.955714285714286</v>
      </c>
    </row>
    <row r="105" spans="10:15">
      <c r="L105" s="429">
        <v>50</v>
      </c>
      <c r="M105" s="430">
        <v>17.776714461428572</v>
      </c>
      <c r="N105" s="430">
        <v>46.701999664285715</v>
      </c>
      <c r="O105" s="430">
        <v>13.432571411428571</v>
      </c>
    </row>
    <row r="106" spans="10:15">
      <c r="L106" s="429">
        <v>51</v>
      </c>
      <c r="M106" s="430">
        <v>34.085714285714282</v>
      </c>
      <c r="N106" s="430">
        <v>68.7</v>
      </c>
      <c r="O106" s="430">
        <v>39.414285714285711</v>
      </c>
    </row>
    <row r="107" spans="10:15">
      <c r="K107" s="428">
        <v>52</v>
      </c>
      <c r="L107" s="429">
        <v>52</v>
      </c>
      <c r="M107" s="430">
        <v>52.094142914285719</v>
      </c>
      <c r="N107" s="430">
        <v>97.347143448571416</v>
      </c>
      <c r="O107" s="430">
        <v>65.679429182857149</v>
      </c>
    </row>
    <row r="108" spans="10:15">
      <c r="J108" s="25">
        <v>2019</v>
      </c>
      <c r="K108" s="428">
        <v>1</v>
      </c>
      <c r="L108" s="429">
        <v>1</v>
      </c>
      <c r="M108" s="430">
        <v>27.79999951142857</v>
      </c>
      <c r="N108" s="430">
        <v>78.298570904285711</v>
      </c>
      <c r="O108" s="430">
        <v>21.927143370000003</v>
      </c>
    </row>
    <row r="109" spans="10:15">
      <c r="L109" s="429">
        <v>2</v>
      </c>
      <c r="M109" s="430">
        <v>28.678571428571427</v>
      </c>
      <c r="N109" s="430">
        <v>95.081715179999989</v>
      </c>
      <c r="O109" s="430">
        <v>22.397999900000002</v>
      </c>
    </row>
    <row r="110" spans="10:15">
      <c r="L110" s="429">
        <v>3</v>
      </c>
      <c r="M110" s="430">
        <v>44.51</v>
      </c>
      <c r="N110" s="430">
        <v>95.65</v>
      </c>
      <c r="O110" s="430">
        <v>17.61</v>
      </c>
    </row>
    <row r="111" spans="10:15">
      <c r="K111" s="428">
        <v>4</v>
      </c>
      <c r="L111" s="429">
        <v>4</v>
      </c>
      <c r="M111" s="430">
        <v>73.323141914285699</v>
      </c>
      <c r="N111" s="430">
        <v>109.29957036285714</v>
      </c>
      <c r="O111" s="430">
        <v>17.638000354285712</v>
      </c>
    </row>
    <row r="112" spans="10:15">
      <c r="L112" s="429">
        <v>5</v>
      </c>
      <c r="M112" s="430">
        <v>103.17716724333333</v>
      </c>
      <c r="N112" s="430">
        <v>149.65083311999999</v>
      </c>
      <c r="O112" s="430">
        <v>19.218833289999999</v>
      </c>
    </row>
    <row r="113" spans="11:15">
      <c r="L113" s="429">
        <v>6</v>
      </c>
      <c r="M113" s="430">
        <v>79.165714285714287</v>
      </c>
      <c r="N113" s="430">
        <v>136.57714285714286</v>
      </c>
      <c r="O113" s="430">
        <v>57.185714285714276</v>
      </c>
    </row>
    <row r="114" spans="11:15">
      <c r="L114" s="429">
        <v>7</v>
      </c>
      <c r="M114" s="430">
        <v>120.02256992142858</v>
      </c>
      <c r="N114" s="430">
        <v>224.71071514285714</v>
      </c>
      <c r="O114" s="430">
        <v>118.06042697857141</v>
      </c>
    </row>
    <row r="115" spans="11:15">
      <c r="K115" s="428">
        <v>8</v>
      </c>
      <c r="L115" s="429">
        <v>8</v>
      </c>
      <c r="M115" s="430">
        <v>97.560142514285715</v>
      </c>
      <c r="N115" s="430">
        <v>198.04342652857142</v>
      </c>
      <c r="O115" s="430">
        <v>106.29885756428571</v>
      </c>
    </row>
    <row r="116" spans="11:15">
      <c r="L116" s="429">
        <v>9</v>
      </c>
      <c r="M116" s="430">
        <v>97.560142514285715</v>
      </c>
      <c r="N116" s="430">
        <v>191.0112849857143</v>
      </c>
      <c r="O116" s="430">
        <v>142.12385776285717</v>
      </c>
    </row>
    <row r="117" spans="11:15">
      <c r="L117" s="429">
        <v>10</v>
      </c>
      <c r="M117" s="430">
        <v>97.497286117142863</v>
      </c>
      <c r="N117" s="430">
        <v>215.64014109999999</v>
      </c>
      <c r="O117" s="430">
        <v>164.59685624285717</v>
      </c>
    </row>
    <row r="118" spans="11:15">
      <c r="L118" s="429">
        <v>11</v>
      </c>
      <c r="M118" s="430">
        <v>98.21585736955906</v>
      </c>
      <c r="N118" s="430">
        <v>236.76099940708642</v>
      </c>
      <c r="O118" s="430">
        <v>121.6507121494835</v>
      </c>
    </row>
    <row r="119" spans="11:15">
      <c r="K119" s="428">
        <v>12</v>
      </c>
      <c r="L119" s="429">
        <v>12</v>
      </c>
      <c r="M119" s="430">
        <v>91.857713972857141</v>
      </c>
      <c r="N119" s="430">
        <v>250.8679761904763</v>
      </c>
      <c r="O119" s="430">
        <v>166.63136904761905</v>
      </c>
    </row>
    <row r="120" spans="11:15">
      <c r="L120" s="429">
        <v>13</v>
      </c>
      <c r="M120" s="430">
        <v>100.0137132957143</v>
      </c>
      <c r="N120" s="430">
        <v>301.45971681428574</v>
      </c>
      <c r="O120" s="430">
        <v>180.07000078571429</v>
      </c>
    </row>
    <row r="121" spans="11:15">
      <c r="L121" s="429">
        <v>14</v>
      </c>
      <c r="M121" s="430">
        <v>84.272714885714294</v>
      </c>
      <c r="N121" s="430">
        <v>253.08542525714284</v>
      </c>
      <c r="O121" s="430">
        <v>143.43971579999999</v>
      </c>
    </row>
    <row r="122" spans="11:15">
      <c r="L122" s="429">
        <v>15</v>
      </c>
      <c r="M122" s="430">
        <v>61.074856892857142</v>
      </c>
      <c r="N122" s="430">
        <v>253.08542525714284</v>
      </c>
      <c r="O122" s="430">
        <v>152.6561442857143</v>
      </c>
    </row>
    <row r="123" spans="11:15">
      <c r="K123" s="428">
        <v>16</v>
      </c>
      <c r="L123" s="429">
        <v>16</v>
      </c>
      <c r="M123" s="430">
        <v>47.843714031428576</v>
      </c>
      <c r="N123" s="430">
        <v>141.0458592</v>
      </c>
      <c r="O123" s="430">
        <v>83.844285145714295</v>
      </c>
    </row>
    <row r="124" spans="11:15">
      <c r="L124" s="429">
        <v>17</v>
      </c>
      <c r="M124" s="430">
        <v>50.907143728571427</v>
      </c>
      <c r="N124" s="430">
        <v>123.86656951428571</v>
      </c>
      <c r="O124" s="430">
        <v>125.28814153857142</v>
      </c>
    </row>
    <row r="125" spans="11:15">
      <c r="L125" s="429">
        <v>18</v>
      </c>
      <c r="M125" s="430">
        <v>39.120999471428568</v>
      </c>
      <c r="N125" s="430">
        <v>85.173857551428583</v>
      </c>
      <c r="O125" s="430">
        <v>66.347143447142855</v>
      </c>
    </row>
    <row r="126" spans="11:15">
      <c r="L126" s="429">
        <v>19</v>
      </c>
      <c r="M126" s="430">
        <v>35.410856791428571</v>
      </c>
      <c r="N126" s="430">
        <v>71.224285714285699</v>
      </c>
      <c r="O126" s="430">
        <v>42.216071428571425</v>
      </c>
    </row>
    <row r="127" spans="11:15">
      <c r="L127" s="429">
        <v>20</v>
      </c>
      <c r="M127" s="430">
        <v>32.405142920000003</v>
      </c>
      <c r="N127" s="430">
        <v>76.857142859999996</v>
      </c>
      <c r="O127" s="430">
        <v>58.324429100000003</v>
      </c>
    </row>
    <row r="128" spans="11:15">
      <c r="L128" s="429">
        <v>21</v>
      </c>
      <c r="M128" s="430">
        <v>26.58385740142857</v>
      </c>
      <c r="N128" s="430">
        <v>47.97114345</v>
      </c>
      <c r="O128" s="430">
        <v>34.032571519999998</v>
      </c>
    </row>
    <row r="129" spans="11:15">
      <c r="K129" s="428">
        <v>22</v>
      </c>
      <c r="L129" s="429">
        <v>22</v>
      </c>
      <c r="M129" s="430">
        <v>19.653714315714286</v>
      </c>
      <c r="N129" s="430">
        <v>37.624285945285713</v>
      </c>
      <c r="O129" s="430">
        <v>40.524285998571429</v>
      </c>
    </row>
    <row r="130" spans="11:15">
      <c r="L130" s="429">
        <v>23</v>
      </c>
      <c r="M130" s="430">
        <v>16.50400011857143</v>
      </c>
      <c r="N130" s="430">
        <v>37.806285858571421</v>
      </c>
      <c r="O130" s="430">
        <v>25.010571342857141</v>
      </c>
    </row>
    <row r="131" spans="11:15">
      <c r="L131" s="429">
        <v>24</v>
      </c>
      <c r="M131" s="430">
        <v>14.890428544285713</v>
      </c>
      <c r="N131" s="430">
        <v>35.468714032857143</v>
      </c>
      <c r="O131" s="430">
        <v>18.242713997857145</v>
      </c>
    </row>
    <row r="132" spans="11:15">
      <c r="L132" s="429">
        <v>25</v>
      </c>
      <c r="M132" s="430">
        <v>15.340000017142858</v>
      </c>
      <c r="N132" s="430">
        <v>33.200142724285719</v>
      </c>
      <c r="O132" s="430">
        <v>16.013142995714286</v>
      </c>
    </row>
    <row r="133" spans="11:15">
      <c r="K133" s="428">
        <v>26</v>
      </c>
      <c r="L133" s="429">
        <v>26</v>
      </c>
      <c r="M133" s="430">
        <v>15.521142687142857</v>
      </c>
      <c r="N133" s="430">
        <v>28.376285825714287</v>
      </c>
      <c r="O133" s="430">
        <v>12.961571557142857</v>
      </c>
    </row>
    <row r="134" spans="11:15">
      <c r="L134" s="429">
        <v>27</v>
      </c>
      <c r="M134" s="430">
        <v>15.32</v>
      </c>
      <c r="N134" s="430">
        <v>28.47</v>
      </c>
      <c r="O134" s="430">
        <v>11.39</v>
      </c>
    </row>
    <row r="135" spans="11:15">
      <c r="L135" s="429">
        <v>28</v>
      </c>
      <c r="M135" s="430">
        <v>14.809428488571427</v>
      </c>
      <c r="N135" s="457">
        <v>28.920333226666667</v>
      </c>
      <c r="O135" s="430">
        <v>11.405166626666668</v>
      </c>
    </row>
    <row r="136" spans="11:15">
      <c r="L136" s="429">
        <v>29</v>
      </c>
      <c r="M136" s="430">
        <v>13.666428565978956</v>
      </c>
      <c r="N136" s="457">
        <v>24.422333717346149</v>
      </c>
      <c r="O136" s="430">
        <v>10.173999945322651</v>
      </c>
    </row>
    <row r="137" spans="11:15">
      <c r="K137" s="428">
        <v>30</v>
      </c>
      <c r="L137" s="429">
        <v>30</v>
      </c>
      <c r="M137" s="430">
        <v>13.392857142857142</v>
      </c>
      <c r="N137" s="457">
        <v>24.086666666666662</v>
      </c>
      <c r="O137" s="430">
        <v>9.1716666666666669</v>
      </c>
    </row>
    <row r="138" spans="11:15">
      <c r="L138" s="429">
        <v>31</v>
      </c>
      <c r="M138" s="430">
        <v>13.098428589999999</v>
      </c>
      <c r="N138" s="457">
        <v>22.471285411428575</v>
      </c>
      <c r="O138" s="430">
        <v>8.5915715354285727</v>
      </c>
    </row>
    <row r="139" spans="11:15">
      <c r="L139" s="429">
        <v>32</v>
      </c>
      <c r="M139" s="430">
        <v>12.228285654285713</v>
      </c>
      <c r="N139" s="457">
        <v>25.212714058571429</v>
      </c>
      <c r="O139" s="430">
        <v>6.6260000637142857</v>
      </c>
    </row>
    <row r="140" spans="11:15">
      <c r="L140" s="429">
        <v>33</v>
      </c>
      <c r="M140" s="430">
        <v>12.838714327142856</v>
      </c>
      <c r="N140" s="457">
        <v>28.061000278571431</v>
      </c>
      <c r="O140" s="430">
        <v>5.9311428751428581</v>
      </c>
    </row>
    <row r="141" spans="11:15">
      <c r="K141" s="428">
        <v>34</v>
      </c>
      <c r="L141" s="429">
        <v>34</v>
      </c>
      <c r="M141" s="430">
        <v>12.37928554</v>
      </c>
      <c r="N141" s="457">
        <v>28.455856868571431</v>
      </c>
      <c r="O141" s="430">
        <v>5.2604285648571434</v>
      </c>
    </row>
    <row r="142" spans="11:15">
      <c r="L142" s="429">
        <v>35</v>
      </c>
      <c r="M142" s="430">
        <v>11.92371409142857</v>
      </c>
      <c r="N142" s="457">
        <v>26.646000226666668</v>
      </c>
      <c r="O142" s="430">
        <v>4.7316666444999997</v>
      </c>
    </row>
    <row r="143" spans="11:15">
      <c r="L143" s="429">
        <v>36</v>
      </c>
      <c r="M143" s="430">
        <v>10.731857162857143</v>
      </c>
      <c r="N143" s="430">
        <v>27.720570974285714</v>
      </c>
      <c r="O143" s="430">
        <v>4.5542856622857144</v>
      </c>
    </row>
    <row r="144" spans="11:15">
      <c r="L144" s="429">
        <v>37</v>
      </c>
      <c r="M144" s="430">
        <v>11.481428825714286</v>
      </c>
      <c r="N144" s="430">
        <v>27.967571258571429</v>
      </c>
      <c r="O144" s="430">
        <v>4.1919999124285718</v>
      </c>
    </row>
    <row r="145" spans="11:15">
      <c r="L145" s="429">
        <v>38</v>
      </c>
      <c r="M145" s="430">
        <v>12.217142857142859</v>
      </c>
      <c r="N145" s="430">
        <v>31.354000000000003</v>
      </c>
      <c r="O145" s="430">
        <v>4.1759999999999993</v>
      </c>
    </row>
    <row r="146" spans="11:15">
      <c r="L146" s="429">
        <v>39</v>
      </c>
      <c r="M146" s="430">
        <v>15.0261430740356</v>
      </c>
      <c r="N146" s="430">
        <v>37.146399307250938</v>
      </c>
      <c r="O146" s="430">
        <v>4.8932001113891559</v>
      </c>
    </row>
    <row r="147" spans="11:15">
      <c r="K147" s="428">
        <v>40</v>
      </c>
      <c r="L147" s="429">
        <v>40</v>
      </c>
      <c r="M147" s="430">
        <v>13.292000225714288</v>
      </c>
      <c r="N147" s="525">
        <v>29.934999783333328</v>
      </c>
      <c r="O147" s="430">
        <v>5.3130000431666664</v>
      </c>
    </row>
    <row r="148" spans="11:15">
      <c r="L148" s="429">
        <v>41</v>
      </c>
      <c r="M148" s="430">
        <v>15.472143037142859</v>
      </c>
      <c r="N148" s="525">
        <v>31.668000084285715</v>
      </c>
      <c r="O148" s="430">
        <v>8.3924286701428574</v>
      </c>
    </row>
    <row r="149" spans="11:15">
      <c r="L149" s="429">
        <v>42</v>
      </c>
      <c r="M149" s="430">
        <v>14.602857142857143</v>
      </c>
      <c r="N149" s="525">
        <v>30.061428571428571</v>
      </c>
      <c r="O149" s="430">
        <v>9.2871428571428574</v>
      </c>
    </row>
    <row r="150" spans="11:15">
      <c r="L150" s="429">
        <v>43</v>
      </c>
      <c r="M150" s="430">
        <v>18.763999527142854</v>
      </c>
      <c r="N150" s="525">
        <v>48.129999975714291</v>
      </c>
      <c r="O150" s="430">
        <v>18.153714861428572</v>
      </c>
    </row>
    <row r="151" spans="11:15">
      <c r="K151" s="428">
        <v>44</v>
      </c>
      <c r="L151" s="429">
        <v>44</v>
      </c>
      <c r="M151" s="430">
        <v>12.722428322857143</v>
      </c>
      <c r="N151" s="525">
        <v>37.781833011666663</v>
      </c>
      <c r="O151" s="430">
        <v>19.903499760000003</v>
      </c>
    </row>
    <row r="152" spans="11:15">
      <c r="L152" s="429">
        <v>45</v>
      </c>
      <c r="M152" s="430">
        <v>22.372000012857146</v>
      </c>
      <c r="N152" s="430">
        <v>60.721429549999996</v>
      </c>
      <c r="O152" s="430">
        <v>69.077428547142844</v>
      </c>
    </row>
    <row r="153" spans="11:15">
      <c r="L153" s="429">
        <v>46</v>
      </c>
      <c r="M153" s="430">
        <v>28.101571491428576</v>
      </c>
      <c r="N153" s="430">
        <v>68.569856369999997</v>
      </c>
      <c r="O153" s="430">
        <v>51.190428054285711</v>
      </c>
    </row>
    <row r="154" spans="11:15">
      <c r="L154" s="429">
        <v>47</v>
      </c>
      <c r="M154" s="430">
        <v>22.222285951428574</v>
      </c>
      <c r="N154" s="430">
        <v>51.534999302857152</v>
      </c>
      <c r="O154" s="430">
        <v>21.676285608571426</v>
      </c>
    </row>
    <row r="155" spans="11:15">
      <c r="K155" s="428">
        <v>48</v>
      </c>
      <c r="L155" s="429">
        <v>48</v>
      </c>
      <c r="M155" s="430">
        <v>18.796428408571426</v>
      </c>
      <c r="N155" s="430">
        <v>45.115714484285718</v>
      </c>
      <c r="O155" s="430">
        <v>19.428714208571428</v>
      </c>
    </row>
    <row r="156" spans="11:15">
      <c r="L156" s="429">
        <v>49</v>
      </c>
      <c r="M156" s="430">
        <v>40.459857124285712</v>
      </c>
      <c r="N156" s="430">
        <v>84.846428458571424</v>
      </c>
      <c r="O156" s="430">
        <v>67.787142617142862</v>
      </c>
    </row>
    <row r="157" spans="11:15">
      <c r="L157" s="429">
        <v>50</v>
      </c>
      <c r="M157" s="430">
        <v>55.208571570000004</v>
      </c>
      <c r="N157" s="430">
        <v>99.139714364285723</v>
      </c>
      <c r="O157" s="430">
        <v>46.000713344285714</v>
      </c>
    </row>
    <row r="158" spans="11:15">
      <c r="L158" s="429">
        <v>51</v>
      </c>
      <c r="M158" s="430">
        <v>84.778857641428559</v>
      </c>
      <c r="N158" s="430">
        <v>201.52657207142857</v>
      </c>
      <c r="O158" s="430">
        <v>43.586286274285712</v>
      </c>
    </row>
    <row r="159" spans="11:15">
      <c r="K159" s="428">
        <v>52</v>
      </c>
      <c r="L159" s="429">
        <v>52</v>
      </c>
      <c r="M159" s="430">
        <v>90.21400125571428</v>
      </c>
      <c r="N159" s="430">
        <v>224.1094316857143</v>
      </c>
      <c r="O159" s="430">
        <v>50.483570642857153</v>
      </c>
    </row>
    <row r="160" spans="11:15">
      <c r="K160" s="429"/>
      <c r="L160" s="429">
        <v>53</v>
      </c>
      <c r="M160" s="430">
        <v>80.061285835714287</v>
      </c>
      <c r="N160" s="430">
        <v>205.2461395</v>
      </c>
      <c r="O160" s="430">
        <v>83.637714931428576</v>
      </c>
    </row>
    <row r="161" spans="10:15">
      <c r="J161" s="25">
        <v>2020</v>
      </c>
      <c r="K161" s="781"/>
      <c r="L161" s="429">
        <v>1</v>
      </c>
      <c r="M161" s="430">
        <v>42.7519994463239</v>
      </c>
      <c r="N161" s="430">
        <v>129.33128356933543</v>
      </c>
      <c r="O161" s="430">
        <v>35.412713732038192</v>
      </c>
    </row>
    <row r="162" spans="10:15">
      <c r="K162" s="429"/>
      <c r="L162" s="429">
        <v>2</v>
      </c>
      <c r="M162" s="430">
        <v>30.679571151428568</v>
      </c>
      <c r="N162" s="430">
        <v>73.393001012857141</v>
      </c>
      <c r="O162" s="430">
        <v>22.044856754285714</v>
      </c>
    </row>
    <row r="163" spans="10:15">
      <c r="K163" s="429"/>
      <c r="L163" s="429">
        <v>3</v>
      </c>
      <c r="M163" s="430">
        <v>46.443999700000006</v>
      </c>
      <c r="N163" s="430">
        <v>73.092571804285726</v>
      </c>
      <c r="O163" s="430">
        <v>18.210142817142859</v>
      </c>
    </row>
    <row r="164" spans="10:15">
      <c r="K164" s="428">
        <v>4</v>
      </c>
      <c r="L164" s="429">
        <v>4</v>
      </c>
      <c r="M164" s="430">
        <v>56.559571404285713</v>
      </c>
      <c r="N164" s="430">
        <v>140.69343129999999</v>
      </c>
      <c r="O164" s="430">
        <v>15.934428624285713</v>
      </c>
    </row>
    <row r="165" spans="10:15">
      <c r="L165" s="429">
        <v>5</v>
      </c>
      <c r="M165" s="430">
        <v>85.997285015714283</v>
      </c>
      <c r="N165" s="430">
        <v>189.96014404285714</v>
      </c>
      <c r="O165" s="430">
        <v>16.347999845714288</v>
      </c>
    </row>
    <row r="166" spans="10:15">
      <c r="L166" s="429">
        <v>6</v>
      </c>
      <c r="M166" s="430">
        <v>79.643857683454215</v>
      </c>
      <c r="N166" s="430">
        <v>184.55100359235459</v>
      </c>
      <c r="O166" s="430">
        <v>24.545571190970243</v>
      </c>
    </row>
    <row r="167" spans="10:15">
      <c r="K167" s="429"/>
      <c r="L167" s="429">
        <v>7</v>
      </c>
      <c r="M167" s="430">
        <v>62.11542837857143</v>
      </c>
      <c r="N167" s="430">
        <v>141.4891401142857</v>
      </c>
      <c r="O167" s="430">
        <v>17.933714184285712</v>
      </c>
    </row>
    <row r="168" spans="10:15">
      <c r="K168" s="428">
        <v>8</v>
      </c>
      <c r="L168" s="429">
        <v>8</v>
      </c>
      <c r="M168" s="430">
        <v>41.134571620396166</v>
      </c>
      <c r="N168" s="430">
        <v>83.969571794782198</v>
      </c>
      <c r="O168" s="430">
        <v>15.5625712530953</v>
      </c>
    </row>
    <row r="169" spans="10:15">
      <c r="L169" s="429">
        <v>9</v>
      </c>
      <c r="M169" s="430">
        <v>70.027142117142859</v>
      </c>
      <c r="N169" s="430">
        <v>124.34114185428572</v>
      </c>
      <c r="O169" s="430">
        <v>23.340428760000002</v>
      </c>
    </row>
    <row r="170" spans="10:15">
      <c r="L170" s="429">
        <v>10</v>
      </c>
      <c r="M170" s="430">
        <v>51.713285718571434</v>
      </c>
      <c r="N170" s="430">
        <v>110.96499854142857</v>
      </c>
      <c r="O170" s="430">
        <v>51.143429344285714</v>
      </c>
    </row>
    <row r="171" spans="10:15">
      <c r="K171" s="429"/>
      <c r="L171" s="429">
        <v>11</v>
      </c>
      <c r="M171" s="430">
        <v>64.999999455714274</v>
      </c>
      <c r="N171" s="430">
        <v>130.17914037142856</v>
      </c>
      <c r="O171" s="430">
        <v>73.820713587142862</v>
      </c>
    </row>
    <row r="172" spans="10:15">
      <c r="K172" s="429"/>
      <c r="L172" s="429">
        <v>12</v>
      </c>
      <c r="M172" s="430">
        <v>70.530143192836164</v>
      </c>
      <c r="N172" s="430">
        <v>127.86657169886942</v>
      </c>
      <c r="O172" s="430">
        <v>34.1388571602957</v>
      </c>
    </row>
    <row r="173" spans="10:15">
      <c r="K173" s="429">
        <v>13</v>
      </c>
      <c r="L173" s="429">
        <v>13</v>
      </c>
      <c r="M173" s="430">
        <v>73.710714612688278</v>
      </c>
      <c r="N173" s="430">
        <v>138.12900325230143</v>
      </c>
      <c r="O173" s="430">
        <v>66.457714898245612</v>
      </c>
    </row>
    <row r="174" spans="10:15">
      <c r="M174" s="430"/>
      <c r="N174" s="430"/>
      <c r="O174" s="430"/>
    </row>
    <row r="175" spans="10:15">
      <c r="K175" s="676"/>
      <c r="L175" s="676"/>
      <c r="M175" s="430"/>
      <c r="N175" s="430"/>
      <c r="O175" s="430"/>
    </row>
    <row r="176" spans="10:15">
      <c r="K176" s="676"/>
      <c r="L176" s="676"/>
      <c r="M176" s="430"/>
      <c r="N176" s="430"/>
      <c r="O176" s="430"/>
    </row>
    <row r="177" spans="11:15">
      <c r="K177" s="676"/>
      <c r="L177" s="676"/>
      <c r="M177" s="430"/>
      <c r="N177" s="430"/>
      <c r="O177" s="430"/>
    </row>
    <row r="178" spans="11:15">
      <c r="K178" s="676"/>
      <c r="M178" s="430"/>
      <c r="N178" s="430"/>
      <c r="O178" s="430"/>
    </row>
    <row r="179" spans="11:15">
      <c r="K179" s="676"/>
      <c r="L179" s="676"/>
      <c r="M179" s="430"/>
      <c r="N179" s="430"/>
      <c r="O179" s="430"/>
    </row>
    <row r="180" spans="11:15">
      <c r="K180" s="676"/>
      <c r="L180" s="676"/>
      <c r="M180" s="430"/>
      <c r="N180" s="430"/>
      <c r="O180" s="430"/>
    </row>
    <row r="181" spans="11:15">
      <c r="K181" s="676"/>
      <c r="L181" s="676"/>
      <c r="M181" s="430"/>
      <c r="N181" s="430"/>
      <c r="O181" s="430"/>
    </row>
    <row r="182" spans="11:15">
      <c r="K182" s="637"/>
      <c r="L182" s="676"/>
      <c r="M182" s="430"/>
      <c r="N182" s="430"/>
      <c r="O182" s="430"/>
    </row>
    <row r="183" spans="11:15">
      <c r="K183" s="637"/>
      <c r="L183" s="676"/>
      <c r="M183" s="430"/>
      <c r="N183" s="430"/>
      <c r="O183" s="430"/>
    </row>
    <row r="184" spans="11:15">
      <c r="K184" s="637"/>
      <c r="L184" s="676"/>
      <c r="M184" s="430"/>
      <c r="N184" s="430"/>
      <c r="O184" s="430"/>
    </row>
    <row r="185" spans="11:15">
      <c r="K185" s="676"/>
      <c r="L185" s="676"/>
      <c r="M185" s="430"/>
      <c r="N185" s="430"/>
      <c r="O185" s="430"/>
    </row>
    <row r="186" spans="11:15">
      <c r="K186" s="637"/>
      <c r="L186" s="676"/>
      <c r="M186" s="430"/>
      <c r="N186" s="430"/>
      <c r="O186" s="430"/>
    </row>
    <row r="187" spans="11:15">
      <c r="K187" s="637"/>
      <c r="L187" s="676"/>
      <c r="M187" s="430"/>
      <c r="N187" s="430"/>
      <c r="O187" s="430"/>
    </row>
    <row r="188" spans="11:15">
      <c r="K188" s="637"/>
      <c r="L188" s="676"/>
      <c r="M188" s="430"/>
      <c r="N188" s="430"/>
      <c r="O188" s="430"/>
    </row>
    <row r="189" spans="11:15">
      <c r="K189" s="676"/>
      <c r="L189" s="676"/>
      <c r="M189" s="430"/>
      <c r="N189" s="430"/>
      <c r="O189" s="430"/>
    </row>
    <row r="190" spans="11:15">
      <c r="K190" s="637"/>
      <c r="L190" s="676"/>
      <c r="M190" s="430"/>
      <c r="N190" s="430"/>
      <c r="O190" s="430"/>
    </row>
    <row r="191" spans="11:15">
      <c r="K191" s="637"/>
      <c r="L191" s="676"/>
      <c r="M191" s="430"/>
      <c r="N191" s="430"/>
      <c r="O191" s="430"/>
    </row>
    <row r="192" spans="11:15">
      <c r="K192" s="637"/>
      <c r="L192" s="676"/>
      <c r="M192" s="430"/>
      <c r="N192" s="430"/>
      <c r="O192" s="430"/>
    </row>
    <row r="193" spans="11:15">
      <c r="K193" s="637"/>
      <c r="L193" s="676"/>
      <c r="M193" s="430"/>
      <c r="N193" s="430"/>
      <c r="O193" s="430"/>
    </row>
    <row r="194" spans="11:15">
      <c r="K194" s="637"/>
      <c r="L194" s="676"/>
      <c r="M194" s="430"/>
      <c r="N194" s="430"/>
      <c r="O194" s="430"/>
    </row>
    <row r="195" spans="11:15">
      <c r="K195" s="637"/>
      <c r="L195" s="676"/>
      <c r="M195" s="430"/>
      <c r="N195" s="430"/>
      <c r="O195" s="430"/>
    </row>
    <row r="196" spans="11:15">
      <c r="K196" s="637"/>
      <c r="L196" s="676"/>
      <c r="M196" s="430"/>
      <c r="N196" s="430"/>
      <c r="O196" s="430"/>
    </row>
    <row r="197" spans="11:15">
      <c r="K197" s="637"/>
      <c r="L197" s="676"/>
      <c r="M197" s="430"/>
      <c r="N197" s="430"/>
      <c r="O197" s="430"/>
    </row>
    <row r="198" spans="11:15">
      <c r="M198" s="430"/>
      <c r="N198" s="430"/>
      <c r="O198" s="430"/>
    </row>
    <row r="199" spans="11:15">
      <c r="M199" s="430"/>
      <c r="N199" s="430"/>
      <c r="O199" s="430"/>
    </row>
    <row r="200" spans="11:15">
      <c r="M200" s="430"/>
      <c r="N200" s="430"/>
      <c r="O200" s="430"/>
    </row>
    <row r="201" spans="11:15">
      <c r="M201" s="430"/>
      <c r="N201" s="430"/>
      <c r="O201" s="430"/>
    </row>
    <row r="202" spans="11:15">
      <c r="M202" s="430"/>
      <c r="N202" s="430"/>
      <c r="O202" s="430"/>
    </row>
    <row r="203" spans="11:15">
      <c r="M203" s="430"/>
      <c r="N203" s="430"/>
      <c r="O203" s="430"/>
    </row>
    <row r="204" spans="11:15">
      <c r="M204" s="430"/>
      <c r="N204" s="430"/>
      <c r="O204" s="430"/>
    </row>
    <row r="205" spans="11:15">
      <c r="M205" s="430"/>
      <c r="N205" s="430"/>
      <c r="O205" s="430"/>
    </row>
    <row r="206" spans="11:15">
      <c r="M206" s="430"/>
      <c r="N206" s="430"/>
      <c r="O206" s="430"/>
    </row>
    <row r="207" spans="11:15">
      <c r="M207" s="430"/>
      <c r="N207" s="430"/>
      <c r="O207" s="430"/>
    </row>
    <row r="208" spans="11:15">
      <c r="M208" s="430"/>
      <c r="N208" s="430"/>
      <c r="O208" s="430"/>
    </row>
    <row r="209" spans="13:15">
      <c r="M209" s="430"/>
      <c r="N209" s="430"/>
      <c r="O209" s="430"/>
    </row>
    <row r="210" spans="13:15">
      <c r="M210" s="430"/>
      <c r="N210" s="430"/>
      <c r="O210" s="430"/>
    </row>
    <row r="211" spans="13:15">
      <c r="M211" s="430"/>
      <c r="N211" s="430"/>
      <c r="O211" s="430"/>
    </row>
    <row r="213" spans="13:15">
      <c r="M213" s="428" t="s">
        <v>263</v>
      </c>
      <c r="N213" s="428" t="s">
        <v>264</v>
      </c>
      <c r="O213" s="428"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Mensual-Marzo 2020
INFSGI-MES-03-2020
14/04/2020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16"/>
  <sheetViews>
    <sheetView showGridLines="0" view="pageBreakPreview" zoomScale="85" zoomScaleNormal="100" zoomScaleSheetLayoutView="85" zoomScalePageLayoutView="130" workbookViewId="0">
      <selection activeCell="R40" sqref="R40"/>
    </sheetView>
  </sheetViews>
  <sheetFormatPr baseColWidth="10" defaultColWidth="9.33203125" defaultRowHeight="11.25"/>
  <cols>
    <col min="10" max="11" width="9.33203125" customWidth="1"/>
    <col min="13" max="16" width="9.33203125" style="428"/>
    <col min="17" max="17" width="11.6640625" style="428" bestFit="1" customWidth="1"/>
    <col min="18" max="18" width="15.1640625" style="428" customWidth="1"/>
    <col min="19" max="19" width="14.33203125" style="428" customWidth="1"/>
    <col min="20" max="20" width="14.5" style="428" customWidth="1"/>
    <col min="21" max="21" width="9.5" style="428" bestFit="1" customWidth="1"/>
    <col min="22" max="22" width="14.6640625" style="428" customWidth="1"/>
    <col min="23" max="23" width="9.5" style="428" customWidth="1"/>
    <col min="24" max="24" width="9.6640625" style="428" bestFit="1" customWidth="1"/>
    <col min="25" max="25" width="9.5" style="428" bestFit="1" customWidth="1"/>
    <col min="26" max="26" width="9.33203125" style="418"/>
    <col min="27" max="30" width="9.33203125" style="303"/>
    <col min="31" max="32" width="9.33203125" style="291"/>
  </cols>
  <sheetData>
    <row r="1" spans="1:25" ht="11.25" customHeight="1"/>
    <row r="2" spans="1:25" ht="11.25" customHeight="1">
      <c r="A2" s="304"/>
      <c r="B2" s="305"/>
      <c r="C2" s="305"/>
      <c r="D2" s="305"/>
      <c r="E2" s="305"/>
      <c r="F2" s="305"/>
      <c r="G2" s="174"/>
      <c r="H2" s="174"/>
      <c r="I2" s="132"/>
    </row>
    <row r="3" spans="1:25" ht="11.25" customHeight="1">
      <c r="A3" s="132"/>
      <c r="B3" s="132"/>
      <c r="C3" s="132"/>
      <c r="D3" s="132"/>
      <c r="E3" s="132"/>
      <c r="F3" s="132"/>
      <c r="G3" s="138"/>
      <c r="H3" s="138"/>
      <c r="I3" s="138"/>
      <c r="J3" s="148"/>
      <c r="K3" s="148"/>
      <c r="L3" s="148"/>
      <c r="O3" s="428" t="s">
        <v>262</v>
      </c>
      <c r="P3" s="429"/>
      <c r="Q3" s="428" t="s">
        <v>266</v>
      </c>
      <c r="R3" s="428" t="s">
        <v>267</v>
      </c>
      <c r="S3" s="428" t="s">
        <v>268</v>
      </c>
      <c r="T3" s="428" t="s">
        <v>269</v>
      </c>
      <c r="U3" s="428" t="s">
        <v>270</v>
      </c>
      <c r="V3" s="428" t="s">
        <v>271</v>
      </c>
      <c r="W3" s="428" t="s">
        <v>272</v>
      </c>
      <c r="X3" s="428" t="s">
        <v>273</v>
      </c>
      <c r="Y3" s="428" t="s">
        <v>274</v>
      </c>
    </row>
    <row r="4" spans="1:25" ht="11.25" customHeight="1">
      <c r="A4" s="132"/>
      <c r="B4" s="132"/>
      <c r="C4" s="132"/>
      <c r="D4" s="132"/>
      <c r="E4" s="132"/>
      <c r="F4" s="132"/>
      <c r="G4" s="138"/>
      <c r="H4" s="138"/>
      <c r="I4" s="138"/>
      <c r="J4" s="148"/>
      <c r="K4" s="148"/>
      <c r="L4" s="148"/>
      <c r="N4" s="428">
        <v>2017</v>
      </c>
      <c r="O4" s="428">
        <v>1</v>
      </c>
      <c r="P4" s="429">
        <v>1</v>
      </c>
      <c r="Q4" s="430">
        <v>13.85</v>
      </c>
      <c r="R4" s="430">
        <v>11.3</v>
      </c>
      <c r="S4" s="430">
        <v>104.02</v>
      </c>
      <c r="T4" s="430">
        <v>148.43</v>
      </c>
      <c r="U4" s="430">
        <v>24.1</v>
      </c>
      <c r="V4" s="430">
        <v>10.220000000000001</v>
      </c>
      <c r="W4" s="430">
        <v>3.28</v>
      </c>
      <c r="X4" s="430">
        <v>89.46</v>
      </c>
      <c r="Y4" s="430">
        <v>25.43</v>
      </c>
    </row>
    <row r="5" spans="1:25" ht="11.25" customHeight="1">
      <c r="A5" s="176"/>
      <c r="B5" s="176"/>
      <c r="C5" s="176"/>
      <c r="D5" s="176"/>
      <c r="E5" s="176"/>
      <c r="F5" s="176"/>
      <c r="G5" s="176"/>
      <c r="H5" s="176"/>
      <c r="I5" s="176"/>
      <c r="J5" s="24"/>
      <c r="K5" s="24"/>
      <c r="L5" s="131"/>
      <c r="P5" s="429">
        <v>2</v>
      </c>
      <c r="Q5" s="430">
        <v>14.96</v>
      </c>
      <c r="R5" s="430">
        <v>15.4</v>
      </c>
      <c r="S5" s="430">
        <v>143.97</v>
      </c>
      <c r="T5" s="430">
        <v>175.88</v>
      </c>
      <c r="U5" s="430">
        <v>33.74</v>
      </c>
      <c r="V5" s="430">
        <v>10.17</v>
      </c>
      <c r="W5" s="430">
        <v>6.45</v>
      </c>
      <c r="X5" s="430">
        <v>178.14</v>
      </c>
      <c r="Y5" s="430">
        <v>55.67</v>
      </c>
    </row>
    <row r="6" spans="1:25" ht="11.25" customHeight="1">
      <c r="A6" s="132"/>
      <c r="B6" s="306"/>
      <c r="C6" s="307"/>
      <c r="D6" s="308"/>
      <c r="E6" s="308"/>
      <c r="F6" s="177"/>
      <c r="G6" s="178"/>
      <c r="H6" s="178"/>
      <c r="I6" s="179"/>
      <c r="J6" s="24"/>
      <c r="K6" s="24"/>
      <c r="L6" s="19"/>
      <c r="P6" s="429">
        <v>3</v>
      </c>
      <c r="Q6" s="430">
        <v>28.98</v>
      </c>
      <c r="R6" s="430">
        <v>21.94</v>
      </c>
      <c r="S6" s="430">
        <v>355.12</v>
      </c>
      <c r="T6" s="430">
        <v>177.57</v>
      </c>
      <c r="U6" s="430">
        <v>35.49</v>
      </c>
      <c r="V6" s="430">
        <v>10</v>
      </c>
      <c r="W6" s="430">
        <v>9.0500000000000007</v>
      </c>
      <c r="X6" s="430">
        <v>174.94</v>
      </c>
      <c r="Y6" s="430">
        <v>58.31</v>
      </c>
    </row>
    <row r="7" spans="1:25" ht="11.25" customHeight="1">
      <c r="A7" s="132"/>
      <c r="B7" s="180"/>
      <c r="C7" s="180"/>
      <c r="D7" s="181"/>
      <c r="E7" s="181"/>
      <c r="F7" s="177"/>
      <c r="G7" s="178"/>
      <c r="H7" s="178"/>
      <c r="I7" s="179"/>
      <c r="J7" s="25"/>
      <c r="K7" s="25"/>
      <c r="L7" s="22"/>
      <c r="O7" s="428">
        <v>4</v>
      </c>
      <c r="P7" s="429">
        <v>4</v>
      </c>
      <c r="Q7" s="430">
        <v>30.46</v>
      </c>
      <c r="R7" s="430">
        <v>23.91</v>
      </c>
      <c r="S7" s="430">
        <v>519.4</v>
      </c>
      <c r="T7" s="430">
        <v>205.76</v>
      </c>
      <c r="U7" s="430">
        <v>48.48</v>
      </c>
      <c r="V7" s="430">
        <v>10</v>
      </c>
      <c r="W7" s="430">
        <v>2.4300000000000002</v>
      </c>
      <c r="X7" s="430">
        <v>141.31</v>
      </c>
      <c r="Y7" s="430">
        <v>47.49</v>
      </c>
    </row>
    <row r="8" spans="1:25" ht="11.25" customHeight="1">
      <c r="A8" s="132"/>
      <c r="B8" s="182"/>
      <c r="C8" s="132"/>
      <c r="D8" s="156"/>
      <c r="E8" s="156"/>
      <c r="F8" s="177"/>
      <c r="G8" s="178"/>
      <c r="H8" s="178"/>
      <c r="I8" s="179"/>
      <c r="J8" s="23"/>
      <c r="K8" s="23"/>
      <c r="L8" s="24"/>
      <c r="P8" s="429">
        <v>5</v>
      </c>
      <c r="Q8" s="430">
        <v>21.36</v>
      </c>
      <c r="R8" s="430">
        <v>18.07</v>
      </c>
      <c r="S8" s="430">
        <v>330.78</v>
      </c>
      <c r="T8" s="430">
        <v>123.41</v>
      </c>
      <c r="U8" s="430">
        <v>25.33</v>
      </c>
      <c r="V8" s="430">
        <v>11.41</v>
      </c>
      <c r="W8" s="430">
        <v>2.87</v>
      </c>
      <c r="X8" s="430">
        <v>123.59</v>
      </c>
      <c r="Y8" s="430">
        <v>45.46</v>
      </c>
    </row>
    <row r="9" spans="1:25" ht="11.25" customHeight="1">
      <c r="A9" s="132"/>
      <c r="B9" s="182"/>
      <c r="C9" s="132"/>
      <c r="D9" s="156"/>
      <c r="E9" s="156"/>
      <c r="F9" s="177"/>
      <c r="G9" s="178"/>
      <c r="H9" s="178"/>
      <c r="I9" s="179"/>
      <c r="J9" s="25"/>
      <c r="K9" s="26"/>
      <c r="L9" s="22"/>
      <c r="P9" s="429">
        <v>6</v>
      </c>
      <c r="Q9" s="430">
        <v>25.42</v>
      </c>
      <c r="R9" s="430">
        <v>21.42</v>
      </c>
      <c r="S9" s="430">
        <v>200.58</v>
      </c>
      <c r="T9" s="430">
        <v>108.48</v>
      </c>
      <c r="U9" s="430">
        <v>22.99</v>
      </c>
      <c r="V9" s="430">
        <v>10.57</v>
      </c>
      <c r="W9" s="430">
        <v>3.01</v>
      </c>
      <c r="X9" s="430">
        <v>85.48</v>
      </c>
      <c r="Y9" s="430">
        <v>28.56</v>
      </c>
    </row>
    <row r="10" spans="1:25" ht="11.25" customHeight="1">
      <c r="A10" s="132"/>
      <c r="B10" s="182"/>
      <c r="C10" s="132"/>
      <c r="D10" s="156"/>
      <c r="E10" s="156"/>
      <c r="F10" s="177"/>
      <c r="G10" s="178"/>
      <c r="H10" s="178"/>
      <c r="I10" s="179"/>
      <c r="J10" s="25"/>
      <c r="K10" s="25"/>
      <c r="L10" s="22"/>
      <c r="P10" s="429">
        <v>7</v>
      </c>
      <c r="Q10" s="430">
        <v>35.43</v>
      </c>
      <c r="R10" s="430">
        <v>25.12</v>
      </c>
      <c r="S10" s="430">
        <v>393.69</v>
      </c>
      <c r="T10" s="430">
        <v>144.62</v>
      </c>
      <c r="U10" s="430">
        <v>39.44</v>
      </c>
      <c r="V10" s="430">
        <v>10</v>
      </c>
      <c r="W10" s="430">
        <v>2.88</v>
      </c>
      <c r="X10" s="430">
        <v>100.57</v>
      </c>
      <c r="Y10" s="430">
        <v>25.04</v>
      </c>
    </row>
    <row r="11" spans="1:25" ht="11.25" customHeight="1">
      <c r="A11" s="132"/>
      <c r="B11" s="156"/>
      <c r="C11" s="132"/>
      <c r="D11" s="156"/>
      <c r="E11" s="156"/>
      <c r="F11" s="177"/>
      <c r="G11" s="178"/>
      <c r="H11" s="178"/>
      <c r="I11" s="179"/>
      <c r="J11" s="25"/>
      <c r="K11" s="25"/>
      <c r="L11" s="22"/>
      <c r="O11" s="428">
        <v>8</v>
      </c>
      <c r="P11" s="429">
        <v>8</v>
      </c>
      <c r="Q11" s="430">
        <v>30.45</v>
      </c>
      <c r="R11" s="430">
        <v>23.33</v>
      </c>
      <c r="S11" s="430">
        <v>345.37</v>
      </c>
      <c r="T11" s="430">
        <v>140.63</v>
      </c>
      <c r="U11" s="430">
        <v>30.47</v>
      </c>
      <c r="V11" s="430">
        <v>9.58</v>
      </c>
      <c r="W11" s="430">
        <v>2.0699999999999998</v>
      </c>
      <c r="X11" s="430">
        <v>163.72999999999999</v>
      </c>
      <c r="Y11" s="430">
        <v>58.84</v>
      </c>
    </row>
    <row r="12" spans="1:25" ht="11.25" customHeight="1">
      <c r="A12" s="132"/>
      <c r="B12" s="156"/>
      <c r="C12" s="132"/>
      <c r="D12" s="156"/>
      <c r="E12" s="156"/>
      <c r="F12" s="177"/>
      <c r="G12" s="178"/>
      <c r="H12" s="178"/>
      <c r="I12" s="179"/>
      <c r="J12" s="25"/>
      <c r="K12" s="25"/>
      <c r="L12" s="22"/>
      <c r="P12" s="429">
        <v>9</v>
      </c>
      <c r="Q12" s="430">
        <v>37.72</v>
      </c>
      <c r="R12" s="430">
        <v>24.83</v>
      </c>
      <c r="S12" s="430">
        <v>567.22</v>
      </c>
      <c r="T12" s="430">
        <v>245.85</v>
      </c>
      <c r="U12" s="430">
        <v>67.56</v>
      </c>
      <c r="V12" s="430">
        <v>9.01</v>
      </c>
      <c r="W12" s="430">
        <v>7.33</v>
      </c>
      <c r="X12" s="430">
        <v>285.31</v>
      </c>
      <c r="Y12" s="430">
        <v>102.26</v>
      </c>
    </row>
    <row r="13" spans="1:25" ht="11.25" customHeight="1">
      <c r="A13" s="132"/>
      <c r="B13" s="156"/>
      <c r="C13" s="132"/>
      <c r="D13" s="156"/>
      <c r="E13" s="156"/>
      <c r="F13" s="177"/>
      <c r="G13" s="178"/>
      <c r="H13" s="178"/>
      <c r="I13" s="179"/>
      <c r="J13" s="23"/>
      <c r="K13" s="23"/>
      <c r="L13" s="24"/>
      <c r="P13" s="429">
        <v>10</v>
      </c>
      <c r="Q13" s="430">
        <v>36.46</v>
      </c>
      <c r="R13" s="430">
        <v>24.95</v>
      </c>
      <c r="S13" s="430">
        <v>467.04</v>
      </c>
      <c r="T13" s="430">
        <v>188.01</v>
      </c>
      <c r="U13" s="430">
        <v>50.5</v>
      </c>
      <c r="V13" s="430">
        <v>10.06</v>
      </c>
      <c r="W13" s="430">
        <v>3.71</v>
      </c>
      <c r="X13" s="430">
        <v>374.33</v>
      </c>
      <c r="Y13" s="430">
        <v>83.74</v>
      </c>
    </row>
    <row r="14" spans="1:25" ht="11.25" customHeight="1">
      <c r="A14" s="132"/>
      <c r="B14" s="156"/>
      <c r="C14" s="132"/>
      <c r="D14" s="156"/>
      <c r="E14" s="156"/>
      <c r="F14" s="177"/>
      <c r="G14" s="178"/>
      <c r="H14" s="178"/>
      <c r="I14" s="179"/>
      <c r="J14" s="25"/>
      <c r="K14" s="26"/>
      <c r="L14" s="22"/>
      <c r="P14" s="429">
        <v>11</v>
      </c>
      <c r="Q14" s="430">
        <v>35.590000000000003</v>
      </c>
      <c r="R14" s="430">
        <v>26.89</v>
      </c>
      <c r="S14" s="430">
        <v>448.3</v>
      </c>
      <c r="T14" s="430">
        <v>169.95</v>
      </c>
      <c r="U14" s="430">
        <v>51.21</v>
      </c>
      <c r="V14" s="430">
        <v>26.15</v>
      </c>
      <c r="W14" s="430">
        <v>8.66</v>
      </c>
      <c r="X14" s="430">
        <v>219.86</v>
      </c>
      <c r="Y14" s="430">
        <v>62.42</v>
      </c>
    </row>
    <row r="15" spans="1:25" ht="11.25" customHeight="1">
      <c r="A15" s="132"/>
      <c r="B15" s="156"/>
      <c r="C15" s="132"/>
      <c r="D15" s="156"/>
      <c r="E15" s="156"/>
      <c r="F15" s="177"/>
      <c r="G15" s="178"/>
      <c r="H15" s="178"/>
      <c r="I15" s="179"/>
      <c r="J15" s="25"/>
      <c r="K15" s="26"/>
      <c r="L15" s="22"/>
      <c r="O15" s="428">
        <v>12</v>
      </c>
      <c r="P15" s="429">
        <v>12</v>
      </c>
      <c r="Q15" s="430">
        <v>37.82</v>
      </c>
      <c r="R15" s="430">
        <v>20.6</v>
      </c>
      <c r="S15" s="430">
        <v>350.87</v>
      </c>
      <c r="T15" s="430">
        <v>146.01</v>
      </c>
      <c r="U15" s="430">
        <v>38.08</v>
      </c>
      <c r="V15" s="430">
        <v>12.43</v>
      </c>
      <c r="W15" s="430">
        <v>5.63</v>
      </c>
      <c r="X15" s="430">
        <v>190.11</v>
      </c>
      <c r="Y15" s="430">
        <v>52.01</v>
      </c>
    </row>
    <row r="16" spans="1:25" ht="11.25" customHeight="1">
      <c r="A16" s="132"/>
      <c r="B16" s="156"/>
      <c r="C16" s="132"/>
      <c r="D16" s="156"/>
      <c r="E16" s="156"/>
      <c r="F16" s="177"/>
      <c r="G16" s="178"/>
      <c r="H16" s="178"/>
      <c r="I16" s="179"/>
      <c r="J16" s="25"/>
      <c r="K16" s="26"/>
      <c r="L16" s="22"/>
      <c r="P16" s="429">
        <v>13</v>
      </c>
      <c r="Q16" s="430">
        <v>35.93</v>
      </c>
      <c r="R16" s="430">
        <v>24.02</v>
      </c>
      <c r="S16" s="430">
        <v>380.48</v>
      </c>
      <c r="T16" s="430">
        <v>173.02</v>
      </c>
      <c r="U16" s="430">
        <v>38.869999999999997</v>
      </c>
      <c r="V16" s="430">
        <v>11.98</v>
      </c>
      <c r="W16" s="430">
        <v>5.83</v>
      </c>
      <c r="X16" s="430">
        <v>272.08999999999997</v>
      </c>
      <c r="Y16" s="430">
        <v>65.430000000000007</v>
      </c>
    </row>
    <row r="17" spans="1:25" ht="11.25" customHeight="1">
      <c r="A17" s="132"/>
      <c r="B17" s="156"/>
      <c r="C17" s="132"/>
      <c r="D17" s="156"/>
      <c r="E17" s="156"/>
      <c r="F17" s="177"/>
      <c r="G17" s="178"/>
      <c r="H17" s="178"/>
      <c r="I17" s="179"/>
      <c r="J17" s="25"/>
      <c r="K17" s="26"/>
      <c r="L17" s="22"/>
      <c r="P17" s="429">
        <v>14</v>
      </c>
      <c r="Q17" s="430">
        <v>42.9</v>
      </c>
      <c r="R17" s="430">
        <v>17.87</v>
      </c>
      <c r="S17" s="430">
        <v>427.28</v>
      </c>
      <c r="T17" s="430">
        <v>137.65</v>
      </c>
      <c r="U17" s="430">
        <v>35.950000000000003</v>
      </c>
      <c r="V17" s="430">
        <v>28.72</v>
      </c>
      <c r="W17" s="430">
        <v>4.95</v>
      </c>
      <c r="X17" s="430">
        <v>301.82</v>
      </c>
      <c r="Y17" s="430">
        <v>71.06</v>
      </c>
    </row>
    <row r="18" spans="1:25" ht="11.25" customHeight="1">
      <c r="A18" s="953" t="s">
        <v>493</v>
      </c>
      <c r="B18" s="953"/>
      <c r="C18" s="953"/>
      <c r="D18" s="953"/>
      <c r="E18" s="953"/>
      <c r="F18" s="953"/>
      <c r="G18" s="953"/>
      <c r="H18" s="953"/>
      <c r="I18" s="953"/>
      <c r="J18" s="953"/>
      <c r="K18" s="953"/>
      <c r="L18" s="953"/>
      <c r="P18" s="429">
        <v>15</v>
      </c>
      <c r="Q18" s="430">
        <v>31.19</v>
      </c>
      <c r="R18" s="430">
        <v>17.87</v>
      </c>
      <c r="S18" s="430">
        <v>334.14</v>
      </c>
      <c r="T18" s="430">
        <v>129.9</v>
      </c>
      <c r="U18" s="430">
        <v>29.93</v>
      </c>
      <c r="V18" s="430">
        <v>16.28</v>
      </c>
      <c r="W18" s="430">
        <v>1.82</v>
      </c>
      <c r="X18" s="430">
        <v>203.49</v>
      </c>
      <c r="Y18" s="430">
        <v>77.099999999999994</v>
      </c>
    </row>
    <row r="19" spans="1:25" ht="11.25" customHeight="1">
      <c r="A19" s="25"/>
      <c r="B19" s="156"/>
      <c r="C19" s="132"/>
      <c r="D19" s="156"/>
      <c r="E19" s="156"/>
      <c r="F19" s="177"/>
      <c r="G19" s="178"/>
      <c r="H19" s="178"/>
      <c r="I19" s="179"/>
      <c r="J19" s="25"/>
      <c r="K19" s="26"/>
      <c r="L19" s="22"/>
      <c r="O19" s="428">
        <v>16</v>
      </c>
      <c r="P19" s="429">
        <v>16</v>
      </c>
      <c r="Q19" s="430">
        <v>22.8</v>
      </c>
      <c r="R19" s="430">
        <v>11.46</v>
      </c>
      <c r="S19" s="430">
        <v>218.96</v>
      </c>
      <c r="T19" s="430">
        <v>100.66</v>
      </c>
      <c r="U19" s="430">
        <v>21.85</v>
      </c>
      <c r="V19" s="430">
        <v>15.43</v>
      </c>
      <c r="W19" s="430">
        <v>2.33</v>
      </c>
      <c r="X19" s="430">
        <v>155.33000000000001</v>
      </c>
      <c r="Y19" s="430">
        <v>48.77</v>
      </c>
    </row>
    <row r="20" spans="1:25" ht="11.25" customHeight="1">
      <c r="A20" s="132"/>
      <c r="B20" s="156"/>
      <c r="C20" s="132"/>
      <c r="D20" s="156"/>
      <c r="E20" s="156"/>
      <c r="F20" s="177"/>
      <c r="G20" s="178"/>
      <c r="H20" s="178"/>
      <c r="I20" s="179"/>
      <c r="J20" s="25"/>
      <c r="K20" s="26"/>
      <c r="L20" s="22"/>
      <c r="P20" s="429">
        <v>17</v>
      </c>
      <c r="Q20" s="430">
        <v>20.18</v>
      </c>
      <c r="R20" s="430">
        <v>11.46</v>
      </c>
      <c r="S20" s="430">
        <v>180.47</v>
      </c>
      <c r="T20" s="430">
        <v>91.24</v>
      </c>
      <c r="U20" s="430">
        <v>18.89</v>
      </c>
      <c r="V20" s="430">
        <v>12.29</v>
      </c>
      <c r="W20" s="430">
        <v>1.9</v>
      </c>
      <c r="X20" s="430">
        <v>111.37</v>
      </c>
      <c r="Y20" s="430">
        <v>34.409999999999997</v>
      </c>
    </row>
    <row r="21" spans="1:25" ht="11.25" customHeight="1">
      <c r="A21" s="132"/>
      <c r="B21" s="156"/>
      <c r="C21" s="132"/>
      <c r="D21" s="156"/>
      <c r="E21" s="156"/>
      <c r="F21" s="177"/>
      <c r="G21" s="178"/>
      <c r="H21" s="178"/>
      <c r="I21" s="179"/>
      <c r="J21" s="25"/>
      <c r="K21" s="29"/>
      <c r="L21" s="30"/>
      <c r="P21" s="429">
        <v>18</v>
      </c>
      <c r="Q21" s="430">
        <v>19.84</v>
      </c>
      <c r="R21" s="430">
        <v>10.36</v>
      </c>
      <c r="S21" s="430">
        <v>212.89</v>
      </c>
      <c r="T21" s="430">
        <v>98.95</v>
      </c>
      <c r="U21" s="430">
        <v>19.899999999999999</v>
      </c>
      <c r="V21" s="430">
        <v>11.64</v>
      </c>
      <c r="W21" s="430">
        <v>1.46</v>
      </c>
      <c r="X21" s="430">
        <v>117.05</v>
      </c>
      <c r="Y21" s="430">
        <v>28.8</v>
      </c>
    </row>
    <row r="22" spans="1:25" ht="11.25" customHeight="1">
      <c r="A22" s="137"/>
      <c r="B22" s="156"/>
      <c r="C22" s="132"/>
      <c r="D22" s="156"/>
      <c r="E22" s="156"/>
      <c r="F22" s="177"/>
      <c r="G22" s="178"/>
      <c r="H22" s="178"/>
      <c r="I22" s="179"/>
      <c r="J22" s="25"/>
      <c r="K22" s="26"/>
      <c r="L22" s="22"/>
      <c r="P22" s="429">
        <v>19</v>
      </c>
      <c r="Q22" s="430">
        <v>21.4</v>
      </c>
      <c r="R22" s="430">
        <v>9.25</v>
      </c>
      <c r="S22" s="430">
        <v>199.54</v>
      </c>
      <c r="T22" s="430">
        <v>89.02</v>
      </c>
      <c r="U22" s="430">
        <v>15.9</v>
      </c>
      <c r="V22" s="430">
        <v>11</v>
      </c>
      <c r="W22" s="430">
        <v>1.36</v>
      </c>
      <c r="X22" s="430">
        <v>79.2</v>
      </c>
      <c r="Y22" s="430">
        <v>22.78</v>
      </c>
    </row>
    <row r="23" spans="1:25" ht="11.25" customHeight="1">
      <c r="A23" s="137"/>
      <c r="B23" s="156"/>
      <c r="C23" s="132"/>
      <c r="D23" s="156"/>
      <c r="E23" s="156"/>
      <c r="F23" s="177"/>
      <c r="G23" s="178"/>
      <c r="H23" s="178"/>
      <c r="I23" s="179"/>
      <c r="J23" s="25"/>
      <c r="K23" s="26"/>
      <c r="L23" s="22"/>
      <c r="O23" s="428">
        <v>20</v>
      </c>
      <c r="P23" s="429">
        <v>20</v>
      </c>
      <c r="Q23" s="430">
        <v>17.23</v>
      </c>
      <c r="R23" s="430">
        <v>6.32</v>
      </c>
      <c r="S23" s="430">
        <v>136.84</v>
      </c>
      <c r="T23" s="430">
        <v>72.95</v>
      </c>
      <c r="U23" s="430">
        <v>15.03</v>
      </c>
      <c r="V23" s="430">
        <v>11</v>
      </c>
      <c r="W23" s="430">
        <v>1.98</v>
      </c>
      <c r="X23" s="430">
        <v>69.37</v>
      </c>
      <c r="Y23" s="430">
        <v>17.8</v>
      </c>
    </row>
    <row r="24" spans="1:25" ht="11.25" customHeight="1">
      <c r="A24" s="137"/>
      <c r="B24" s="156"/>
      <c r="C24" s="132"/>
      <c r="D24" s="156"/>
      <c r="E24" s="156"/>
      <c r="F24" s="177"/>
      <c r="G24" s="178"/>
      <c r="H24" s="178"/>
      <c r="I24" s="179"/>
      <c r="J24" s="26"/>
      <c r="K24" s="26"/>
      <c r="L24" s="22"/>
      <c r="P24" s="429">
        <v>21</v>
      </c>
      <c r="Q24" s="430">
        <v>16.09</v>
      </c>
      <c r="R24" s="430">
        <v>6.32</v>
      </c>
      <c r="S24" s="430">
        <v>116.86</v>
      </c>
      <c r="T24" s="430">
        <v>99.42</v>
      </c>
      <c r="U24" s="430">
        <v>20.059999999999999</v>
      </c>
      <c r="V24" s="430">
        <v>11.01</v>
      </c>
      <c r="W24" s="430">
        <v>1.6</v>
      </c>
      <c r="X24" s="430">
        <v>68.8</v>
      </c>
      <c r="Y24" s="430">
        <v>17.84</v>
      </c>
    </row>
    <row r="25" spans="1:25" ht="11.25" customHeight="1">
      <c r="A25" s="137"/>
      <c r="B25" s="156"/>
      <c r="C25" s="132"/>
      <c r="D25" s="156"/>
      <c r="E25" s="156"/>
      <c r="F25" s="177"/>
      <c r="G25" s="178"/>
      <c r="H25" s="178"/>
      <c r="I25" s="179"/>
      <c r="J25" s="25"/>
      <c r="K25" s="29"/>
      <c r="L25" s="30"/>
      <c r="P25" s="429">
        <v>22</v>
      </c>
      <c r="Q25" s="430">
        <v>15.1</v>
      </c>
      <c r="R25" s="430">
        <v>5.59</v>
      </c>
      <c r="S25" s="430">
        <v>118.58</v>
      </c>
      <c r="T25" s="430">
        <v>79.099999999999994</v>
      </c>
      <c r="U25" s="430">
        <v>16</v>
      </c>
      <c r="V25" s="430">
        <v>11</v>
      </c>
      <c r="W25" s="430">
        <v>1.01</v>
      </c>
      <c r="X25" s="430">
        <v>69.05</v>
      </c>
      <c r="Y25" s="430">
        <v>16.37</v>
      </c>
    </row>
    <row r="26" spans="1:25" ht="11.25" customHeight="1">
      <c r="A26" s="137"/>
      <c r="B26" s="156"/>
      <c r="C26" s="132"/>
      <c r="D26" s="156"/>
      <c r="E26" s="156"/>
      <c r="F26" s="138"/>
      <c r="G26" s="138"/>
      <c r="H26" s="138"/>
      <c r="I26" s="138"/>
      <c r="J26" s="23"/>
      <c r="K26" s="26"/>
      <c r="L26" s="22"/>
      <c r="P26" s="429">
        <v>23</v>
      </c>
      <c r="Q26" s="430">
        <v>14.28</v>
      </c>
      <c r="R26" s="430">
        <v>4.8499999999999996</v>
      </c>
      <c r="S26" s="430">
        <v>112.05</v>
      </c>
      <c r="T26" s="430">
        <v>63.27</v>
      </c>
      <c r="U26" s="430">
        <v>13.78</v>
      </c>
      <c r="V26" s="430">
        <v>11</v>
      </c>
      <c r="W26" s="430">
        <v>1.82</v>
      </c>
      <c r="X26" s="430">
        <v>54.09</v>
      </c>
      <c r="Y26" s="430">
        <v>13.15</v>
      </c>
    </row>
    <row r="27" spans="1:25" ht="11.25" customHeight="1">
      <c r="A27" s="137"/>
      <c r="B27" s="156"/>
      <c r="C27" s="132"/>
      <c r="D27" s="156"/>
      <c r="E27" s="156"/>
      <c r="F27" s="138"/>
      <c r="G27" s="138"/>
      <c r="H27" s="138"/>
      <c r="I27" s="138"/>
      <c r="J27" s="23"/>
      <c r="K27" s="26"/>
      <c r="L27" s="22"/>
      <c r="O27" s="428">
        <v>24</v>
      </c>
      <c r="P27" s="429">
        <v>24</v>
      </c>
      <c r="Q27" s="430">
        <v>13.3</v>
      </c>
      <c r="R27" s="430">
        <v>4.8499999999999996</v>
      </c>
      <c r="S27" s="430">
        <v>91.62</v>
      </c>
      <c r="T27" s="430">
        <v>49.79</v>
      </c>
      <c r="U27" s="430">
        <v>11.29</v>
      </c>
      <c r="V27" s="430">
        <v>11</v>
      </c>
      <c r="W27" s="430">
        <v>1.89</v>
      </c>
      <c r="X27" s="430">
        <v>45.31</v>
      </c>
      <c r="Y27" s="430">
        <v>10.85</v>
      </c>
    </row>
    <row r="28" spans="1:25" ht="11.25" customHeight="1">
      <c r="A28" s="136"/>
      <c r="B28" s="138"/>
      <c r="C28" s="138"/>
      <c r="D28" s="138"/>
      <c r="E28" s="138"/>
      <c r="F28" s="138"/>
      <c r="G28" s="138"/>
      <c r="H28" s="138"/>
      <c r="I28" s="138"/>
      <c r="J28" s="25"/>
      <c r="K28" s="26"/>
      <c r="L28" s="22"/>
      <c r="P28" s="429">
        <v>25</v>
      </c>
      <c r="Q28" s="430">
        <v>12.63</v>
      </c>
      <c r="R28" s="430">
        <v>3.77</v>
      </c>
      <c r="S28" s="430">
        <v>81.33</v>
      </c>
      <c r="T28" s="430">
        <v>46.74</v>
      </c>
      <c r="U28" s="430">
        <v>10.02</v>
      </c>
      <c r="V28" s="430">
        <v>11</v>
      </c>
      <c r="W28" s="430">
        <v>1.77</v>
      </c>
      <c r="X28" s="430">
        <v>40.42</v>
      </c>
      <c r="Y28" s="430">
        <v>8.98</v>
      </c>
    </row>
    <row r="29" spans="1:25" ht="11.25" customHeight="1">
      <c r="A29" s="136"/>
      <c r="B29" s="138"/>
      <c r="C29" s="138"/>
      <c r="D29" s="138"/>
      <c r="E29" s="138"/>
      <c r="F29" s="138"/>
      <c r="G29" s="138"/>
      <c r="H29" s="138"/>
      <c r="I29" s="138"/>
      <c r="J29" s="25"/>
      <c r="K29" s="26"/>
      <c r="L29" s="22"/>
      <c r="P29" s="429">
        <v>26</v>
      </c>
      <c r="Q29" s="430">
        <v>11.92</v>
      </c>
      <c r="R29" s="430">
        <v>3.77</v>
      </c>
      <c r="S29" s="430">
        <v>80.900000000000006</v>
      </c>
      <c r="T29" s="430">
        <v>41.45</v>
      </c>
      <c r="U29" s="430">
        <v>9.24</v>
      </c>
      <c r="V29" s="430">
        <v>12</v>
      </c>
      <c r="W29" s="430">
        <v>1.86</v>
      </c>
      <c r="X29" s="430">
        <v>37.89</v>
      </c>
      <c r="Y29" s="430">
        <v>9.41</v>
      </c>
    </row>
    <row r="30" spans="1:25" ht="11.25" customHeight="1">
      <c r="A30" s="136"/>
      <c r="B30" s="138"/>
      <c r="C30" s="138"/>
      <c r="D30" s="138"/>
      <c r="E30" s="138"/>
      <c r="F30" s="138"/>
      <c r="G30" s="138"/>
      <c r="H30" s="138"/>
      <c r="I30" s="138"/>
      <c r="J30" s="25"/>
      <c r="K30" s="26"/>
      <c r="L30" s="22"/>
      <c r="P30" s="429">
        <v>27</v>
      </c>
      <c r="Q30" s="430">
        <v>11.92</v>
      </c>
      <c r="R30" s="430">
        <v>3.91</v>
      </c>
      <c r="S30" s="430">
        <v>82.99</v>
      </c>
      <c r="T30" s="430">
        <v>60.31</v>
      </c>
      <c r="U30" s="430">
        <v>9.73</v>
      </c>
      <c r="V30" s="430">
        <v>12</v>
      </c>
      <c r="W30" s="430">
        <v>1.9</v>
      </c>
      <c r="X30" s="430">
        <v>38.229999999999997</v>
      </c>
      <c r="Y30" s="430">
        <v>8.58</v>
      </c>
    </row>
    <row r="31" spans="1:25" ht="11.25" customHeight="1">
      <c r="A31" s="136"/>
      <c r="B31" s="138"/>
      <c r="C31" s="138"/>
      <c r="D31" s="138"/>
      <c r="E31" s="138"/>
      <c r="F31" s="138"/>
      <c r="G31" s="138"/>
      <c r="H31" s="138"/>
      <c r="I31" s="138"/>
      <c r="J31" s="25"/>
      <c r="K31" s="26"/>
      <c r="L31" s="22"/>
      <c r="O31" s="428">
        <v>28</v>
      </c>
      <c r="P31" s="429">
        <v>28</v>
      </c>
      <c r="Q31" s="430">
        <v>11.04</v>
      </c>
      <c r="R31" s="430">
        <v>3.91</v>
      </c>
      <c r="S31" s="430">
        <v>71.739999999999995</v>
      </c>
      <c r="T31" s="430">
        <v>39.090000000000003</v>
      </c>
      <c r="U31" s="430">
        <v>8.42</v>
      </c>
      <c r="V31" s="430">
        <v>12</v>
      </c>
      <c r="W31" s="430">
        <v>1.65</v>
      </c>
      <c r="X31" s="430">
        <v>33.9</v>
      </c>
      <c r="Y31" s="430">
        <v>6.64</v>
      </c>
    </row>
    <row r="32" spans="1:25" ht="11.25" customHeight="1">
      <c r="A32" s="136"/>
      <c r="B32" s="138"/>
      <c r="C32" s="138"/>
      <c r="D32" s="138"/>
      <c r="E32" s="138"/>
      <c r="F32" s="138"/>
      <c r="G32" s="138"/>
      <c r="H32" s="138"/>
      <c r="I32" s="138"/>
      <c r="J32" s="26"/>
      <c r="K32" s="26"/>
      <c r="L32" s="22"/>
      <c r="P32" s="429">
        <v>29</v>
      </c>
      <c r="Q32" s="430">
        <v>10.27</v>
      </c>
      <c r="R32" s="430">
        <v>3.42</v>
      </c>
      <c r="S32" s="430">
        <v>67.8</v>
      </c>
      <c r="T32" s="430">
        <v>32.590000000000003</v>
      </c>
      <c r="U32" s="430">
        <v>7.7</v>
      </c>
      <c r="V32" s="430">
        <v>10.51</v>
      </c>
      <c r="W32" s="430">
        <v>1.79</v>
      </c>
      <c r="X32" s="430">
        <v>31.97</v>
      </c>
      <c r="Y32" s="430">
        <v>6.49</v>
      </c>
    </row>
    <row r="33" spans="1:25" ht="11.25" customHeight="1">
      <c r="A33" s="136"/>
      <c r="B33" s="138"/>
      <c r="C33" s="138"/>
      <c r="D33" s="138"/>
      <c r="E33" s="138"/>
      <c r="F33" s="138"/>
      <c r="G33" s="138"/>
      <c r="H33" s="138"/>
      <c r="I33" s="138"/>
      <c r="J33" s="25"/>
      <c r="K33" s="26"/>
      <c r="L33" s="22"/>
      <c r="P33" s="429">
        <v>30</v>
      </c>
      <c r="Q33" s="430">
        <v>9.4700000000000006</v>
      </c>
      <c r="R33" s="430">
        <v>3.42</v>
      </c>
      <c r="S33" s="430">
        <v>69.62</v>
      </c>
      <c r="T33" s="430">
        <v>28.39</v>
      </c>
      <c r="U33" s="430">
        <v>7.39</v>
      </c>
      <c r="V33" s="430">
        <v>12</v>
      </c>
      <c r="W33" s="430">
        <v>1.64</v>
      </c>
      <c r="X33" s="430">
        <v>31.76</v>
      </c>
      <c r="Y33" s="430">
        <v>6.15</v>
      </c>
    </row>
    <row r="34" spans="1:25" ht="11.25" customHeight="1">
      <c r="A34" s="136"/>
      <c r="B34" s="138"/>
      <c r="C34" s="138"/>
      <c r="D34" s="138"/>
      <c r="E34" s="138"/>
      <c r="F34" s="138"/>
      <c r="G34" s="138"/>
      <c r="H34" s="138"/>
      <c r="I34" s="138"/>
      <c r="J34" s="25"/>
      <c r="K34" s="34"/>
      <c r="L34" s="22"/>
      <c r="P34" s="429">
        <v>31</v>
      </c>
      <c r="Q34" s="430">
        <v>9.0500000000000007</v>
      </c>
      <c r="R34" s="430">
        <v>3.3</v>
      </c>
      <c r="S34" s="430">
        <v>61.71</v>
      </c>
      <c r="T34" s="430">
        <v>26.51</v>
      </c>
      <c r="U34" s="430">
        <v>7.02</v>
      </c>
      <c r="V34" s="430">
        <v>12</v>
      </c>
      <c r="W34" s="430">
        <v>1.87</v>
      </c>
      <c r="X34" s="430">
        <v>31.68</v>
      </c>
      <c r="Y34" s="430">
        <v>5.51</v>
      </c>
    </row>
    <row r="35" spans="1:25" ht="11.25" customHeight="1">
      <c r="A35" s="136"/>
      <c r="B35" s="138"/>
      <c r="C35" s="138"/>
      <c r="D35" s="138"/>
      <c r="E35" s="138"/>
      <c r="F35" s="138"/>
      <c r="G35" s="138"/>
      <c r="H35" s="138"/>
      <c r="I35" s="138"/>
      <c r="J35" s="25"/>
      <c r="K35" s="34"/>
      <c r="L35" s="38"/>
      <c r="O35" s="428">
        <v>32</v>
      </c>
      <c r="P35" s="429">
        <v>32</v>
      </c>
      <c r="Q35" s="430">
        <v>9.9</v>
      </c>
      <c r="R35" s="430">
        <v>2.68</v>
      </c>
      <c r="S35" s="430">
        <v>65.38</v>
      </c>
      <c r="T35" s="430">
        <v>24.1</v>
      </c>
      <c r="U35" s="430">
        <v>6.7</v>
      </c>
      <c r="V35" s="430">
        <v>12</v>
      </c>
      <c r="W35" s="430">
        <v>1.95</v>
      </c>
      <c r="X35" s="430">
        <v>31.01</v>
      </c>
      <c r="Y35" s="430">
        <v>5.16</v>
      </c>
    </row>
    <row r="36" spans="1:25" ht="11.25" customHeight="1">
      <c r="A36" s="136"/>
      <c r="B36" s="138"/>
      <c r="C36" s="138"/>
      <c r="D36" s="138"/>
      <c r="E36" s="138"/>
      <c r="F36" s="138"/>
      <c r="G36" s="138"/>
      <c r="H36" s="138"/>
      <c r="I36" s="138"/>
      <c r="J36" s="25"/>
      <c r="K36" s="29"/>
      <c r="L36" s="22"/>
      <c r="P36" s="429">
        <v>33</v>
      </c>
      <c r="Q36" s="430">
        <v>9.17</v>
      </c>
      <c r="R36" s="430">
        <v>2.4300000000000002</v>
      </c>
      <c r="S36" s="430">
        <v>59.63</v>
      </c>
      <c r="T36" s="430">
        <v>24.29</v>
      </c>
      <c r="U36" s="430">
        <v>6.44</v>
      </c>
      <c r="V36" s="430">
        <v>12</v>
      </c>
      <c r="W36" s="430">
        <v>1.82</v>
      </c>
      <c r="X36" s="430">
        <v>30.23</v>
      </c>
      <c r="Y36" s="430">
        <v>5.27</v>
      </c>
    </row>
    <row r="37" spans="1:25" ht="11.25" customHeight="1">
      <c r="A37" s="136"/>
      <c r="B37" s="138"/>
      <c r="C37" s="138"/>
      <c r="D37" s="138"/>
      <c r="E37" s="138"/>
      <c r="F37" s="138"/>
      <c r="G37" s="138"/>
      <c r="H37" s="138"/>
      <c r="I37" s="138"/>
      <c r="J37" s="25"/>
      <c r="K37" s="29"/>
      <c r="L37" s="22"/>
      <c r="P37" s="429">
        <v>34</v>
      </c>
      <c r="Q37" s="430">
        <v>7.78</v>
      </c>
      <c r="R37" s="430">
        <v>2.61</v>
      </c>
      <c r="S37" s="430">
        <v>60.62</v>
      </c>
      <c r="T37" s="430">
        <v>25.9</v>
      </c>
      <c r="U37" s="430">
        <v>6.62</v>
      </c>
      <c r="V37" s="430">
        <v>12</v>
      </c>
      <c r="W37" s="430">
        <v>1.89</v>
      </c>
      <c r="X37" s="430">
        <v>32.17</v>
      </c>
      <c r="Y37" s="430">
        <v>5.0599999999999996</v>
      </c>
    </row>
    <row r="38" spans="1:25" ht="11.25" customHeight="1">
      <c r="A38" s="136"/>
      <c r="B38" s="138"/>
      <c r="C38" s="138"/>
      <c r="D38" s="138"/>
      <c r="E38" s="138"/>
      <c r="F38" s="138"/>
      <c r="G38" s="138"/>
      <c r="H38" s="138"/>
      <c r="I38" s="138"/>
      <c r="J38" s="25"/>
      <c r="K38" s="29"/>
      <c r="L38" s="22"/>
      <c r="P38" s="429">
        <v>35</v>
      </c>
      <c r="Q38" s="430">
        <v>7.73</v>
      </c>
      <c r="R38" s="430">
        <v>3.07</v>
      </c>
      <c r="S38" s="430">
        <v>58.47</v>
      </c>
      <c r="T38" s="430">
        <v>26.33</v>
      </c>
      <c r="U38" s="430">
        <v>6.66</v>
      </c>
      <c r="V38" s="430">
        <v>12.14</v>
      </c>
      <c r="W38" s="430">
        <v>1.97</v>
      </c>
      <c r="X38" s="430">
        <v>31.63</v>
      </c>
      <c r="Y38" s="430">
        <v>4.84</v>
      </c>
    </row>
    <row r="39" spans="1:25" ht="11.25" customHeight="1">
      <c r="O39" s="428">
        <v>36</v>
      </c>
      <c r="P39" s="429">
        <v>36</v>
      </c>
      <c r="Q39" s="430">
        <v>7.1</v>
      </c>
      <c r="R39" s="430">
        <v>3.57</v>
      </c>
      <c r="S39" s="430">
        <v>61.13</v>
      </c>
      <c r="T39" s="430">
        <v>27.35</v>
      </c>
      <c r="U39" s="430">
        <v>6.84</v>
      </c>
      <c r="V39" s="430">
        <v>13</v>
      </c>
      <c r="W39" s="430">
        <v>1.76</v>
      </c>
      <c r="X39" s="430">
        <v>34.090000000000003</v>
      </c>
      <c r="Y39" s="430">
        <v>4.8899999999999997</v>
      </c>
    </row>
    <row r="40" spans="1:25" ht="11.25" customHeight="1">
      <c r="A40" s="953" t="s">
        <v>494</v>
      </c>
      <c r="B40" s="953"/>
      <c r="C40" s="953"/>
      <c r="D40" s="953"/>
      <c r="E40" s="953"/>
      <c r="F40" s="953"/>
      <c r="G40" s="953"/>
      <c r="H40" s="953"/>
      <c r="I40" s="953"/>
      <c r="J40" s="953"/>
      <c r="K40" s="953"/>
      <c r="L40" s="953"/>
      <c r="P40" s="429">
        <v>37</v>
      </c>
      <c r="Q40" s="430">
        <v>7.53</v>
      </c>
      <c r="R40" s="430">
        <v>5.04</v>
      </c>
      <c r="S40" s="430">
        <v>59.93</v>
      </c>
      <c r="T40" s="430">
        <v>34.56</v>
      </c>
      <c r="U40" s="430">
        <v>7.96</v>
      </c>
      <c r="V40" s="430">
        <v>13</v>
      </c>
      <c r="W40" s="430">
        <v>1.7</v>
      </c>
      <c r="X40" s="430">
        <v>38.06</v>
      </c>
      <c r="Y40" s="430">
        <v>8.4</v>
      </c>
    </row>
    <row r="41" spans="1:25" ht="11.25" customHeight="1">
      <c r="P41" s="429">
        <v>38</v>
      </c>
      <c r="Q41" s="430">
        <v>9.73</v>
      </c>
      <c r="R41" s="430">
        <v>3.75</v>
      </c>
      <c r="S41" s="430">
        <v>64.319999999999993</v>
      </c>
      <c r="T41" s="430">
        <v>41.74</v>
      </c>
      <c r="U41" s="430">
        <v>9.43</v>
      </c>
      <c r="V41" s="430">
        <v>13</v>
      </c>
      <c r="W41" s="430">
        <v>1.77</v>
      </c>
      <c r="X41" s="430">
        <v>41.12</v>
      </c>
      <c r="Y41" s="430">
        <v>6.42</v>
      </c>
    </row>
    <row r="42" spans="1:25" ht="11.25" customHeight="1">
      <c r="A42" s="136"/>
      <c r="B42" s="138"/>
      <c r="C42" s="138"/>
      <c r="D42" s="138"/>
      <c r="E42" s="138"/>
      <c r="F42" s="138"/>
      <c r="G42" s="138"/>
      <c r="H42" s="138"/>
      <c r="I42" s="138"/>
      <c r="O42" s="428">
        <v>39</v>
      </c>
      <c r="P42" s="429">
        <v>39</v>
      </c>
      <c r="Q42" s="430">
        <v>7.21</v>
      </c>
      <c r="R42" s="430">
        <v>3.83</v>
      </c>
      <c r="S42" s="430">
        <v>66.83</v>
      </c>
      <c r="T42" s="430">
        <v>46.48</v>
      </c>
      <c r="U42" s="430">
        <v>7.93</v>
      </c>
      <c r="V42" s="430">
        <v>13</v>
      </c>
      <c r="W42" s="430">
        <v>1.99</v>
      </c>
      <c r="X42" s="430">
        <v>33.06</v>
      </c>
      <c r="Y42" s="430">
        <v>7.98</v>
      </c>
    </row>
    <row r="43" spans="1:25" ht="11.25" customHeight="1">
      <c r="A43" s="136"/>
      <c r="B43" s="138"/>
      <c r="C43" s="138"/>
      <c r="D43" s="138"/>
      <c r="E43" s="138"/>
      <c r="F43" s="138"/>
      <c r="G43" s="138"/>
      <c r="H43" s="138"/>
      <c r="I43" s="138"/>
      <c r="P43" s="429">
        <v>40</v>
      </c>
      <c r="Q43" s="430">
        <v>6.89</v>
      </c>
      <c r="R43" s="430">
        <v>3.2</v>
      </c>
      <c r="S43" s="430">
        <v>56.32</v>
      </c>
      <c r="T43" s="430">
        <v>28.11</v>
      </c>
      <c r="U43" s="430">
        <v>6.02</v>
      </c>
      <c r="V43" s="430">
        <v>13</v>
      </c>
      <c r="W43" s="430">
        <v>1.48</v>
      </c>
      <c r="X43" s="430">
        <v>35.54</v>
      </c>
      <c r="Y43" s="430">
        <v>5.32</v>
      </c>
    </row>
    <row r="44" spans="1:25" ht="11.25" customHeight="1">
      <c r="A44" s="136"/>
      <c r="B44" s="138"/>
      <c r="C44" s="138"/>
      <c r="D44" s="138"/>
      <c r="E44" s="138"/>
      <c r="F44" s="138"/>
      <c r="G44" s="138"/>
      <c r="H44" s="138"/>
      <c r="I44" s="138"/>
      <c r="P44" s="429">
        <v>41</v>
      </c>
      <c r="Q44" s="430">
        <v>7.51</v>
      </c>
      <c r="R44" s="430">
        <v>3.26</v>
      </c>
      <c r="S44" s="430">
        <v>57.18</v>
      </c>
      <c r="T44" s="430">
        <v>32.11</v>
      </c>
      <c r="U44" s="430">
        <v>6.5</v>
      </c>
      <c r="V44" s="430">
        <v>13</v>
      </c>
      <c r="W44" s="430">
        <v>1.53</v>
      </c>
      <c r="X44" s="430">
        <v>37.47</v>
      </c>
      <c r="Y44" s="430">
        <v>4.95</v>
      </c>
    </row>
    <row r="45" spans="1:25" ht="11.25" customHeight="1">
      <c r="A45" s="136"/>
      <c r="B45" s="138"/>
      <c r="C45" s="138"/>
      <c r="D45" s="138"/>
      <c r="E45" s="138"/>
      <c r="F45" s="138"/>
      <c r="G45" s="138"/>
      <c r="H45" s="138"/>
      <c r="I45" s="138"/>
      <c r="P45" s="429">
        <v>42</v>
      </c>
      <c r="Q45" s="430">
        <v>7.92</v>
      </c>
      <c r="R45" s="430">
        <v>3.59</v>
      </c>
      <c r="S45" s="430">
        <v>71.87</v>
      </c>
      <c r="T45" s="430">
        <v>64.69</v>
      </c>
      <c r="U45" s="430">
        <v>9.44</v>
      </c>
      <c r="V45" s="430">
        <v>13</v>
      </c>
      <c r="W45" s="430">
        <v>1.93</v>
      </c>
      <c r="X45" s="430">
        <v>52.42</v>
      </c>
      <c r="Y45" s="430">
        <v>7.39</v>
      </c>
    </row>
    <row r="46" spans="1:25" ht="11.25" customHeight="1">
      <c r="A46" s="136"/>
      <c r="B46" s="138"/>
      <c r="C46" s="138"/>
      <c r="D46" s="138"/>
      <c r="E46" s="138"/>
      <c r="F46" s="138"/>
      <c r="G46" s="138"/>
      <c r="H46" s="138"/>
      <c r="I46" s="138"/>
      <c r="O46" s="428">
        <v>43</v>
      </c>
      <c r="P46" s="429">
        <v>43</v>
      </c>
      <c r="Q46" s="430">
        <v>9.16</v>
      </c>
      <c r="R46" s="430">
        <v>3.99</v>
      </c>
      <c r="S46" s="430">
        <v>73.22</v>
      </c>
      <c r="T46" s="430">
        <v>71.16</v>
      </c>
      <c r="U46" s="430">
        <v>8.8800000000000008</v>
      </c>
      <c r="V46" s="430">
        <v>13</v>
      </c>
      <c r="W46" s="430">
        <v>1.69</v>
      </c>
      <c r="X46" s="430">
        <v>43.93</v>
      </c>
      <c r="Y46" s="430">
        <v>6.18</v>
      </c>
    </row>
    <row r="47" spans="1:25" ht="11.25" customHeight="1">
      <c r="A47" s="136"/>
      <c r="B47" s="138"/>
      <c r="C47" s="138"/>
      <c r="D47" s="138"/>
      <c r="E47" s="138"/>
      <c r="F47" s="138"/>
      <c r="G47" s="138"/>
      <c r="H47" s="138"/>
      <c r="I47" s="138"/>
      <c r="P47" s="429">
        <v>44</v>
      </c>
      <c r="Q47" s="430">
        <v>8.81</v>
      </c>
      <c r="R47" s="430">
        <v>5.0199999999999996</v>
      </c>
      <c r="S47" s="430">
        <v>75.150000000000006</v>
      </c>
      <c r="T47" s="430">
        <v>62.33</v>
      </c>
      <c r="U47" s="430">
        <v>10.59</v>
      </c>
      <c r="V47" s="430">
        <v>13</v>
      </c>
      <c r="W47" s="430">
        <v>1.65</v>
      </c>
      <c r="X47" s="430">
        <v>40.229999999999997</v>
      </c>
      <c r="Y47" s="430">
        <v>8.7899999999999991</v>
      </c>
    </row>
    <row r="48" spans="1:25">
      <c r="A48" s="136"/>
      <c r="B48" s="138"/>
      <c r="C48" s="138"/>
      <c r="D48" s="138"/>
      <c r="E48" s="138"/>
      <c r="F48" s="138"/>
      <c r="G48" s="138"/>
      <c r="H48" s="138"/>
      <c r="I48" s="138"/>
      <c r="P48" s="429">
        <v>45</v>
      </c>
      <c r="Q48" s="430">
        <v>8.3800000000000008</v>
      </c>
      <c r="R48" s="430">
        <v>4.2</v>
      </c>
      <c r="S48" s="430">
        <v>67.39</v>
      </c>
      <c r="T48" s="430">
        <v>61.76</v>
      </c>
      <c r="U48" s="430">
        <v>10.039999999999999</v>
      </c>
      <c r="V48" s="430">
        <v>13</v>
      </c>
      <c r="W48" s="430">
        <v>1.51</v>
      </c>
      <c r="X48" s="430">
        <v>41.85</v>
      </c>
      <c r="Y48" s="430">
        <v>11.45</v>
      </c>
    </row>
    <row r="49" spans="1:25">
      <c r="A49" s="136"/>
      <c r="B49" s="138"/>
      <c r="C49" s="138"/>
      <c r="D49" s="138"/>
      <c r="E49" s="138"/>
      <c r="F49" s="138"/>
      <c r="G49" s="138"/>
      <c r="H49" s="138"/>
      <c r="I49" s="138"/>
      <c r="P49" s="429">
        <v>46</v>
      </c>
      <c r="Q49" s="430">
        <v>7.55</v>
      </c>
      <c r="R49" s="430">
        <v>3.7</v>
      </c>
      <c r="S49" s="430">
        <v>66.959999999999994</v>
      </c>
      <c r="T49" s="430">
        <v>66.040000000000006</v>
      </c>
      <c r="U49" s="430">
        <v>8.7799999999999994</v>
      </c>
      <c r="V49" s="430">
        <v>13</v>
      </c>
      <c r="W49" s="430">
        <v>1.65</v>
      </c>
      <c r="X49" s="430">
        <v>70.849999999999994</v>
      </c>
      <c r="Y49" s="430">
        <v>14.58</v>
      </c>
    </row>
    <row r="50" spans="1:25">
      <c r="A50" s="136"/>
      <c r="B50" s="138"/>
      <c r="C50" s="138"/>
      <c r="D50" s="138"/>
      <c r="E50" s="138"/>
      <c r="F50" s="138"/>
      <c r="G50" s="138"/>
      <c r="H50" s="138"/>
      <c r="I50" s="138"/>
      <c r="P50" s="429">
        <v>47</v>
      </c>
      <c r="Q50" s="430">
        <v>7.39</v>
      </c>
      <c r="R50" s="430">
        <v>3.85</v>
      </c>
      <c r="S50" s="430">
        <v>67.72</v>
      </c>
      <c r="T50" s="430">
        <v>52.82</v>
      </c>
      <c r="U50" s="430">
        <v>7.81</v>
      </c>
      <c r="V50" s="430">
        <v>13</v>
      </c>
      <c r="W50" s="430">
        <v>1.6</v>
      </c>
      <c r="X50" s="430">
        <v>64.819999999999993</v>
      </c>
      <c r="Y50" s="430">
        <v>12.14</v>
      </c>
    </row>
    <row r="51" spans="1:25">
      <c r="A51" s="136"/>
      <c r="B51" s="138"/>
      <c r="C51" s="138"/>
      <c r="D51" s="138"/>
      <c r="E51" s="138"/>
      <c r="F51" s="138"/>
      <c r="G51" s="138"/>
      <c r="H51" s="138"/>
      <c r="I51" s="138"/>
      <c r="O51" s="428">
        <v>48</v>
      </c>
      <c r="P51" s="429">
        <v>48</v>
      </c>
      <c r="Q51" s="430">
        <v>7.9678571564285718</v>
      </c>
      <c r="R51" s="430">
        <v>3.558142900428571</v>
      </c>
      <c r="S51" s="430">
        <v>77.366571698571434</v>
      </c>
      <c r="T51" s="430">
        <v>66.577285762857144</v>
      </c>
      <c r="U51" s="430">
        <v>9.1851428580000007</v>
      </c>
      <c r="V51" s="430">
        <v>13.005714417142858</v>
      </c>
      <c r="W51" s="430">
        <v>1.6</v>
      </c>
      <c r="X51" s="430">
        <v>47.846427917142854</v>
      </c>
      <c r="Y51" s="430">
        <v>12.516714369142859</v>
      </c>
    </row>
    <row r="52" spans="1:25">
      <c r="A52" s="136"/>
      <c r="B52" s="138"/>
      <c r="C52" s="138"/>
      <c r="D52" s="138"/>
      <c r="E52" s="138"/>
      <c r="F52" s="138"/>
      <c r="G52" s="138"/>
      <c r="H52" s="138"/>
      <c r="I52" s="138"/>
      <c r="P52" s="429">
        <v>49</v>
      </c>
      <c r="Q52" s="430">
        <v>8.4875713758571436</v>
      </c>
      <c r="R52" s="430">
        <v>3.2600000074285718</v>
      </c>
      <c r="S52" s="430">
        <v>84.55585806714285</v>
      </c>
      <c r="T52" s="430">
        <v>72.732000077142857</v>
      </c>
      <c r="U52" s="430">
        <v>14.04828548342857</v>
      </c>
      <c r="V52" s="430">
        <v>13.002857208571429</v>
      </c>
      <c r="W52" s="430">
        <v>1.6</v>
      </c>
      <c r="X52" s="430">
        <v>57.322143555714298</v>
      </c>
      <c r="Y52" s="430">
        <v>18.826999800000003</v>
      </c>
    </row>
    <row r="53" spans="1:25">
      <c r="A53" s="136"/>
      <c r="B53" s="138"/>
      <c r="C53" s="138"/>
      <c r="D53" s="138"/>
      <c r="E53" s="138"/>
      <c r="F53" s="138"/>
      <c r="G53" s="138"/>
      <c r="H53" s="138"/>
      <c r="I53" s="138"/>
      <c r="P53" s="429">
        <v>50</v>
      </c>
      <c r="Q53" s="430">
        <v>8.7257142747142868</v>
      </c>
      <c r="R53" s="430">
        <v>3.4628571441428577</v>
      </c>
      <c r="S53" s="430">
        <v>77.460142951428566</v>
      </c>
      <c r="T53" s="430">
        <v>64.097142899999994</v>
      </c>
      <c r="U53" s="430">
        <v>11.032857077571427</v>
      </c>
      <c r="V53" s="430">
        <v>13</v>
      </c>
      <c r="W53" s="430">
        <v>1.6000000240000001</v>
      </c>
      <c r="X53" s="430">
        <v>51.470714571428573</v>
      </c>
      <c r="Y53" s="430">
        <v>20.280285972857143</v>
      </c>
    </row>
    <row r="54" spans="1:25">
      <c r="A54" s="136"/>
      <c r="B54" s="138"/>
      <c r="C54" s="138"/>
      <c r="D54" s="138"/>
      <c r="E54" s="138"/>
      <c r="F54" s="138"/>
      <c r="G54" s="138"/>
      <c r="H54" s="138"/>
      <c r="I54" s="138"/>
      <c r="P54" s="429">
        <v>51</v>
      </c>
      <c r="Q54" s="430">
        <v>9.7215715127142861</v>
      </c>
      <c r="R54" s="430">
        <v>4.2539999484285715</v>
      </c>
      <c r="S54" s="430">
        <v>78.166143688571424</v>
      </c>
      <c r="T54" s="430">
        <v>94.237856191428577</v>
      </c>
      <c r="U54" s="430">
        <v>14.381428445285712</v>
      </c>
      <c r="V54" s="430">
        <v>13.01285743857143</v>
      </c>
      <c r="W54" s="430">
        <v>1.6257142851428572</v>
      </c>
      <c r="X54" s="430">
        <v>65.58357184285714</v>
      </c>
      <c r="Y54" s="430">
        <v>34.849000112857141</v>
      </c>
    </row>
    <row r="55" spans="1:25">
      <c r="A55" s="136"/>
      <c r="B55" s="138"/>
      <c r="C55" s="138"/>
      <c r="D55" s="138"/>
      <c r="E55" s="138"/>
      <c r="F55" s="138"/>
      <c r="G55" s="138"/>
      <c r="H55" s="138"/>
      <c r="I55" s="138"/>
      <c r="O55" s="428">
        <v>52</v>
      </c>
      <c r="P55" s="429">
        <v>52</v>
      </c>
      <c r="Q55" s="430">
        <v>10.323285784571427</v>
      </c>
      <c r="R55" s="430">
        <v>4.6457142829999993</v>
      </c>
      <c r="S55" s="430">
        <v>86.972714017142849</v>
      </c>
      <c r="T55" s="430">
        <v>94.357285634285716</v>
      </c>
      <c r="U55" s="430">
        <v>13.293999945714287</v>
      </c>
      <c r="V55" s="430">
        <v>13.09681579142857</v>
      </c>
      <c r="W55" s="430">
        <v>1.644999981</v>
      </c>
      <c r="X55" s="430">
        <v>104.27285767571428</v>
      </c>
      <c r="Y55" s="430">
        <v>35.335714887142856</v>
      </c>
    </row>
    <row r="56" spans="1:25">
      <c r="A56" s="136"/>
      <c r="B56" s="138"/>
      <c r="C56" s="138"/>
      <c r="D56" s="138"/>
      <c r="E56" s="138"/>
      <c r="F56" s="138"/>
      <c r="G56" s="138"/>
      <c r="H56" s="138"/>
      <c r="I56" s="138"/>
      <c r="N56" s="428">
        <v>2018</v>
      </c>
      <c r="O56" s="428">
        <v>1</v>
      </c>
      <c r="P56" s="429">
        <v>1</v>
      </c>
      <c r="Q56" s="430">
        <v>10.34</v>
      </c>
      <c r="R56" s="430">
        <v>4.4628571428571426</v>
      </c>
      <c r="S56" s="430">
        <v>140.04142857142858</v>
      </c>
      <c r="T56" s="430">
        <v>143.09</v>
      </c>
      <c r="U56" s="430">
        <v>20.63</v>
      </c>
      <c r="V56" s="430">
        <v>13</v>
      </c>
      <c r="W56" s="430">
        <v>1.64</v>
      </c>
      <c r="X56" s="430">
        <v>201.2428571428571</v>
      </c>
      <c r="Y56" s="430">
        <v>63.23</v>
      </c>
    </row>
    <row r="57" spans="1:25">
      <c r="A57" s="136"/>
      <c r="B57" s="138"/>
      <c r="C57" s="138"/>
      <c r="D57" s="138"/>
      <c r="E57" s="138"/>
      <c r="F57" s="138"/>
      <c r="G57" s="138"/>
      <c r="H57" s="138"/>
      <c r="I57" s="138"/>
      <c r="P57" s="429">
        <v>2</v>
      </c>
      <c r="Q57" s="430">
        <v>13.730999947142859</v>
      </c>
      <c r="R57" s="430">
        <v>3.5944285392857145</v>
      </c>
      <c r="S57" s="430">
        <v>209.91800362857143</v>
      </c>
      <c r="T57" s="430">
        <v>160.98214394285716</v>
      </c>
      <c r="U57" s="430">
        <v>36.213856559999996</v>
      </c>
      <c r="V57" s="430">
        <v>11.774285724285715</v>
      </c>
      <c r="W57" s="430">
        <v>1.5914286031428568</v>
      </c>
      <c r="X57" s="430">
        <v>229.4250030571429</v>
      </c>
      <c r="Y57" s="430">
        <v>56.654285431428562</v>
      </c>
    </row>
    <row r="58" spans="1:25">
      <c r="A58" s="136"/>
      <c r="B58" s="138"/>
      <c r="C58" s="138"/>
      <c r="D58" s="138"/>
      <c r="E58" s="138"/>
      <c r="F58" s="138"/>
      <c r="G58" s="138"/>
      <c r="H58" s="138"/>
      <c r="I58" s="138"/>
      <c r="P58" s="429">
        <v>3</v>
      </c>
      <c r="Q58" s="430">
        <v>15.983285902857142</v>
      </c>
      <c r="R58" s="430">
        <v>8.3045714242857152</v>
      </c>
      <c r="S58" s="430">
        <v>223.6645725857143</v>
      </c>
      <c r="T58" s="430">
        <v>190.44042751428574</v>
      </c>
      <c r="U58" s="430">
        <v>30.819142750000001</v>
      </c>
      <c r="V58" s="430">
        <v>11.857142857142858</v>
      </c>
      <c r="W58" s="430">
        <v>1.5814286125714285</v>
      </c>
      <c r="X58" s="430">
        <v>261.56357028571426</v>
      </c>
      <c r="Y58" s="430">
        <v>68.516428267142857</v>
      </c>
    </row>
    <row r="59" spans="1:25">
      <c r="A59" s="136"/>
      <c r="B59" s="138"/>
      <c r="C59" s="138"/>
      <c r="D59" s="138"/>
      <c r="E59" s="138"/>
      <c r="F59" s="138"/>
      <c r="G59" s="138"/>
      <c r="H59" s="138"/>
      <c r="I59" s="138"/>
      <c r="O59" s="428">
        <v>4</v>
      </c>
      <c r="P59" s="429">
        <v>4</v>
      </c>
      <c r="Q59" s="430">
        <v>21.988571574285714</v>
      </c>
      <c r="R59" s="430">
        <v>15.598142828000002</v>
      </c>
      <c r="S59" s="430">
        <v>346.88342720000003</v>
      </c>
      <c r="T59" s="430">
        <v>205.5832868285714</v>
      </c>
      <c r="U59" s="430">
        <v>40.893000467142862</v>
      </c>
      <c r="V59" s="430">
        <v>18.734285627142857</v>
      </c>
      <c r="W59" s="430">
        <v>1.5700000519999997</v>
      </c>
      <c r="X59" s="430">
        <v>261.98000009999998</v>
      </c>
      <c r="Y59" s="430">
        <v>58.935427530000005</v>
      </c>
    </row>
    <row r="60" spans="1:25">
      <c r="A60" s="136"/>
      <c r="B60" s="138"/>
      <c r="C60" s="138"/>
      <c r="D60" s="138"/>
      <c r="E60" s="138"/>
      <c r="F60" s="138"/>
      <c r="G60" s="138"/>
      <c r="H60" s="138"/>
      <c r="I60" s="138"/>
      <c r="P60" s="429">
        <v>5</v>
      </c>
      <c r="Q60" s="430">
        <v>17.729000225714284</v>
      </c>
      <c r="R60" s="430">
        <v>13.724571365714285</v>
      </c>
      <c r="S60" s="430">
        <v>214.95928737142859</v>
      </c>
      <c r="T60" s="430">
        <v>93.607142857142861</v>
      </c>
      <c r="U60" s="430">
        <v>17.748285841428572</v>
      </c>
      <c r="V60" s="430">
        <v>23.390000208571426</v>
      </c>
      <c r="W60" s="430">
        <v>1.5700000519999997</v>
      </c>
      <c r="X60" s="430">
        <v>141.83571514285714</v>
      </c>
      <c r="Y60" s="430">
        <v>45.332857951428579</v>
      </c>
    </row>
    <row r="61" spans="1:25">
      <c r="A61" s="136"/>
      <c r="B61" s="138"/>
      <c r="C61" s="138"/>
      <c r="D61" s="138"/>
      <c r="E61" s="138"/>
      <c r="F61" s="138"/>
      <c r="G61" s="138"/>
      <c r="H61" s="138"/>
      <c r="I61" s="138"/>
      <c r="P61" s="429">
        <v>6</v>
      </c>
      <c r="Q61" s="430">
        <v>13.582571572857143</v>
      </c>
      <c r="R61" s="430">
        <v>8.6634286477142854</v>
      </c>
      <c r="S61" s="430">
        <v>166.34242902857142</v>
      </c>
      <c r="T61" s="430">
        <v>108.25571334000001</v>
      </c>
      <c r="U61" s="430">
        <v>18.79157175142857</v>
      </c>
      <c r="V61" s="430">
        <v>20.201017107142857</v>
      </c>
      <c r="W61" s="430">
        <v>2.3694285491428571</v>
      </c>
      <c r="X61" s="430">
        <v>164.55714089999998</v>
      </c>
      <c r="Y61" s="430">
        <v>65.987571171428584</v>
      </c>
    </row>
    <row r="62" spans="1:25">
      <c r="A62" s="136"/>
      <c r="B62" s="138"/>
      <c r="C62" s="138"/>
      <c r="D62" s="138"/>
      <c r="E62" s="138"/>
      <c r="F62" s="138"/>
      <c r="G62" s="138"/>
      <c r="H62" s="138"/>
      <c r="I62" s="138"/>
      <c r="P62" s="429">
        <v>7</v>
      </c>
      <c r="Q62" s="430">
        <v>14.722571237142859</v>
      </c>
      <c r="R62" s="430">
        <v>11.071428435428571</v>
      </c>
      <c r="S62" s="430">
        <v>239.50057330000001</v>
      </c>
      <c r="T62" s="430">
        <v>202.98199900000003</v>
      </c>
      <c r="U62" s="430">
        <v>42.088571821428573</v>
      </c>
      <c r="V62" s="430">
        <v>15.283185821428571</v>
      </c>
      <c r="W62" s="430">
        <v>3.1689999100000001</v>
      </c>
      <c r="X62" s="430">
        <v>355.31285748571423</v>
      </c>
      <c r="Y62" s="430">
        <v>97.722999031428586</v>
      </c>
    </row>
    <row r="63" spans="1:25">
      <c r="A63" s="136"/>
      <c r="B63" s="138"/>
      <c r="C63" s="138"/>
      <c r="D63" s="138"/>
      <c r="E63" s="138"/>
      <c r="F63" s="138"/>
      <c r="G63" s="138"/>
      <c r="H63" s="138"/>
      <c r="I63" s="138"/>
      <c r="O63" s="428">
        <v>8</v>
      </c>
      <c r="P63" s="429">
        <v>8</v>
      </c>
      <c r="Q63" s="430">
        <v>18.48</v>
      </c>
      <c r="R63" s="430">
        <v>14.97</v>
      </c>
      <c r="S63" s="430">
        <v>357.61814662857148</v>
      </c>
      <c r="T63" s="430">
        <v>251.1</v>
      </c>
      <c r="U63" s="430">
        <v>43.74</v>
      </c>
      <c r="V63" s="430">
        <v>16.564</v>
      </c>
      <c r="W63" s="430">
        <v>3.16</v>
      </c>
      <c r="X63" s="430">
        <v>437.78</v>
      </c>
      <c r="Y63" s="430">
        <v>142.13</v>
      </c>
    </row>
    <row r="64" spans="1:25" ht="6" customHeight="1">
      <c r="A64" s="136"/>
      <c r="B64" s="138"/>
      <c r="C64" s="138"/>
      <c r="D64" s="138"/>
      <c r="E64" s="138"/>
      <c r="F64" s="138"/>
      <c r="G64" s="138"/>
      <c r="H64" s="138"/>
      <c r="I64" s="138"/>
      <c r="P64" s="429">
        <v>9</v>
      </c>
      <c r="Q64" s="430">
        <v>21.652428627142854</v>
      </c>
      <c r="R64" s="430">
        <v>14.185285431142857</v>
      </c>
      <c r="S64" s="430">
        <v>333.90885488571433</v>
      </c>
      <c r="T64" s="430">
        <v>204.95843285714287</v>
      </c>
      <c r="U64" s="430">
        <v>31.755000522857138</v>
      </c>
      <c r="V64" s="430">
        <v>15.852976190476195</v>
      </c>
      <c r="W64" s="430">
        <v>3.1689999100000001</v>
      </c>
      <c r="X64" s="430">
        <v>424.14571271428576</v>
      </c>
      <c r="Y64" s="430">
        <v>142.13857270714286</v>
      </c>
    </row>
    <row r="65" spans="1:25" ht="24.75" customHeight="1">
      <c r="A65" s="922" t="s">
        <v>495</v>
      </c>
      <c r="B65" s="922"/>
      <c r="C65" s="922"/>
      <c r="D65" s="922"/>
      <c r="E65" s="922"/>
      <c r="F65" s="922"/>
      <c r="G65" s="922"/>
      <c r="H65" s="922"/>
      <c r="I65" s="922"/>
      <c r="J65" s="922"/>
      <c r="K65" s="922"/>
      <c r="L65" s="922"/>
      <c r="P65" s="429">
        <v>10</v>
      </c>
      <c r="Q65" s="430">
        <v>30.272714344285713</v>
      </c>
      <c r="R65" s="430">
        <v>17.434571538571429</v>
      </c>
      <c r="S65" s="430">
        <v>431.64157101428572</v>
      </c>
      <c r="T65" s="430">
        <v>177.15485925714287</v>
      </c>
      <c r="U65" s="430">
        <v>31.196571622857142</v>
      </c>
      <c r="V65" s="430">
        <v>14.442</v>
      </c>
      <c r="W65" s="430">
        <v>4.7437142644285712</v>
      </c>
      <c r="X65" s="430">
        <v>293.69142804285718</v>
      </c>
      <c r="Y65" s="430">
        <v>72.30971418</v>
      </c>
    </row>
    <row r="66" spans="1:25" ht="20.25" customHeight="1">
      <c r="P66" s="429">
        <v>11</v>
      </c>
      <c r="Q66" s="430">
        <v>28.071857179999999</v>
      </c>
      <c r="R66" s="430">
        <v>17.048571724285715</v>
      </c>
      <c r="S66" s="430">
        <v>485.98543439999997</v>
      </c>
      <c r="T66" s="430">
        <v>169.375</v>
      </c>
      <c r="U66" s="430">
        <v>52.626284462857136</v>
      </c>
      <c r="V66" s="430">
        <v>18.273</v>
      </c>
      <c r="W66" s="430">
        <v>3.0879999738571429</v>
      </c>
      <c r="X66" s="430">
        <v>511.54500034285724</v>
      </c>
      <c r="Y66" s="430">
        <v>119.7894287057143</v>
      </c>
    </row>
    <row r="67" spans="1:25">
      <c r="O67" s="428">
        <v>12</v>
      </c>
      <c r="P67" s="429">
        <v>12</v>
      </c>
      <c r="Q67" s="430">
        <v>29.90999984714286</v>
      </c>
      <c r="R67" s="430">
        <v>21.62</v>
      </c>
      <c r="S67" s="430">
        <v>465.24414497142863</v>
      </c>
      <c r="T67" s="430">
        <v>201.58328465714288</v>
      </c>
      <c r="U67" s="430">
        <v>57.669144221428567</v>
      </c>
      <c r="V67" s="430">
        <v>23.244</v>
      </c>
      <c r="W67" s="430">
        <v>4.5095714328571432</v>
      </c>
      <c r="X67" s="430">
        <v>433.89143152857145</v>
      </c>
      <c r="Y67" s="430">
        <v>152.80443028571429</v>
      </c>
    </row>
    <row r="68" spans="1:25">
      <c r="P68" s="429">
        <v>13</v>
      </c>
      <c r="Q68" s="430">
        <v>28.360142844285718</v>
      </c>
      <c r="R68" s="430">
        <v>17.439428465714283</v>
      </c>
      <c r="S68" s="430">
        <v>396.37686155714289</v>
      </c>
      <c r="T68" s="430">
        <v>163.75585502857143</v>
      </c>
      <c r="U68" s="430">
        <v>35.725570951428573</v>
      </c>
      <c r="V68" s="430">
        <v>23.143392837142859</v>
      </c>
      <c r="W68" s="430">
        <v>3.3929999999999998</v>
      </c>
      <c r="X68" s="430">
        <v>281.79928587142859</v>
      </c>
      <c r="Y68" s="430">
        <v>107.32928468714286</v>
      </c>
    </row>
    <row r="69" spans="1:25">
      <c r="P69" s="429">
        <v>14</v>
      </c>
      <c r="Q69" s="430">
        <v>23.830285752857144</v>
      </c>
      <c r="R69" s="430">
        <v>12.833285604571429</v>
      </c>
      <c r="S69" s="430">
        <v>226.32643345714288</v>
      </c>
      <c r="T69" s="430">
        <v>133.53585814285714</v>
      </c>
      <c r="U69" s="430">
        <v>28.622000282857147</v>
      </c>
      <c r="V69" s="430">
        <v>19.16</v>
      </c>
      <c r="W69" s="430">
        <v>1.736</v>
      </c>
      <c r="X69" s="430">
        <v>176.23214502857144</v>
      </c>
      <c r="Y69" s="430">
        <v>80.936570849999995</v>
      </c>
    </row>
    <row r="70" spans="1:25">
      <c r="P70" s="429">
        <v>15</v>
      </c>
      <c r="Q70" s="430">
        <v>27</v>
      </c>
      <c r="R70" s="430">
        <v>15.571285655714286</v>
      </c>
      <c r="S70" s="430">
        <v>207.40800040000002</v>
      </c>
      <c r="T70" s="430">
        <v>107.59514291428572</v>
      </c>
      <c r="U70" s="430">
        <v>30.753999982857145</v>
      </c>
      <c r="V70" s="430">
        <v>14.377143042857142</v>
      </c>
      <c r="W70" s="430">
        <v>1.8612856864285716</v>
      </c>
      <c r="X70" s="430">
        <v>130.09</v>
      </c>
      <c r="Y70" s="430">
        <v>42.693143572857146</v>
      </c>
    </row>
    <row r="71" spans="1:25">
      <c r="O71" s="428">
        <v>16</v>
      </c>
      <c r="P71" s="429">
        <v>16</v>
      </c>
      <c r="Q71" s="430">
        <v>19.899999999999999</v>
      </c>
      <c r="R71" s="430">
        <v>12.83</v>
      </c>
      <c r="S71" s="430">
        <v>166.38871437142856</v>
      </c>
      <c r="T71" s="430">
        <v>95.78</v>
      </c>
      <c r="U71" s="430">
        <v>29.88</v>
      </c>
      <c r="V71" s="430">
        <v>12.36</v>
      </c>
      <c r="W71" s="430">
        <v>1.9</v>
      </c>
      <c r="X71" s="430">
        <v>96.9</v>
      </c>
      <c r="Y71" s="430">
        <v>33.717142651428574</v>
      </c>
    </row>
    <row r="72" spans="1:25">
      <c r="P72" s="429">
        <v>17</v>
      </c>
      <c r="Q72" s="430">
        <v>19.14</v>
      </c>
      <c r="R72" s="430">
        <v>13.52</v>
      </c>
      <c r="S72" s="430">
        <v>168.19342804285716</v>
      </c>
      <c r="T72" s="430">
        <v>95.39</v>
      </c>
      <c r="U72" s="430">
        <v>22.257285525714284</v>
      </c>
      <c r="V72" s="430">
        <v>13.4</v>
      </c>
      <c r="W72" s="430">
        <v>1.7940000124285713</v>
      </c>
      <c r="X72" s="430">
        <v>89.59</v>
      </c>
      <c r="Y72" s="430">
        <v>27.06</v>
      </c>
    </row>
    <row r="73" spans="1:25">
      <c r="P73" s="429">
        <v>18</v>
      </c>
      <c r="Q73" s="430">
        <v>19.703571455714286</v>
      </c>
      <c r="R73" s="430">
        <v>14.166857039571427</v>
      </c>
      <c r="S73" s="430">
        <v>171.5428597714286</v>
      </c>
      <c r="T73" s="430">
        <v>85.958285739999994</v>
      </c>
      <c r="U73" s="430">
        <v>21.651714052857141</v>
      </c>
      <c r="V73" s="430">
        <v>12.785805702857145</v>
      </c>
      <c r="W73" s="430">
        <v>2.3024285860000004</v>
      </c>
      <c r="X73" s="430">
        <v>89.602142331428567</v>
      </c>
      <c r="Y73" s="430">
        <v>22.269714081428571</v>
      </c>
    </row>
    <row r="74" spans="1:25">
      <c r="P74" s="429">
        <v>19</v>
      </c>
      <c r="Q74" s="430">
        <v>15.48828561</v>
      </c>
      <c r="R74" s="430">
        <v>12.650857108142857</v>
      </c>
      <c r="S74" s="430">
        <v>146.54485865714287</v>
      </c>
      <c r="T74" s="430">
        <v>88.244000028571435</v>
      </c>
      <c r="U74" s="430">
        <v>19.037142890000002</v>
      </c>
      <c r="V74" s="430">
        <v>11.328391347142857</v>
      </c>
      <c r="W74" s="430">
        <v>1.8057142665714285</v>
      </c>
      <c r="X74" s="430">
        <v>75.568572998571426</v>
      </c>
      <c r="Y74" s="430">
        <v>17.565999711428571</v>
      </c>
    </row>
    <row r="75" spans="1:25">
      <c r="O75" s="428">
        <v>20</v>
      </c>
      <c r="P75" s="429">
        <v>20</v>
      </c>
      <c r="Q75" s="430">
        <v>14.601142882857145</v>
      </c>
      <c r="R75" s="430">
        <v>10.013285772</v>
      </c>
      <c r="S75" s="430">
        <v>112.76242937142857</v>
      </c>
      <c r="T75" s="430">
        <v>64.809571402857145</v>
      </c>
      <c r="U75" s="430">
        <v>16.531571660000001</v>
      </c>
      <c r="V75" s="430">
        <v>10.899261474285714</v>
      </c>
      <c r="W75" s="430">
        <v>1.7767143248571429</v>
      </c>
      <c r="X75" s="430">
        <v>62.208570752857149</v>
      </c>
      <c r="Y75" s="430">
        <v>14.502285821428572</v>
      </c>
    </row>
    <row r="76" spans="1:25">
      <c r="P76" s="429">
        <v>21</v>
      </c>
      <c r="Q76" s="430">
        <v>13.411285537142858</v>
      </c>
      <c r="R76" s="430">
        <v>7.8631429672857154</v>
      </c>
      <c r="S76" s="430">
        <v>94.636570517142857</v>
      </c>
      <c r="T76" s="430">
        <v>49.303714208571428</v>
      </c>
      <c r="U76" s="430">
        <v>13.450571468571427</v>
      </c>
      <c r="V76" s="430">
        <v>11.166911400000002</v>
      </c>
      <c r="W76" s="430">
        <v>1.8437143055714282</v>
      </c>
      <c r="X76" s="430">
        <v>54.38714218285714</v>
      </c>
      <c r="Y76" s="430">
        <v>12.214999879999999</v>
      </c>
    </row>
    <row r="77" spans="1:25">
      <c r="P77" s="429">
        <v>22</v>
      </c>
      <c r="Q77" s="430">
        <v>12.490285737142855</v>
      </c>
      <c r="R77" s="430">
        <v>6.4215714250000007</v>
      </c>
      <c r="S77" s="430">
        <v>81.718714031428576</v>
      </c>
      <c r="T77" s="430">
        <v>42.928571428571431</v>
      </c>
      <c r="U77" s="430">
        <v>11.897571562857141</v>
      </c>
      <c r="V77" s="430">
        <v>10.57333578442857</v>
      </c>
      <c r="W77" s="430">
        <v>1.8770000252857142</v>
      </c>
      <c r="X77" s="430">
        <v>48.837857382857138</v>
      </c>
      <c r="Y77" s="430">
        <v>10.894571441428569</v>
      </c>
    </row>
    <row r="78" spans="1:25">
      <c r="P78" s="429">
        <v>23</v>
      </c>
      <c r="Q78" s="430">
        <v>12.278000014285713</v>
      </c>
      <c r="R78" s="430">
        <v>5.5577142921428564</v>
      </c>
      <c r="S78" s="430">
        <v>83.760285512857152</v>
      </c>
      <c r="T78" s="430">
        <v>67.797571451428567</v>
      </c>
      <c r="U78" s="430">
        <v>15.801714215714284</v>
      </c>
      <c r="V78" s="430">
        <v>11.341294289999999</v>
      </c>
      <c r="W78" s="430">
        <v>1.7928571701428571</v>
      </c>
      <c r="X78" s="430">
        <v>58.175000328571436</v>
      </c>
      <c r="Y78" s="430">
        <v>13.860571451428571</v>
      </c>
    </row>
    <row r="79" spans="1:25">
      <c r="O79" s="428">
        <v>24</v>
      </c>
      <c r="P79" s="429">
        <v>24</v>
      </c>
      <c r="Q79" s="430">
        <v>10.882714271142857</v>
      </c>
      <c r="R79" s="430">
        <v>5.3317142215714286</v>
      </c>
      <c r="S79" s="430">
        <v>82.799001421428557</v>
      </c>
      <c r="T79" s="430">
        <v>63.982142857142854</v>
      </c>
      <c r="U79" s="430">
        <v>15.595999989999999</v>
      </c>
      <c r="V79" s="430">
        <v>11.96411841142857</v>
      </c>
      <c r="W79" s="430">
        <v>2.0252857377142854</v>
      </c>
      <c r="X79" s="430">
        <v>61.988572801428582</v>
      </c>
      <c r="Y79" s="430">
        <v>13.392856871428572</v>
      </c>
    </row>
    <row r="80" spans="1:25">
      <c r="P80" s="429">
        <v>25</v>
      </c>
      <c r="Q80" s="430">
        <v>10.290999957142857</v>
      </c>
      <c r="R80" s="430">
        <v>3.7498572211428569</v>
      </c>
      <c r="S80" s="430">
        <v>74.093855721428568</v>
      </c>
      <c r="T80" s="430">
        <v>53.035571505714287</v>
      </c>
      <c r="U80" s="430">
        <v>14.135857038571428</v>
      </c>
      <c r="V80" s="430">
        <v>11.79</v>
      </c>
      <c r="W80" s="430">
        <v>2.0514285564285717</v>
      </c>
      <c r="X80" s="430">
        <v>51.970714024285719</v>
      </c>
      <c r="Y80" s="430">
        <v>10.749428476857142</v>
      </c>
    </row>
    <row r="81" spans="15:25">
      <c r="P81" s="429">
        <v>26</v>
      </c>
      <c r="Q81" s="430">
        <v>9.5591429302857147</v>
      </c>
      <c r="R81" s="430">
        <v>3.5651427677142853</v>
      </c>
      <c r="S81" s="430">
        <v>66.795142037142867</v>
      </c>
      <c r="T81" s="430">
        <v>40.369000025714286</v>
      </c>
      <c r="U81" s="430">
        <v>10.912428581428573</v>
      </c>
      <c r="V81" s="430">
        <v>10.93</v>
      </c>
      <c r="W81" s="430">
        <v>2.1038571597142854</v>
      </c>
      <c r="X81" s="430">
        <v>44.390714371428579</v>
      </c>
      <c r="Y81" s="430">
        <v>9.1145714351428584</v>
      </c>
    </row>
    <row r="82" spans="15:25">
      <c r="P82" s="429">
        <v>27</v>
      </c>
      <c r="Q82" s="430">
        <v>9.3137141635714293</v>
      </c>
      <c r="R82" s="430">
        <v>4.7600000245714282</v>
      </c>
      <c r="S82" s="430">
        <v>67.368571689999996</v>
      </c>
      <c r="T82" s="430">
        <v>33.409999999999997</v>
      </c>
      <c r="U82" s="430">
        <v>9.4035714009999989</v>
      </c>
      <c r="V82" s="430">
        <v>12.51</v>
      </c>
      <c r="W82" s="430">
        <v>2.0499999999999998</v>
      </c>
      <c r="X82" s="430">
        <v>39.173571994285716</v>
      </c>
      <c r="Y82" s="430">
        <v>7.6487142698571438</v>
      </c>
    </row>
    <row r="83" spans="15:25">
      <c r="O83" s="428">
        <v>28</v>
      </c>
      <c r="P83" s="429">
        <v>28</v>
      </c>
      <c r="Q83" s="430">
        <v>8.7544284548571447</v>
      </c>
      <c r="R83" s="430">
        <v>2.5707143034285713</v>
      </c>
      <c r="S83" s="430">
        <v>65.073571887142847</v>
      </c>
      <c r="T83" s="430">
        <v>33.160714285714285</v>
      </c>
      <c r="U83" s="430">
        <v>9.4155716217142871</v>
      </c>
      <c r="V83" s="430">
        <v>12.3</v>
      </c>
      <c r="W83" s="430">
        <v>2.2505714212857142</v>
      </c>
      <c r="X83" s="430">
        <v>36.999285560000011</v>
      </c>
      <c r="Y83" s="430">
        <v>7.0544285774285713</v>
      </c>
    </row>
    <row r="84" spans="15:25">
      <c r="P84" s="429">
        <v>29</v>
      </c>
      <c r="Q84" s="430">
        <v>8.6149000000000004</v>
      </c>
      <c r="R84" s="430">
        <v>3.7006000000000001</v>
      </c>
      <c r="S84" s="430">
        <v>62.515714285714289</v>
      </c>
      <c r="T84" s="430">
        <v>35.738</v>
      </c>
      <c r="U84" s="430">
        <v>9.5503999999999998</v>
      </c>
      <c r="V84" s="430">
        <v>12.245714285714286</v>
      </c>
      <c r="W84" s="430">
        <v>1.9771428571428571</v>
      </c>
      <c r="X84" s="430">
        <v>38.677142857142861</v>
      </c>
      <c r="Y84" s="430">
        <v>6.3400000000000007</v>
      </c>
    </row>
    <row r="85" spans="15:25">
      <c r="P85" s="429">
        <v>30</v>
      </c>
      <c r="Q85" s="430">
        <v>8.1221428598571439</v>
      </c>
      <c r="R85" s="430">
        <v>4.9111429789999992</v>
      </c>
      <c r="S85" s="430">
        <v>57.148857115714286</v>
      </c>
      <c r="T85" s="430">
        <v>85.065429679999994</v>
      </c>
      <c r="U85" s="430">
        <v>15.534142631428571</v>
      </c>
      <c r="V85" s="430">
        <v>10.995952741142858</v>
      </c>
      <c r="W85" s="430">
        <v>2.2859999964285715</v>
      </c>
      <c r="X85" s="430">
        <v>56.166428702857139</v>
      </c>
      <c r="Y85" s="430">
        <v>9.4385714285714304</v>
      </c>
    </row>
    <row r="86" spans="15:25">
      <c r="P86" s="429">
        <v>31</v>
      </c>
      <c r="Q86" s="430">
        <v>7.5620000000000003</v>
      </c>
      <c r="R86" s="430">
        <v>3.28</v>
      </c>
      <c r="S86" s="430">
        <v>58.768000000000001</v>
      </c>
      <c r="T86" s="430">
        <v>40.375</v>
      </c>
      <c r="U86" s="430">
        <v>8.5579999999999998</v>
      </c>
      <c r="V86" s="430">
        <v>13.18</v>
      </c>
      <c r="W86" s="430">
        <v>2</v>
      </c>
      <c r="X86" s="430">
        <v>50.215000000000003</v>
      </c>
      <c r="Y86" s="430">
        <v>8.5770238095238049</v>
      </c>
    </row>
    <row r="87" spans="15:25">
      <c r="O87" s="428">
        <v>32</v>
      </c>
      <c r="P87" s="429">
        <v>32</v>
      </c>
      <c r="Q87" s="430">
        <v>8.4994284765714276</v>
      </c>
      <c r="R87" s="430">
        <v>4.8781427315714287</v>
      </c>
      <c r="S87" s="430">
        <v>54.703428540000004</v>
      </c>
      <c r="T87" s="430">
        <v>52.946428571428569</v>
      </c>
      <c r="U87" s="430">
        <v>10.739857128857144</v>
      </c>
      <c r="V87" s="430">
        <v>10.850328444285712</v>
      </c>
      <c r="W87" s="430">
        <v>2.0667142697142857</v>
      </c>
      <c r="X87" s="430">
        <v>50.460713522857141</v>
      </c>
      <c r="Y87" s="430">
        <v>9.7962856299999999</v>
      </c>
    </row>
    <row r="88" spans="15:25">
      <c r="P88" s="429">
        <v>33</v>
      </c>
      <c r="Q88" s="430">
        <v>7.8117142411428571</v>
      </c>
      <c r="R88" s="430">
        <v>4.5999999999999996</v>
      </c>
      <c r="S88" s="430">
        <v>59.066285269999995</v>
      </c>
      <c r="T88" s="430">
        <v>47.13</v>
      </c>
      <c r="U88" s="430">
        <v>9.23</v>
      </c>
      <c r="V88" s="430">
        <v>10.84</v>
      </c>
      <c r="W88" s="430">
        <v>2.0499999999999998</v>
      </c>
      <c r="X88" s="430">
        <v>44.64</v>
      </c>
      <c r="Y88" s="430">
        <v>8.7822855541428577</v>
      </c>
    </row>
    <row r="89" spans="15:25">
      <c r="P89" s="429">
        <v>34</v>
      </c>
      <c r="Q89" s="430">
        <v>6.44</v>
      </c>
      <c r="R89" s="430">
        <v>5.1568571165714285</v>
      </c>
      <c r="S89" s="430">
        <v>82.033571515714272</v>
      </c>
      <c r="T89" s="430">
        <v>63.892999920000001</v>
      </c>
      <c r="U89" s="430">
        <v>10.917285918714287</v>
      </c>
      <c r="V89" s="430">
        <v>10.534582955714285</v>
      </c>
      <c r="W89" s="430">
        <v>1.8788571358571429</v>
      </c>
      <c r="X89" s="430">
        <v>35.627857751428571</v>
      </c>
      <c r="Y89" s="430">
        <v>11.383714402571428</v>
      </c>
    </row>
    <row r="90" spans="15:25">
      <c r="P90" s="429">
        <v>35</v>
      </c>
      <c r="Q90" s="430">
        <v>7.5428571428571427</v>
      </c>
      <c r="R90" s="430">
        <v>2.15</v>
      </c>
      <c r="S90" s="430">
        <v>71.48</v>
      </c>
      <c r="T90" s="430">
        <v>45.64</v>
      </c>
      <c r="U90" s="430">
        <v>9.4700000000000006</v>
      </c>
      <c r="V90" s="430">
        <v>10.92</v>
      </c>
      <c r="W90" s="430">
        <v>1.88</v>
      </c>
      <c r="X90" s="430">
        <v>32.979999999999997</v>
      </c>
      <c r="Y90" s="430">
        <v>7.88</v>
      </c>
    </row>
    <row r="91" spans="15:25">
      <c r="O91" s="428">
        <v>36</v>
      </c>
      <c r="P91" s="429">
        <v>36</v>
      </c>
      <c r="Q91" s="430">
        <v>7.1671427998571433</v>
      </c>
      <c r="R91" s="430">
        <v>4.8342857142857136</v>
      </c>
      <c r="S91" s="430">
        <v>63.092857142857149</v>
      </c>
      <c r="T91" s="430">
        <v>34.571428571428569</v>
      </c>
      <c r="U91" s="430">
        <v>7.5942857142857134</v>
      </c>
      <c r="V91" s="430">
        <v>11.091428571428571</v>
      </c>
      <c r="W91" s="430">
        <v>1.8442857142857143</v>
      </c>
      <c r="X91" s="430">
        <v>31.20428571428571</v>
      </c>
      <c r="Y91" s="430">
        <v>8.0857142857142854</v>
      </c>
    </row>
    <row r="92" spans="15:25">
      <c r="P92" s="429">
        <v>37</v>
      </c>
      <c r="Q92" s="430">
        <v>7.1637143408571422</v>
      </c>
      <c r="R92" s="430">
        <v>3.1535714688571423</v>
      </c>
      <c r="S92" s="430">
        <v>61.141713821428574</v>
      </c>
      <c r="T92" s="430">
        <v>28.744000025714286</v>
      </c>
      <c r="U92" s="430">
        <v>6.5637142318571433</v>
      </c>
      <c r="V92" s="430">
        <v>10.825238499999999</v>
      </c>
      <c r="W92" s="430">
        <v>1.8114285809999999</v>
      </c>
      <c r="X92" s="430">
        <v>29.614285605714283</v>
      </c>
      <c r="Y92" s="430">
        <v>8.6452856064285708</v>
      </c>
    </row>
    <row r="93" spans="15:25">
      <c r="P93" s="429">
        <v>38</v>
      </c>
      <c r="Q93" s="430">
        <v>8.31</v>
      </c>
      <c r="R93" s="430">
        <v>3.3441428289999995</v>
      </c>
      <c r="S93" s="430">
        <v>49.664428712857145</v>
      </c>
      <c r="T93" s="430">
        <v>35.571571351428574</v>
      </c>
      <c r="U93" s="430">
        <v>7.2939999444285712</v>
      </c>
      <c r="V93" s="430">
        <v>11.159824370000001</v>
      </c>
      <c r="W93" s="430">
        <v>1.8427142925714282</v>
      </c>
      <c r="X93" s="430">
        <v>30.912857054285716</v>
      </c>
      <c r="Y93" s="430">
        <v>8.6452856064285708</v>
      </c>
    </row>
    <row r="94" spans="15:25">
      <c r="P94" s="429">
        <v>39</v>
      </c>
      <c r="Q94" s="430">
        <v>7.621428489714285</v>
      </c>
      <c r="R94" s="430">
        <v>4.6500000000000004</v>
      </c>
      <c r="S94" s="430">
        <v>42.24</v>
      </c>
      <c r="T94" s="430">
        <v>39.39</v>
      </c>
      <c r="U94" s="430">
        <v>7.68</v>
      </c>
      <c r="V94" s="430">
        <v>11.33</v>
      </c>
      <c r="W94" s="430">
        <v>1.64</v>
      </c>
      <c r="X94" s="430">
        <v>37.200000000000003</v>
      </c>
      <c r="Y94" s="430">
        <v>7.4194285528571422</v>
      </c>
    </row>
    <row r="95" spans="15:25">
      <c r="O95" s="428">
        <v>40</v>
      </c>
      <c r="P95" s="429">
        <v>40</v>
      </c>
      <c r="Q95" s="430">
        <v>7.621428489714285</v>
      </c>
      <c r="R95" s="430">
        <v>5.128571373571428</v>
      </c>
      <c r="S95" s="430">
        <v>38.906285422857138</v>
      </c>
      <c r="T95" s="430">
        <v>41.34000069857143</v>
      </c>
      <c r="U95" s="430">
        <v>9.112857137571428</v>
      </c>
      <c r="V95" s="430">
        <v>11.565001485714285</v>
      </c>
      <c r="W95" s="430">
        <v>1.8221428395714285</v>
      </c>
      <c r="X95" s="430">
        <v>42.197143011428572</v>
      </c>
      <c r="Y95" s="430">
        <v>9.6005713597142837</v>
      </c>
    </row>
    <row r="96" spans="15:25">
      <c r="P96" s="429">
        <v>41</v>
      </c>
      <c r="Q96" s="430">
        <v>7.2698572022574259</v>
      </c>
      <c r="R96" s="430">
        <v>4.8594285079410948</v>
      </c>
      <c r="S96" s="430">
        <v>42.923713956560341</v>
      </c>
      <c r="T96" s="430">
        <v>56.607142857142847</v>
      </c>
      <c r="U96" s="430">
        <v>11.170142854962995</v>
      </c>
      <c r="V96" s="430">
        <v>12.740178653172041</v>
      </c>
      <c r="W96" s="430">
        <v>1.7041428429739784</v>
      </c>
      <c r="X96" s="430">
        <v>49.475714547293492</v>
      </c>
      <c r="Y96" s="430">
        <v>10.943285942077617</v>
      </c>
    </row>
    <row r="97" spans="14:25">
      <c r="P97" s="429">
        <v>42</v>
      </c>
      <c r="Q97" s="430">
        <v>6.2732856614249064</v>
      </c>
      <c r="R97" s="430">
        <v>4.00314286776951</v>
      </c>
      <c r="S97" s="430">
        <v>73.976001194545148</v>
      </c>
      <c r="T97" s="430">
        <v>89.232285635811792</v>
      </c>
      <c r="U97" s="430">
        <v>19.282285690307582</v>
      </c>
      <c r="V97" s="430">
        <v>11.792381422860229</v>
      </c>
      <c r="W97" s="430">
        <v>1.5524285691124997</v>
      </c>
      <c r="X97" s="430">
        <v>72.350713457379968</v>
      </c>
      <c r="Y97" s="430">
        <v>17.972571236746628</v>
      </c>
    </row>
    <row r="98" spans="14:25">
      <c r="P98" s="429">
        <v>43</v>
      </c>
      <c r="Q98" s="430">
        <v>8.3208571161542526</v>
      </c>
      <c r="R98" s="430">
        <v>6.0481427737644662</v>
      </c>
      <c r="S98" s="430">
        <v>97.234427315848038</v>
      </c>
      <c r="T98" s="430">
        <v>125.70828465052978</v>
      </c>
      <c r="U98" s="430">
        <v>26.382142475673081</v>
      </c>
      <c r="V98" s="430">
        <v>12.0416071755545</v>
      </c>
      <c r="W98" s="430">
        <v>1.585428544453207</v>
      </c>
      <c r="X98" s="430">
        <v>82.484284537179079</v>
      </c>
      <c r="Y98" s="430">
        <v>19.552571432931028</v>
      </c>
    </row>
    <row r="99" spans="14:25">
      <c r="O99" s="428">
        <v>44</v>
      </c>
      <c r="P99" s="429">
        <v>44</v>
      </c>
      <c r="Q99" s="430">
        <v>9.2941429947142868</v>
      </c>
      <c r="R99" s="430">
        <v>7.6531428608571428</v>
      </c>
      <c r="S99" s="430">
        <v>120.62971387142855</v>
      </c>
      <c r="T99" s="430">
        <v>157.60714285714286</v>
      </c>
      <c r="U99" s="430">
        <v>33.364427840000005</v>
      </c>
      <c r="V99" s="430">
        <v>12.188929967142856</v>
      </c>
      <c r="W99" s="430">
        <v>1.6864285471428571</v>
      </c>
      <c r="X99" s="430">
        <v>110.40928649571428</v>
      </c>
      <c r="Y99" s="430">
        <v>33.081571032857141</v>
      </c>
    </row>
    <row r="100" spans="14:25">
      <c r="P100" s="429">
        <v>45</v>
      </c>
      <c r="Q100" s="430">
        <v>8.6642857274285721</v>
      </c>
      <c r="R100" s="430">
        <v>4.2061428341428568</v>
      </c>
      <c r="S100" s="430">
        <v>125.43157086857143</v>
      </c>
      <c r="T100" s="430">
        <v>105.63685608857143</v>
      </c>
      <c r="U100" s="430">
        <v>18.735571588571428</v>
      </c>
      <c r="V100" s="430">
        <v>13</v>
      </c>
      <c r="W100" s="430">
        <v>1.7397142818571427</v>
      </c>
      <c r="X100" s="430">
        <v>114.14357212285714</v>
      </c>
      <c r="Y100" s="430">
        <v>39.80185754</v>
      </c>
    </row>
    <row r="101" spans="14:25">
      <c r="P101" s="429">
        <v>46</v>
      </c>
      <c r="Q101" s="430">
        <v>8.5371428571428574</v>
      </c>
      <c r="R101" s="430">
        <v>5.9</v>
      </c>
      <c r="S101" s="430">
        <v>78.757142857142853</v>
      </c>
      <c r="T101" s="430">
        <v>79.304285714285712</v>
      </c>
      <c r="U101" s="430">
        <v>13.16</v>
      </c>
      <c r="V101" s="430">
        <v>13.001428571428571</v>
      </c>
      <c r="W101" s="430">
        <v>1.5</v>
      </c>
      <c r="X101" s="430">
        <v>93.457142857142841</v>
      </c>
      <c r="Y101" s="430">
        <v>37.212857142857146</v>
      </c>
    </row>
    <row r="102" spans="14:25">
      <c r="P102" s="429">
        <v>47</v>
      </c>
      <c r="Q102" s="430">
        <v>9.0094285692857135</v>
      </c>
      <c r="R102" s="430">
        <v>7.1015714912857133</v>
      </c>
      <c r="S102" s="430">
        <v>88.111712864285735</v>
      </c>
      <c r="T102" s="430">
        <v>74.684428622857141</v>
      </c>
      <c r="U102" s="430">
        <v>13.483142988571428</v>
      </c>
      <c r="V102" s="430">
        <v>12.142405645714286</v>
      </c>
      <c r="W102" s="430">
        <v>1.5</v>
      </c>
      <c r="X102" s="430">
        <v>104.10500007571429</v>
      </c>
      <c r="Y102" s="430">
        <v>35.055428368571434</v>
      </c>
    </row>
    <row r="103" spans="14:25">
      <c r="O103" s="428">
        <v>48</v>
      </c>
      <c r="P103" s="429">
        <v>48</v>
      </c>
      <c r="Q103" s="430">
        <v>8.5042856081428582</v>
      </c>
      <c r="R103" s="430">
        <v>4.3617142950000005</v>
      </c>
      <c r="S103" s="430">
        <v>80.151286534285717</v>
      </c>
      <c r="T103" s="430">
        <v>95.303570342857142</v>
      </c>
      <c r="U103" s="430">
        <v>12.543571337142859</v>
      </c>
      <c r="V103" s="430">
        <v>11.975262778571429</v>
      </c>
      <c r="W103" s="430">
        <v>1.5</v>
      </c>
      <c r="X103" s="430">
        <v>91.569999695714287</v>
      </c>
      <c r="Y103" s="430">
        <v>28.370000294285713</v>
      </c>
    </row>
    <row r="104" spans="14:25">
      <c r="P104" s="429">
        <v>49</v>
      </c>
      <c r="Q104" s="430">
        <v>8.27</v>
      </c>
      <c r="R104" s="430">
        <v>6.9099999999999993</v>
      </c>
      <c r="S104" s="430">
        <v>66.555714285714288</v>
      </c>
      <c r="T104" s="430">
        <v>54.31</v>
      </c>
      <c r="U104" s="430">
        <v>8.99</v>
      </c>
      <c r="V104" s="430">
        <v>12.26</v>
      </c>
      <c r="W104" s="430">
        <v>1.5</v>
      </c>
      <c r="X104" s="430">
        <v>62.974285714285706</v>
      </c>
      <c r="Y104" s="430">
        <v>22.919999999999998</v>
      </c>
    </row>
    <row r="105" spans="14:25">
      <c r="P105" s="429">
        <v>50</v>
      </c>
      <c r="Q105" s="430">
        <v>8.1765714374285707</v>
      </c>
      <c r="R105" s="430">
        <v>6.5639999597142857</v>
      </c>
      <c r="S105" s="430">
        <v>61.602715082857152</v>
      </c>
      <c r="T105" s="430">
        <v>52.47614288285714</v>
      </c>
      <c r="U105" s="430">
        <v>10.909571511285714</v>
      </c>
      <c r="V105" s="430">
        <v>13.001428604285715</v>
      </c>
      <c r="W105" s="430">
        <v>1.457142846857143</v>
      </c>
      <c r="X105" s="430">
        <v>52.244286674285718</v>
      </c>
      <c r="Y105" s="430">
        <v>17.695714271428571</v>
      </c>
    </row>
    <row r="106" spans="14:25">
      <c r="P106" s="429">
        <v>51</v>
      </c>
      <c r="Q106" s="430">
        <v>10.342857142857142</v>
      </c>
      <c r="R106" s="430">
        <v>7.3285714285714283</v>
      </c>
      <c r="S106" s="430">
        <v>53.9</v>
      </c>
      <c r="T106" s="430">
        <v>126.14285714285714</v>
      </c>
      <c r="U106" s="430">
        <v>16.8</v>
      </c>
      <c r="V106" s="430">
        <v>12.257142857142856</v>
      </c>
      <c r="W106" s="430">
        <v>1.3857142857142859</v>
      </c>
      <c r="X106" s="430">
        <v>86.528571428571439</v>
      </c>
      <c r="Y106" s="430">
        <v>33.51428571428572</v>
      </c>
    </row>
    <row r="107" spans="14:25">
      <c r="O107" s="428">
        <v>52</v>
      </c>
      <c r="P107" s="429">
        <v>52</v>
      </c>
      <c r="Q107" s="430">
        <v>10.661999840142856</v>
      </c>
      <c r="R107" s="430">
        <v>7.4820000789999996</v>
      </c>
      <c r="S107" s="430">
        <v>57.504999978571433</v>
      </c>
      <c r="T107" s="430">
        <v>100.38085719714286</v>
      </c>
      <c r="U107" s="430">
        <v>16.435142652857145</v>
      </c>
      <c r="V107" s="430">
        <v>12.222315514285714</v>
      </c>
      <c r="W107" s="430">
        <v>1.2999999520000001</v>
      </c>
      <c r="X107" s="430">
        <v>103.53357153142858</v>
      </c>
      <c r="Y107" s="430">
        <v>52.753143308571431</v>
      </c>
    </row>
    <row r="108" spans="14:25">
      <c r="N108" s="428">
        <v>2019</v>
      </c>
      <c r="O108" s="428">
        <v>1</v>
      </c>
      <c r="P108" s="429">
        <v>1</v>
      </c>
      <c r="Q108" s="430">
        <v>8.992857251428573</v>
      </c>
      <c r="R108" s="430">
        <v>4.4642857141428571</v>
      </c>
      <c r="S108" s="430">
        <v>57.514999934285704</v>
      </c>
      <c r="T108" s="430">
        <v>79.871427261428579</v>
      </c>
      <c r="U108" s="430">
        <v>13.115714484285716</v>
      </c>
      <c r="V108" s="430">
        <v>11.571904317142856</v>
      </c>
      <c r="W108" s="430">
        <v>1.2999999520000001</v>
      </c>
      <c r="X108" s="430">
        <v>121.75642612857142</v>
      </c>
      <c r="Y108" s="430">
        <v>64.398429325714275</v>
      </c>
    </row>
    <row r="109" spans="14:25">
      <c r="P109" s="429">
        <v>2</v>
      </c>
      <c r="Q109" s="430">
        <v>7.4904285157142843</v>
      </c>
      <c r="R109" s="430">
        <v>3.3685714177142856</v>
      </c>
      <c r="S109" s="430">
        <v>63.363856724285711</v>
      </c>
      <c r="T109" s="430">
        <v>84.184571402857145</v>
      </c>
      <c r="U109" s="430">
        <v>16.11014284285714</v>
      </c>
      <c r="V109" s="430">
        <v>11.570298602857141</v>
      </c>
      <c r="W109" s="430">
        <v>1.2999999520000001</v>
      </c>
      <c r="X109" s="430">
        <v>180.32999965714288</v>
      </c>
      <c r="Y109" s="430">
        <v>70.997858864285703</v>
      </c>
    </row>
    <row r="110" spans="14:25">
      <c r="P110" s="429">
        <v>3</v>
      </c>
      <c r="Q110" s="430">
        <v>14.36</v>
      </c>
      <c r="R110" s="430">
        <v>10.74</v>
      </c>
      <c r="S110" s="430">
        <v>80.75</v>
      </c>
      <c r="T110" s="430">
        <v>149.30000000000001</v>
      </c>
      <c r="U110" s="430">
        <v>29.23</v>
      </c>
      <c r="V110" s="430">
        <v>11.28</v>
      </c>
      <c r="W110" s="430">
        <v>1.33</v>
      </c>
      <c r="X110" s="430">
        <v>167.22</v>
      </c>
      <c r="Y110" s="430">
        <v>68.83</v>
      </c>
    </row>
    <row r="111" spans="14:25">
      <c r="O111" s="428">
        <v>4</v>
      </c>
      <c r="P111" s="429">
        <v>4</v>
      </c>
      <c r="Q111" s="430">
        <v>17.131428719999999</v>
      </c>
      <c r="R111" s="430">
        <v>11.155714580142858</v>
      </c>
      <c r="S111" s="430">
        <v>85.689570837142853</v>
      </c>
      <c r="T111" s="430">
        <v>168.80999974285714</v>
      </c>
      <c r="U111" s="430">
        <v>36.200000218571425</v>
      </c>
      <c r="V111" s="430">
        <v>11.843988554285716</v>
      </c>
      <c r="W111" s="430">
        <v>3.0287143159999999</v>
      </c>
      <c r="X111" s="430">
        <v>185.51500375714286</v>
      </c>
      <c r="Y111" s="430">
        <v>70.089428494285713</v>
      </c>
    </row>
    <row r="112" spans="14:25">
      <c r="P112" s="429">
        <v>5</v>
      </c>
      <c r="Q112" s="430">
        <v>30.592286245714288</v>
      </c>
      <c r="R112" s="430">
        <v>16.463000024285716</v>
      </c>
      <c r="S112" s="430">
        <v>416.48700821428571</v>
      </c>
      <c r="T112" s="430">
        <v>195.24999782857142</v>
      </c>
      <c r="U112" s="430">
        <v>36.703999928571427</v>
      </c>
      <c r="V112" s="430">
        <v>12.496724401428571</v>
      </c>
      <c r="W112" s="430">
        <v>6.6928571292857146</v>
      </c>
      <c r="X112" s="430">
        <v>199.03571430000002</v>
      </c>
      <c r="Y112" s="430">
        <v>74.655428748571438</v>
      </c>
    </row>
    <row r="113" spans="15:25">
      <c r="P113" s="429">
        <v>6</v>
      </c>
      <c r="Q113" s="430">
        <v>20.372857142857146</v>
      </c>
      <c r="R113" s="430">
        <v>17.05857142857143</v>
      </c>
      <c r="S113" s="430">
        <v>426.67142857142863</v>
      </c>
      <c r="T113" s="430">
        <v>265.28000000000003</v>
      </c>
      <c r="U113" s="430">
        <v>51.29</v>
      </c>
      <c r="V113" s="430">
        <v>12.744285714285715</v>
      </c>
      <c r="W113" s="430">
        <v>14.464285714285714</v>
      </c>
      <c r="X113" s="430">
        <v>338.89857142857142</v>
      </c>
      <c r="Y113" s="430">
        <v>117.82857142857142</v>
      </c>
    </row>
    <row r="114" spans="15:25">
      <c r="P114" s="429">
        <v>7</v>
      </c>
      <c r="Q114" s="430">
        <v>28.837571554285717</v>
      </c>
      <c r="R114" s="430">
        <v>18.065285818571429</v>
      </c>
      <c r="S114" s="430">
        <v>581.62514822857145</v>
      </c>
      <c r="T114" s="430">
        <v>230.7322888857143</v>
      </c>
      <c r="U114" s="430">
        <v>46.224000658571427</v>
      </c>
      <c r="V114" s="430">
        <v>23.841369902857146</v>
      </c>
      <c r="W114" s="430">
        <v>21.059571402857141</v>
      </c>
      <c r="X114" s="430">
        <v>288.0957205571429</v>
      </c>
      <c r="Y114" s="430">
        <v>118.07871352857144</v>
      </c>
    </row>
    <row r="115" spans="15:25">
      <c r="O115" s="428">
        <v>8</v>
      </c>
      <c r="P115" s="429">
        <v>8</v>
      </c>
      <c r="Q115" s="430">
        <v>20.077857700000003</v>
      </c>
      <c r="R115" s="430">
        <v>14.531571660571432</v>
      </c>
      <c r="S115" s="430">
        <v>439.74099729999995</v>
      </c>
      <c r="T115" s="430">
        <v>219.37485614285717</v>
      </c>
      <c r="U115" s="430">
        <v>42.94585745571429</v>
      </c>
      <c r="V115" s="430">
        <v>23.894881112857146</v>
      </c>
      <c r="W115" s="430">
        <v>6.8928571428571432</v>
      </c>
      <c r="X115" s="430">
        <v>411.75142995714288</v>
      </c>
      <c r="Y115" s="430">
        <v>98.32</v>
      </c>
    </row>
    <row r="116" spans="15:25">
      <c r="P116" s="429">
        <v>9</v>
      </c>
      <c r="Q116" s="430">
        <v>26.317999977142858</v>
      </c>
      <c r="R116" s="430">
        <v>19.520428521428574</v>
      </c>
      <c r="S116" s="430">
        <v>316.26999772857147</v>
      </c>
      <c r="T116" s="430">
        <v>191.17842539999998</v>
      </c>
      <c r="U116" s="430">
        <v>34.696428571428569</v>
      </c>
      <c r="V116" s="430">
        <v>22.406962801428573</v>
      </c>
      <c r="W116" s="430">
        <v>3.3807143142857146</v>
      </c>
      <c r="X116" s="430">
        <v>249.46285358571427</v>
      </c>
      <c r="Y116" s="430">
        <v>120.90099988571428</v>
      </c>
    </row>
    <row r="117" spans="15:25">
      <c r="P117" s="429">
        <v>10</v>
      </c>
      <c r="Q117" s="430">
        <v>27.959571565714288</v>
      </c>
      <c r="R117" s="430">
        <v>20.831714628571426</v>
      </c>
      <c r="S117" s="430">
        <v>326.63642664285715</v>
      </c>
      <c r="T117" s="430">
        <v>184.08928571428572</v>
      </c>
      <c r="U117" s="430">
        <v>38.680999754285715</v>
      </c>
      <c r="V117" s="430">
        <v>23.828572680000001</v>
      </c>
      <c r="W117" s="430">
        <v>2.3840000118571427</v>
      </c>
      <c r="X117" s="430">
        <v>225.10000174285716</v>
      </c>
      <c r="Y117" s="430">
        <v>78.177285328571429</v>
      </c>
    </row>
    <row r="118" spans="15:25">
      <c r="P118" s="429">
        <v>11</v>
      </c>
      <c r="Q118" s="430">
        <v>27.959571565714288</v>
      </c>
      <c r="R118" s="430">
        <v>22.247142927987216</v>
      </c>
      <c r="S118" s="430">
        <v>416.08099801199745</v>
      </c>
      <c r="T118" s="430">
        <v>226.88085501534573</v>
      </c>
      <c r="U118" s="430">
        <v>42.633285522460888</v>
      </c>
      <c r="V118" s="430">
        <v>23.809881482805473</v>
      </c>
      <c r="W118" s="430">
        <v>1.9291428668158341</v>
      </c>
      <c r="X118" s="430">
        <v>217.45642525809117</v>
      </c>
      <c r="Y118" s="430">
        <v>44.638999938964801</v>
      </c>
    </row>
    <row r="119" spans="15:25">
      <c r="O119" s="428">
        <v>12</v>
      </c>
      <c r="P119" s="429">
        <v>12</v>
      </c>
      <c r="Q119" s="430">
        <v>28.476714270455457</v>
      </c>
      <c r="R119" s="430">
        <v>21.707857131428572</v>
      </c>
      <c r="S119" s="430">
        <v>394.13957431428571</v>
      </c>
      <c r="T119" s="430">
        <v>203.44642857142858</v>
      </c>
      <c r="U119" s="430">
        <v>43.529285431428569</v>
      </c>
      <c r="V119" s="430">
        <v>19.572964258571432</v>
      </c>
      <c r="W119" s="430">
        <v>1.7968571012857144</v>
      </c>
      <c r="X119" s="430">
        <v>327.82142857142861</v>
      </c>
      <c r="Y119" s="430">
        <v>98.4</v>
      </c>
    </row>
    <row r="120" spans="15:25">
      <c r="P120" s="429">
        <v>13</v>
      </c>
      <c r="Q120" s="430">
        <v>24.844714028571435</v>
      </c>
      <c r="R120" s="430">
        <v>20.569142751428576</v>
      </c>
      <c r="S120" s="430">
        <v>522.42285592857138</v>
      </c>
      <c r="T120" s="430">
        <v>225.26185825714285</v>
      </c>
      <c r="U120" s="430">
        <v>57.974427901428569</v>
      </c>
      <c r="V120" s="430">
        <v>12.582738467142859</v>
      </c>
      <c r="W120" s="430">
        <v>1.6904285634285714</v>
      </c>
      <c r="X120" s="430">
        <v>339.04356602857143</v>
      </c>
      <c r="Y120" s="430">
        <v>92.103571201428579</v>
      </c>
    </row>
    <row r="121" spans="15:25">
      <c r="P121" s="429">
        <v>14</v>
      </c>
      <c r="Q121" s="430">
        <v>29.483285902857141</v>
      </c>
      <c r="R121" s="430">
        <v>18.767857142857142</v>
      </c>
      <c r="S121" s="430">
        <v>316.33943394285717</v>
      </c>
      <c r="T121" s="430">
        <v>152.47643277142856</v>
      </c>
      <c r="U121" s="430">
        <v>55.119428907142868</v>
      </c>
      <c r="V121" s="430">
        <v>21.303751674285714</v>
      </c>
      <c r="W121" s="430">
        <v>1.6808571647142858</v>
      </c>
      <c r="X121" s="430">
        <v>250.08571298571431</v>
      </c>
      <c r="Y121" s="430">
        <v>65.665856497142855</v>
      </c>
    </row>
    <row r="122" spans="15:25">
      <c r="P122" s="429">
        <v>15</v>
      </c>
      <c r="Q122" s="430">
        <v>20.040428705714284</v>
      </c>
      <c r="R122" s="430">
        <v>14.275999887714287</v>
      </c>
      <c r="S122" s="430">
        <v>168.45457024285716</v>
      </c>
      <c r="T122" s="430">
        <v>98.160714291428576</v>
      </c>
      <c r="U122" s="430">
        <v>27.713714872857139</v>
      </c>
      <c r="V122" s="430">
        <v>17.810774395714287</v>
      </c>
      <c r="W122" s="430">
        <v>1.7205714498571432</v>
      </c>
      <c r="X122" s="430">
        <v>148.48785617142858</v>
      </c>
      <c r="Y122" s="430">
        <v>49.633285522857136</v>
      </c>
    </row>
    <row r="123" spans="15:25">
      <c r="O123" s="428">
        <v>16</v>
      </c>
      <c r="P123" s="429">
        <v>16</v>
      </c>
      <c r="Q123" s="430">
        <v>16.072142737142858</v>
      </c>
      <c r="R123" s="430">
        <v>10.180143014285713</v>
      </c>
      <c r="S123" s="430">
        <v>131.80142647142856</v>
      </c>
      <c r="T123" s="430">
        <v>98.279714314285712</v>
      </c>
      <c r="U123" s="430">
        <v>22.869143077142859</v>
      </c>
      <c r="V123" s="430">
        <v>12.210951395714286</v>
      </c>
      <c r="W123" s="430">
        <v>1.789857131857143</v>
      </c>
      <c r="X123" s="430">
        <v>105.47928511571429</v>
      </c>
      <c r="Y123" s="430">
        <v>31.291000095714285</v>
      </c>
    </row>
    <row r="124" spans="15:25">
      <c r="P124" s="429">
        <v>17</v>
      </c>
      <c r="Q124" s="430">
        <v>15.383999960000001</v>
      </c>
      <c r="R124" s="430">
        <v>12.121571608857142</v>
      </c>
      <c r="S124" s="430">
        <v>143.84128789999997</v>
      </c>
      <c r="T124" s="430">
        <v>83.547571454285716</v>
      </c>
      <c r="U124" s="430">
        <v>20.273857388571425</v>
      </c>
      <c r="V124" s="430">
        <v>12.949641501428573</v>
      </c>
      <c r="W124" s="430">
        <v>1.6648571664285714</v>
      </c>
      <c r="X124" s="430">
        <v>103.81928579571429</v>
      </c>
      <c r="Y124" s="430">
        <v>25.921857015714284</v>
      </c>
    </row>
    <row r="125" spans="15:25">
      <c r="P125" s="429">
        <v>18</v>
      </c>
      <c r="Q125" s="430">
        <v>16.026142665714286</v>
      </c>
      <c r="R125" s="430">
        <v>11.996285711571428</v>
      </c>
      <c r="S125" s="430">
        <v>111.12314277285714</v>
      </c>
      <c r="T125" s="430">
        <v>74.392857142857139</v>
      </c>
      <c r="U125" s="430">
        <v>18.103142875714287</v>
      </c>
      <c r="V125" s="430">
        <v>11.493274145714285</v>
      </c>
      <c r="W125" s="430">
        <v>1.55</v>
      </c>
      <c r="X125" s="430">
        <v>91.532855442857141</v>
      </c>
      <c r="Y125" s="430">
        <v>22.190428595714284</v>
      </c>
    </row>
    <row r="126" spans="15:25">
      <c r="P126" s="429">
        <v>19</v>
      </c>
      <c r="Q126" s="430">
        <v>14.769714355714287</v>
      </c>
      <c r="R126" s="430">
        <v>10.123285769857144</v>
      </c>
      <c r="S126" s="430">
        <v>89.41828482428572</v>
      </c>
      <c r="T126" s="430">
        <v>60.613000051428571</v>
      </c>
      <c r="U126" s="430">
        <v>15.728999954285714</v>
      </c>
      <c r="V126" s="430">
        <v>10.883738517142858</v>
      </c>
      <c r="W126" s="430">
        <v>1.5914285865714286</v>
      </c>
      <c r="X126" s="430">
        <v>82.45500183</v>
      </c>
      <c r="Y126" s="430">
        <v>20.991285870000006</v>
      </c>
    </row>
    <row r="127" spans="15:25">
      <c r="P127" s="429">
        <v>20</v>
      </c>
      <c r="Q127" s="430">
        <v>13.81242861</v>
      </c>
      <c r="R127" s="430">
        <v>9.3731427190000005</v>
      </c>
      <c r="S127" s="430">
        <v>79.212427410000004</v>
      </c>
      <c r="T127" s="430">
        <v>72.321428569999995</v>
      </c>
      <c r="U127" s="430">
        <v>20.647571429999999</v>
      </c>
      <c r="V127" s="430">
        <v>11.153748650000001</v>
      </c>
      <c r="W127" s="430">
        <v>1.5371428389999999</v>
      </c>
      <c r="X127" s="430">
        <v>76.857142859999996</v>
      </c>
      <c r="Y127" s="430">
        <v>23.085714070000002</v>
      </c>
    </row>
    <row r="128" spans="15:25">
      <c r="P128" s="429">
        <v>21</v>
      </c>
      <c r="Q128" s="430">
        <v>12.849714414285714</v>
      </c>
      <c r="R128" s="430">
        <v>7.085428442285715</v>
      </c>
      <c r="S128" s="430">
        <v>62.717000688571432</v>
      </c>
      <c r="T128" s="430">
        <v>52.565571377142859</v>
      </c>
      <c r="U128" s="430">
        <v>14.46171447</v>
      </c>
      <c r="V128" s="430">
        <v>12</v>
      </c>
      <c r="W128" s="430">
        <v>1.5128571304285714</v>
      </c>
      <c r="X128" s="430">
        <v>58.057856968571436</v>
      </c>
      <c r="Y128" s="430">
        <v>17.858285902857144</v>
      </c>
    </row>
    <row r="129" spans="15:26">
      <c r="O129" s="428">
        <v>22</v>
      </c>
      <c r="P129" s="429">
        <v>22</v>
      </c>
      <c r="Q129" s="430">
        <v>12.105428559999998</v>
      </c>
      <c r="R129" s="430">
        <v>7.3308571058571435</v>
      </c>
      <c r="S129" s="430">
        <v>41.633143151428598</v>
      </c>
      <c r="T129" s="430">
        <v>49.261999948571429</v>
      </c>
      <c r="U129" s="430">
        <v>12.621714454285712</v>
      </c>
      <c r="V129" s="430">
        <v>10.442797251571431</v>
      </c>
      <c r="W129" s="430">
        <v>1.5</v>
      </c>
      <c r="X129" s="430">
        <v>51.520714895714285</v>
      </c>
      <c r="Y129" s="430">
        <v>15.324571202857143</v>
      </c>
    </row>
    <row r="130" spans="15:26">
      <c r="P130" s="429">
        <v>23</v>
      </c>
      <c r="Q130" s="430">
        <v>11.272714207142856</v>
      </c>
      <c r="R130" s="430">
        <v>7.7242857718571427</v>
      </c>
      <c r="S130" s="430">
        <v>41.633143151428598</v>
      </c>
      <c r="T130" s="430">
        <v>40.500142779999997</v>
      </c>
      <c r="U130" s="430">
        <v>10.571857179142857</v>
      </c>
      <c r="V130" s="430">
        <v>10.979225701428572</v>
      </c>
      <c r="W130" s="430">
        <v>1.5</v>
      </c>
      <c r="X130" s="430">
        <v>46.520714351428573</v>
      </c>
      <c r="Y130" s="430">
        <v>13.868142808571431</v>
      </c>
    </row>
    <row r="131" spans="15:26">
      <c r="P131" s="429">
        <v>24</v>
      </c>
      <c r="Q131" s="430">
        <v>10.867999894285715</v>
      </c>
      <c r="R131" s="430">
        <v>8.8337143495714301</v>
      </c>
      <c r="S131" s="430">
        <v>78.434000150000003</v>
      </c>
      <c r="T131" s="430">
        <v>35.785857065714289</v>
      </c>
      <c r="U131" s="430">
        <v>9.2180000031428584</v>
      </c>
      <c r="V131" s="430">
        <v>11.096784181428571</v>
      </c>
      <c r="W131" s="430">
        <v>1.5</v>
      </c>
      <c r="X131" s="430">
        <v>42.473571777142858</v>
      </c>
      <c r="Y131" s="430">
        <v>12.512571334285715</v>
      </c>
    </row>
    <row r="132" spans="15:26">
      <c r="P132" s="429">
        <v>25</v>
      </c>
      <c r="Q132" s="430">
        <v>10.167285918857143</v>
      </c>
      <c r="R132" s="430">
        <v>7.6592858184285708</v>
      </c>
      <c r="S132" s="430">
        <v>77.872000559999989</v>
      </c>
      <c r="T132" s="430">
        <v>33.357000077142857</v>
      </c>
      <c r="U132" s="430">
        <v>8.9321429390000002</v>
      </c>
      <c r="V132" s="430">
        <v>10.461965969999998</v>
      </c>
      <c r="W132" s="430">
        <v>1.5</v>
      </c>
      <c r="X132" s="430">
        <v>43.729285104285715</v>
      </c>
      <c r="Y132" s="430">
        <v>11.450428658571429</v>
      </c>
    </row>
    <row r="133" spans="15:26">
      <c r="O133" s="428">
        <v>26</v>
      </c>
      <c r="P133" s="429">
        <v>26</v>
      </c>
      <c r="Q133" s="430">
        <v>9.3535717554285718</v>
      </c>
      <c r="R133" s="430">
        <v>6.2751428064285708</v>
      </c>
      <c r="S133" s="430">
        <v>76.447856358571428</v>
      </c>
      <c r="T133" s="430">
        <v>29.154571531428569</v>
      </c>
      <c r="U133" s="430">
        <v>8.3007144928571428</v>
      </c>
      <c r="V133" s="430">
        <v>11.259941372857144</v>
      </c>
      <c r="W133" s="430">
        <v>1.5</v>
      </c>
      <c r="X133" s="430">
        <v>44.616428919999997</v>
      </c>
      <c r="Y133" s="430">
        <v>9.6660000944285702</v>
      </c>
    </row>
    <row r="134" spans="15:26">
      <c r="P134" s="429">
        <v>27</v>
      </c>
      <c r="Q134" s="430">
        <v>8.86</v>
      </c>
      <c r="R134" s="430">
        <v>7.15</v>
      </c>
      <c r="S134" s="430">
        <v>77.430000000000007</v>
      </c>
      <c r="T134" s="430">
        <v>30.35</v>
      </c>
      <c r="U134" s="430">
        <v>8.59</v>
      </c>
      <c r="V134" s="430">
        <v>10.758154460361988</v>
      </c>
      <c r="W134" s="430">
        <v>1.59</v>
      </c>
      <c r="X134" s="430">
        <v>43.84</v>
      </c>
      <c r="Y134" s="430">
        <v>8.27</v>
      </c>
    </row>
    <row r="135" spans="15:26">
      <c r="P135" s="429">
        <v>28</v>
      </c>
      <c r="Q135" s="430">
        <v>8.9135712215714289</v>
      </c>
      <c r="R135" s="430">
        <v>5.7058570728571425</v>
      </c>
      <c r="S135" s="430">
        <v>76.24514443428572</v>
      </c>
      <c r="T135" s="430">
        <v>27.702285765714286</v>
      </c>
      <c r="U135" s="430">
        <v>7.8261427880000003</v>
      </c>
      <c r="V135" s="430">
        <v>11.139168601428571</v>
      </c>
      <c r="W135" s="430">
        <v>1.6000000240000001</v>
      </c>
      <c r="X135" s="430">
        <v>39.995714458571435</v>
      </c>
      <c r="Y135" s="430">
        <v>7.4899999752857136</v>
      </c>
    </row>
    <row r="136" spans="15:26">
      <c r="P136" s="429">
        <v>29</v>
      </c>
      <c r="Q136" s="430">
        <v>9.1244284766060932</v>
      </c>
      <c r="R136" s="430">
        <v>6.4564285959516052</v>
      </c>
      <c r="S136" s="430">
        <v>66.31271307809007</v>
      </c>
      <c r="T136" s="430">
        <v>29.940428597586454</v>
      </c>
      <c r="U136" s="430">
        <v>7.6488569804600273</v>
      </c>
      <c r="V136" s="430">
        <v>10.810358456202879</v>
      </c>
      <c r="W136" s="430">
        <v>1.6000000238418504</v>
      </c>
      <c r="X136" s="430">
        <v>42.704285757882197</v>
      </c>
      <c r="Y136" s="430">
        <v>6.46428571428571</v>
      </c>
    </row>
    <row r="137" spans="15:26">
      <c r="O137" s="428">
        <v>30</v>
      </c>
      <c r="P137" s="429">
        <v>30</v>
      </c>
      <c r="Q137" s="430">
        <v>8.5528571428571407</v>
      </c>
      <c r="R137" s="430">
        <v>4.6828571428571433</v>
      </c>
      <c r="S137" s="430">
        <v>72.048571428571435</v>
      </c>
      <c r="T137" s="430">
        <v>36.729999999999997</v>
      </c>
      <c r="U137" s="430">
        <v>8.18</v>
      </c>
      <c r="V137" s="430">
        <v>12.61</v>
      </c>
      <c r="W137" s="430">
        <v>1.6285714285714283</v>
      </c>
      <c r="X137" s="430">
        <v>44.611428571428576</v>
      </c>
      <c r="Y137" s="430">
        <v>8.2285714285714295</v>
      </c>
    </row>
    <row r="138" spans="15:26">
      <c r="P138" s="429">
        <v>31</v>
      </c>
      <c r="Q138" s="430">
        <v>8.6655714172857152</v>
      </c>
      <c r="R138" s="430">
        <v>6.0697142064285714</v>
      </c>
      <c r="S138" s="430">
        <v>71.543143134285714</v>
      </c>
      <c r="T138" s="430">
        <v>31.720428468571431</v>
      </c>
      <c r="U138" s="430">
        <v>7.0618571554285712</v>
      </c>
      <c r="V138" s="430">
        <v>12.322975702857141</v>
      </c>
      <c r="W138" s="430">
        <v>1.7000000479999999</v>
      </c>
      <c r="X138" s="430">
        <v>43.444999694285706</v>
      </c>
      <c r="Y138" s="430">
        <v>6.7562857354285706</v>
      </c>
    </row>
    <row r="139" spans="15:26">
      <c r="P139" s="429">
        <v>32</v>
      </c>
      <c r="Q139" s="430">
        <v>8.8231430052857132</v>
      </c>
      <c r="R139" s="430">
        <v>7.5088570807142858</v>
      </c>
      <c r="S139" s="430">
        <v>73.754999434285722</v>
      </c>
      <c r="T139" s="430">
        <v>23.255857194285714</v>
      </c>
      <c r="U139" s="430">
        <v>6.2595714159999991</v>
      </c>
      <c r="V139" s="430">
        <v>12.551451548571427</v>
      </c>
      <c r="W139" s="430">
        <v>1.7214285988571427</v>
      </c>
      <c r="X139" s="430">
        <v>38.432857512857147</v>
      </c>
      <c r="Y139" s="430">
        <v>6.4201429230000002</v>
      </c>
    </row>
    <row r="140" spans="15:26">
      <c r="P140" s="429">
        <v>33</v>
      </c>
      <c r="Q140" s="430">
        <v>7.5077142715714285</v>
      </c>
      <c r="R140" s="430">
        <v>3.2121428764285715</v>
      </c>
      <c r="S140" s="430">
        <v>68.878572191428574</v>
      </c>
      <c r="T140" s="430">
        <v>21.297428674285715</v>
      </c>
      <c r="U140" s="430">
        <v>6.3691428730000004</v>
      </c>
      <c r="V140" s="430">
        <v>12.137084417142857</v>
      </c>
      <c r="W140" s="430">
        <v>1.7482857022857143</v>
      </c>
      <c r="X140" s="430">
        <v>36.690713608571421</v>
      </c>
      <c r="Y140" s="430">
        <v>4.7154285567142855</v>
      </c>
    </row>
    <row r="141" spans="15:26">
      <c r="P141" s="429">
        <v>34</v>
      </c>
      <c r="Q141" s="430">
        <v>7.6147142817142859</v>
      </c>
      <c r="R141" s="430">
        <v>3.3949999810000002</v>
      </c>
      <c r="S141" s="430">
        <v>65.663999831428569</v>
      </c>
      <c r="T141" s="430">
        <v>20.922428674285715</v>
      </c>
      <c r="U141" s="430">
        <v>6.115428584</v>
      </c>
      <c r="V141" s="430">
        <v>12.034524235714285</v>
      </c>
      <c r="W141" s="430">
        <v>1.7482857022857143</v>
      </c>
      <c r="X141" s="430">
        <v>34.872856138571429</v>
      </c>
      <c r="Y141" s="430">
        <v>5.7421428814285713</v>
      </c>
    </row>
    <row r="142" spans="15:26">
      <c r="P142" s="429">
        <v>35</v>
      </c>
      <c r="Q142" s="430">
        <v>8.7815715245714294</v>
      </c>
      <c r="R142" s="430">
        <v>7.1025714534285722</v>
      </c>
      <c r="S142" s="430">
        <v>65.224427905714279</v>
      </c>
      <c r="T142" s="430">
        <v>19.458285740000001</v>
      </c>
      <c r="U142" s="430">
        <v>6.3137143680000003</v>
      </c>
      <c r="V142" s="430">
        <v>12.041607177142856</v>
      </c>
      <c r="W142" s="430">
        <v>1.75</v>
      </c>
      <c r="X142" s="430">
        <v>34.16142872428572</v>
      </c>
      <c r="Y142" s="430">
        <v>6.5945714541428577</v>
      </c>
    </row>
    <row r="143" spans="15:26">
      <c r="O143" s="428">
        <v>36</v>
      </c>
      <c r="P143" s="429">
        <v>36</v>
      </c>
      <c r="Q143" s="430">
        <v>8.2851428302857144</v>
      </c>
      <c r="R143" s="430">
        <v>6.7619999824285708</v>
      </c>
      <c r="S143" s="430">
        <v>60.719142914285719</v>
      </c>
      <c r="T143" s="430">
        <v>25.369000025714286</v>
      </c>
      <c r="U143" s="430">
        <v>5.8737142427142857</v>
      </c>
      <c r="V143" s="430">
        <v>12.055594308571429</v>
      </c>
      <c r="W143" s="430">
        <v>1.6425714154285713</v>
      </c>
      <c r="X143" s="430">
        <v>35.968571799999999</v>
      </c>
      <c r="Y143" s="430">
        <v>4.9847143037142851</v>
      </c>
      <c r="Z143" s="458"/>
    </row>
    <row r="144" spans="15:26">
      <c r="P144" s="429">
        <v>37</v>
      </c>
      <c r="Q144" s="430">
        <v>7.6475714954285712</v>
      </c>
      <c r="R144" s="430">
        <v>6.5272856442857137</v>
      </c>
      <c r="S144" s="430">
        <v>62.679428645714289</v>
      </c>
      <c r="T144" s="430">
        <v>28.136857168571428</v>
      </c>
      <c r="U144" s="430">
        <v>6.1154285838571436</v>
      </c>
      <c r="V144" s="430">
        <v>12.130952835714286</v>
      </c>
      <c r="W144" s="430">
        <v>1.6457142658571429</v>
      </c>
      <c r="X144" s="430">
        <v>34.324999674285714</v>
      </c>
      <c r="Y144" s="430">
        <v>5.502714293285714</v>
      </c>
    </row>
    <row r="145" spans="15:25">
      <c r="P145" s="429">
        <v>38</v>
      </c>
      <c r="Q145" s="430">
        <v>7.6971428571428575</v>
      </c>
      <c r="R145" s="430">
        <v>5.444285714285714</v>
      </c>
      <c r="S145" s="430">
        <v>65.47</v>
      </c>
      <c r="T145" s="430">
        <v>29.351428571428567</v>
      </c>
      <c r="U145" s="430">
        <v>6.8328571428571419</v>
      </c>
      <c r="V145" s="430">
        <v>12.194285714285716</v>
      </c>
      <c r="W145" s="430">
        <v>1.6014285714285712</v>
      </c>
      <c r="X145" s="430">
        <v>33.131428571428572</v>
      </c>
      <c r="Y145" s="430">
        <v>6.8414285714285716</v>
      </c>
    </row>
    <row r="146" spans="15:25">
      <c r="P146" s="429">
        <v>39</v>
      </c>
      <c r="Q146" s="430">
        <v>7.6702859061104887</v>
      </c>
      <c r="R146" s="430">
        <v>5.896142857415323</v>
      </c>
      <c r="S146" s="430">
        <v>72.930715288434641</v>
      </c>
      <c r="T146" s="430">
        <v>26.470285688127774</v>
      </c>
      <c r="U146" s="430">
        <v>9.2337144442966927</v>
      </c>
      <c r="V146" s="430">
        <v>12.167024339948341</v>
      </c>
      <c r="W146" s="430">
        <v>1.4285714115415273</v>
      </c>
      <c r="X146" s="430">
        <v>32.532142911638481</v>
      </c>
      <c r="Y146" s="430">
        <v>5.5879999569484111</v>
      </c>
    </row>
    <row r="147" spans="15:25">
      <c r="O147" s="428">
        <v>40</v>
      </c>
      <c r="P147" s="429">
        <v>40</v>
      </c>
      <c r="Q147" s="430">
        <v>6.5494285314285721</v>
      </c>
      <c r="R147" s="430">
        <v>3.8238571030000004</v>
      </c>
      <c r="S147" s="430">
        <v>70.661287578571418</v>
      </c>
      <c r="T147" s="430">
        <v>28.190571377142856</v>
      </c>
      <c r="U147" s="430">
        <v>9.6928569934285722</v>
      </c>
      <c r="V147" s="430">
        <v>12.594642775714282</v>
      </c>
      <c r="W147" s="430">
        <v>1.3999999759999999</v>
      </c>
      <c r="X147" s="430">
        <v>36.384999957142853</v>
      </c>
      <c r="Y147" s="430">
        <v>8.0550000327142861</v>
      </c>
    </row>
    <row r="148" spans="15:25">
      <c r="P148" s="429">
        <v>41</v>
      </c>
      <c r="Q148" s="430">
        <v>8.096428529999999</v>
      </c>
      <c r="R148" s="430">
        <v>4.0404286040000006</v>
      </c>
      <c r="S148" s="430">
        <v>65.047571455714291</v>
      </c>
      <c r="T148" s="430">
        <v>47.010571615714284</v>
      </c>
      <c r="U148" s="430">
        <v>10.709857054714286</v>
      </c>
      <c r="V148" s="430">
        <v>13.274107117142858</v>
      </c>
      <c r="W148" s="430">
        <v>1.3785714251428571</v>
      </c>
      <c r="X148" s="430">
        <v>40.987143380000006</v>
      </c>
      <c r="Y148" s="430">
        <v>6.9969999451428562</v>
      </c>
    </row>
    <row r="149" spans="15:25">
      <c r="P149" s="429">
        <v>42</v>
      </c>
      <c r="Q149" s="430">
        <v>7.4685714285714289</v>
      </c>
      <c r="R149" s="430">
        <v>4.8257142857142856</v>
      </c>
      <c r="S149" s="430">
        <v>67.597142857142856</v>
      </c>
      <c r="T149" s="430">
        <v>47.291428571428575</v>
      </c>
      <c r="U149" s="430">
        <v>8.5642857142857132</v>
      </c>
      <c r="V149" s="430">
        <v>13.001428571428571</v>
      </c>
      <c r="W149" s="430">
        <v>1.3499999999999999</v>
      </c>
      <c r="X149" s="430">
        <v>37.554285714285712</v>
      </c>
      <c r="Y149" s="430">
        <v>6.2985714285714289</v>
      </c>
    </row>
    <row r="150" spans="15:25">
      <c r="P150" s="429">
        <v>43</v>
      </c>
      <c r="Q150" s="430">
        <v>8.9041427881428579</v>
      </c>
      <c r="R150" s="430">
        <v>7.354714223857143</v>
      </c>
      <c r="S150" s="430">
        <v>80.445570807142857</v>
      </c>
      <c r="T150" s="430">
        <v>71.934570317142857</v>
      </c>
      <c r="U150" s="430">
        <v>12.279142925142859</v>
      </c>
      <c r="V150" s="430">
        <v>13.139822822857143</v>
      </c>
      <c r="W150" s="430">
        <v>1.2642857177142857</v>
      </c>
      <c r="X150" s="430">
        <v>52.87071446142857</v>
      </c>
      <c r="Y150" s="430">
        <v>11.989999907285712</v>
      </c>
    </row>
    <row r="151" spans="15:25">
      <c r="O151" s="428">
        <v>44</v>
      </c>
      <c r="P151" s="429">
        <v>44</v>
      </c>
      <c r="Q151" s="430">
        <v>7.8245713370000001</v>
      </c>
      <c r="R151" s="430">
        <v>6.0929999348571409</v>
      </c>
      <c r="S151" s="430">
        <v>68.079284669999993</v>
      </c>
      <c r="T151" s="430">
        <v>33.011999948571429</v>
      </c>
      <c r="U151" s="430">
        <v>8.685571329857142</v>
      </c>
      <c r="V151" s="430">
        <v>13.275356975714287</v>
      </c>
      <c r="W151" s="430">
        <v>1.1857142621428574</v>
      </c>
      <c r="X151" s="430">
        <v>36.208572388571426</v>
      </c>
      <c r="Y151" s="430">
        <v>7.9394285338571438</v>
      </c>
    </row>
    <row r="152" spans="15:25">
      <c r="P152" s="429">
        <v>45</v>
      </c>
      <c r="Q152" s="430">
        <v>9.4607142031428566</v>
      </c>
      <c r="R152" s="430">
        <v>6.8107141777142859</v>
      </c>
      <c r="S152" s="430">
        <v>71.555715832857132</v>
      </c>
      <c r="T152" s="430">
        <v>77.119000028571435</v>
      </c>
      <c r="U152" s="430">
        <v>11.169571467285715</v>
      </c>
      <c r="V152" s="430">
        <v>14</v>
      </c>
      <c r="W152" s="430">
        <v>1.1200000049999999</v>
      </c>
      <c r="X152" s="430">
        <v>61.867856707142856</v>
      </c>
      <c r="Y152" s="430">
        <v>10.621285710571428</v>
      </c>
    </row>
    <row r="153" spans="15:25">
      <c r="P153" s="429">
        <v>46</v>
      </c>
      <c r="Q153" s="430">
        <v>9.3077141910000005</v>
      </c>
      <c r="R153" s="430">
        <v>7.0327142307142854</v>
      </c>
      <c r="S153" s="430">
        <v>91.077428547142858</v>
      </c>
      <c r="T153" s="430">
        <v>102.37485722571429</v>
      </c>
      <c r="U153" s="430">
        <v>13.601000102857142</v>
      </c>
      <c r="V153" s="430">
        <v>14.050535747142858</v>
      </c>
      <c r="W153" s="430">
        <v>1.1085714441428569</v>
      </c>
      <c r="X153" s="430">
        <v>108.26642826857143</v>
      </c>
      <c r="Y153" s="430">
        <v>19.484428541428574</v>
      </c>
    </row>
    <row r="154" spans="15:25">
      <c r="P154" s="429">
        <v>47</v>
      </c>
      <c r="Q154" s="430">
        <v>9.4625713492857138</v>
      </c>
      <c r="R154" s="430">
        <v>5.5844285494285719</v>
      </c>
      <c r="S154" s="430">
        <v>81.972856794285704</v>
      </c>
      <c r="T154" s="430">
        <v>82.511857174285723</v>
      </c>
      <c r="U154" s="430">
        <v>10.628571509714286</v>
      </c>
      <c r="V154" s="430">
        <v>13.985775811428573</v>
      </c>
      <c r="W154" s="430">
        <v>1.1000000240000001</v>
      </c>
      <c r="X154" s="430">
        <v>123.16000039999999</v>
      </c>
      <c r="Y154" s="430">
        <v>19.475428171428575</v>
      </c>
    </row>
    <row r="155" spans="15:25">
      <c r="O155" s="428">
        <v>48</v>
      </c>
      <c r="P155" s="429">
        <v>48</v>
      </c>
      <c r="Q155" s="430">
        <v>10.788142817999999</v>
      </c>
      <c r="R155" s="430">
        <v>7.5644286014285722</v>
      </c>
      <c r="S155" s="430">
        <v>84.626999989999987</v>
      </c>
      <c r="T155" s="430">
        <v>67.75</v>
      </c>
      <c r="U155" s="430">
        <v>8.4404285975714277</v>
      </c>
      <c r="V155" s="430">
        <v>13.781128474285714</v>
      </c>
      <c r="W155" s="430">
        <v>1.1000000240000001</v>
      </c>
      <c r="X155" s="430">
        <v>94.382143292857137</v>
      </c>
      <c r="Y155" s="430">
        <v>16.918428555714282</v>
      </c>
    </row>
    <row r="156" spans="15:25">
      <c r="P156" s="429">
        <v>49</v>
      </c>
      <c r="Q156" s="430">
        <v>12.195857184142856</v>
      </c>
      <c r="R156" s="430">
        <v>8.7971429828571424</v>
      </c>
      <c r="S156" s="430">
        <v>127.52371543</v>
      </c>
      <c r="T156" s="430">
        <v>92.821572431428564</v>
      </c>
      <c r="U156" s="430">
        <v>12.563142707428572</v>
      </c>
      <c r="V156" s="430">
        <v>13.148691448571428</v>
      </c>
      <c r="W156" s="430">
        <v>1.1000000000000001</v>
      </c>
      <c r="X156" s="430">
        <v>134.38285718142859</v>
      </c>
      <c r="Y156" s="430">
        <v>23.580285755714289</v>
      </c>
    </row>
    <row r="157" spans="15:25">
      <c r="P157" s="429">
        <v>50</v>
      </c>
      <c r="Q157" s="430">
        <v>12.195857184142856</v>
      </c>
      <c r="R157" s="430">
        <v>8.7971429828571424</v>
      </c>
      <c r="S157" s="430">
        <v>183.5428575857143</v>
      </c>
      <c r="T157" s="430">
        <v>117.73200008285714</v>
      </c>
      <c r="U157" s="430">
        <v>21.506999832857144</v>
      </c>
      <c r="V157" s="430">
        <v>12.61392865857143</v>
      </c>
      <c r="W157" s="430">
        <v>1.1014285939999999</v>
      </c>
      <c r="X157" s="430">
        <v>210.99928282857144</v>
      </c>
      <c r="Y157" s="430">
        <v>41.892142702857143</v>
      </c>
    </row>
    <row r="158" spans="15:25">
      <c r="P158" s="429">
        <v>51</v>
      </c>
      <c r="Q158" s="430">
        <v>18.622142792857144</v>
      </c>
      <c r="R158" s="430">
        <v>18.057571141428571</v>
      </c>
      <c r="S158" s="430">
        <v>292.95071844285718</v>
      </c>
      <c r="T158" s="430">
        <v>180.44057028571427</v>
      </c>
      <c r="U158" s="430">
        <v>47.032857078571432</v>
      </c>
      <c r="V158" s="430">
        <v>12.600475584285714</v>
      </c>
      <c r="W158" s="430">
        <v>1.1000000240000001</v>
      </c>
      <c r="X158" s="430">
        <v>166.85428727142857</v>
      </c>
      <c r="Y158" s="430">
        <v>39.827428544285716</v>
      </c>
    </row>
    <row r="159" spans="15:25">
      <c r="P159" s="429">
        <v>52</v>
      </c>
      <c r="Q159" s="430">
        <v>29.98</v>
      </c>
      <c r="R159" s="430">
        <v>19.592142921428572</v>
      </c>
      <c r="S159" s="430">
        <v>381.11599999999993</v>
      </c>
      <c r="T159" s="430">
        <v>222.82728794285717</v>
      </c>
      <c r="U159" s="430">
        <v>45.963714052857135</v>
      </c>
      <c r="V159" s="430">
        <v>12.617798667142859</v>
      </c>
      <c r="W159" s="430">
        <v>1.4000000274285713</v>
      </c>
      <c r="X159" s="430">
        <v>293.28928701428578</v>
      </c>
      <c r="Y159" s="430">
        <v>62.57285690285714</v>
      </c>
    </row>
    <row r="160" spans="15:25">
      <c r="O160" s="428">
        <v>53</v>
      </c>
      <c r="P160" s="429">
        <v>53</v>
      </c>
      <c r="Q160" s="430">
        <v>16.182714325714286</v>
      </c>
      <c r="R160" s="430">
        <v>8.7855713015714283</v>
      </c>
      <c r="S160" s="430">
        <v>271.83385794285715</v>
      </c>
      <c r="T160" s="430">
        <v>172.15485925714285</v>
      </c>
      <c r="U160" s="430">
        <v>29.933428355714284</v>
      </c>
      <c r="V160" s="430">
        <v>12.85226127</v>
      </c>
      <c r="W160" s="430">
        <v>1.4571428811428571</v>
      </c>
      <c r="X160" s="430">
        <v>278.16286141428571</v>
      </c>
      <c r="Y160" s="430">
        <v>97.806430279999987</v>
      </c>
    </row>
    <row r="161" spans="13:32">
      <c r="N161" s="428">
        <v>2020</v>
      </c>
      <c r="P161" s="429">
        <v>1</v>
      </c>
      <c r="Q161" s="430">
        <v>12.763571330479184</v>
      </c>
      <c r="R161" s="430">
        <v>7.4842857292720009</v>
      </c>
      <c r="S161" s="430">
        <v>176.20814078194715</v>
      </c>
      <c r="T161" s="430">
        <v>130.2321406773155</v>
      </c>
      <c r="U161" s="430">
        <v>24.27742849077493</v>
      </c>
      <c r="V161" s="430">
        <v>14.514315741402715</v>
      </c>
      <c r="W161" s="430">
        <v>2.278571367263786</v>
      </c>
      <c r="X161" s="430">
        <v>468.15499877929659</v>
      </c>
      <c r="Y161" s="430">
        <v>152.80385916573601</v>
      </c>
    </row>
    <row r="162" spans="13:32">
      <c r="P162" s="429">
        <v>2</v>
      </c>
      <c r="Q162" s="430">
        <v>13.386285781428571</v>
      </c>
      <c r="R162" s="430">
        <v>6.9174285272857139</v>
      </c>
      <c r="S162" s="430">
        <v>159.75199889999999</v>
      </c>
      <c r="T162" s="430">
        <v>106.97614288285715</v>
      </c>
      <c r="U162" s="430">
        <v>30.680286678571431</v>
      </c>
      <c r="V162" s="430">
        <v>13.21958133142857</v>
      </c>
      <c r="W162" s="430">
        <v>1.8857142757142857</v>
      </c>
      <c r="X162" s="430">
        <v>213.59428187142859</v>
      </c>
      <c r="Y162" s="430">
        <v>97.949856347142855</v>
      </c>
    </row>
    <row r="163" spans="13:32">
      <c r="P163" s="429">
        <v>3</v>
      </c>
      <c r="Q163" s="430">
        <v>15.196428435714285</v>
      </c>
      <c r="R163" s="430">
        <v>11.330428599714283</v>
      </c>
      <c r="S163" s="430">
        <v>243.87700107142857</v>
      </c>
      <c r="T163" s="430">
        <v>137.04186028571428</v>
      </c>
      <c r="U163" s="430">
        <v>40.240000044285715</v>
      </c>
      <c r="V163" s="430">
        <v>16.855534282857143</v>
      </c>
      <c r="W163" s="430">
        <v>6.3075712748571418</v>
      </c>
      <c r="X163" s="430">
        <v>247.26214164285713</v>
      </c>
      <c r="Y163" s="430">
        <v>78.131857190000005</v>
      </c>
    </row>
    <row r="164" spans="13:32">
      <c r="O164" s="428">
        <v>4</v>
      </c>
      <c r="P164" s="429">
        <v>4</v>
      </c>
      <c r="Q164" s="430">
        <v>16.57199968714286</v>
      </c>
      <c r="R164" s="430">
        <v>12.821999958571428</v>
      </c>
      <c r="S164" s="430">
        <v>236.61043005714285</v>
      </c>
      <c r="T164" s="430">
        <v>121.29742760000001</v>
      </c>
      <c r="U164" s="430">
        <v>26.470714297142855</v>
      </c>
      <c r="V164" s="430">
        <v>22.011848449999999</v>
      </c>
      <c r="W164" s="430">
        <v>4.3669999327142861</v>
      </c>
      <c r="X164" s="430">
        <v>212.78856985714287</v>
      </c>
      <c r="Y164" s="430">
        <v>52.875</v>
      </c>
    </row>
    <row r="165" spans="13:32">
      <c r="P165" s="429">
        <v>5</v>
      </c>
      <c r="Q165" s="430">
        <v>25.675428661428576</v>
      </c>
      <c r="R165" s="430">
        <v>18.254856927142857</v>
      </c>
      <c r="S165" s="430">
        <v>392.82542635714287</v>
      </c>
      <c r="T165" s="430">
        <v>216.11300005714287</v>
      </c>
      <c r="U165" s="430">
        <v>48.707714625714289</v>
      </c>
      <c r="V165" s="430">
        <v>14.496191432857142</v>
      </c>
      <c r="W165" s="430">
        <v>2.6891428574285712</v>
      </c>
      <c r="X165" s="430">
        <v>410.15428595714286</v>
      </c>
      <c r="Y165" s="430">
        <v>99.128998899999985</v>
      </c>
    </row>
    <row r="166" spans="13:32">
      <c r="P166" s="429">
        <v>6</v>
      </c>
      <c r="Q166" s="430">
        <v>22.638571330479174</v>
      </c>
      <c r="R166" s="430">
        <v>17.332571574619813</v>
      </c>
      <c r="S166" s="430">
        <v>448.59157017299066</v>
      </c>
      <c r="T166" s="430">
        <v>221.35714285714261</v>
      </c>
      <c r="U166" s="430">
        <v>51.925000326974022</v>
      </c>
      <c r="V166" s="430">
        <v>17.659045491899729</v>
      </c>
      <c r="W166" s="430">
        <v>9.7964284079415354</v>
      </c>
      <c r="X166" s="430">
        <v>622.45499965122758</v>
      </c>
      <c r="Y166" s="430">
        <v>151.47385733468144</v>
      </c>
    </row>
    <row r="167" spans="13:32">
      <c r="P167" s="429">
        <v>7</v>
      </c>
      <c r="Q167" s="430">
        <v>24.818285805714286</v>
      </c>
      <c r="R167" s="430">
        <v>19.436000279999998</v>
      </c>
      <c r="S167" s="430">
        <v>374.25799560000002</v>
      </c>
      <c r="T167" s="430">
        <v>142.54771639999998</v>
      </c>
      <c r="U167" s="430">
        <v>37.997142247142854</v>
      </c>
      <c r="V167" s="430">
        <v>23.642735891428568</v>
      </c>
      <c r="W167" s="430">
        <v>10.810714449000001</v>
      </c>
      <c r="X167" s="430">
        <v>434.32357352857144</v>
      </c>
      <c r="Y167" s="430">
        <v>148.12728554285715</v>
      </c>
    </row>
    <row r="168" spans="13:32">
      <c r="O168" s="428">
        <v>8</v>
      </c>
      <c r="P168" s="429">
        <v>8</v>
      </c>
      <c r="Q168" s="430">
        <v>16.877285957336387</v>
      </c>
      <c r="R168" s="430">
        <v>13.084142684936484</v>
      </c>
      <c r="S168" s="430">
        <v>289.19357081821948</v>
      </c>
      <c r="T168" s="430">
        <v>162.01200212751087</v>
      </c>
      <c r="U168" s="430">
        <v>30.780285699026873</v>
      </c>
      <c r="V168" s="430">
        <v>23.681545802525072</v>
      </c>
      <c r="W168" s="430">
        <v>21.290571621486073</v>
      </c>
      <c r="X168" s="430">
        <v>403.40571376255542</v>
      </c>
      <c r="Y168" s="430">
        <v>143.28899928501644</v>
      </c>
    </row>
    <row r="169" spans="13:32">
      <c r="P169" s="429">
        <v>9</v>
      </c>
      <c r="Q169" s="430">
        <v>20.463000162857146</v>
      </c>
      <c r="R169" s="430">
        <v>16.131428717142857</v>
      </c>
      <c r="S169" s="430">
        <v>302.38613892857137</v>
      </c>
      <c r="T169" s="430">
        <v>174.72028894285717</v>
      </c>
      <c r="U169" s="430">
        <v>36.13400023285714</v>
      </c>
      <c r="V169" s="430">
        <v>23.625475747142854</v>
      </c>
      <c r="W169" s="430">
        <v>11.064000130142858</v>
      </c>
      <c r="X169" s="430">
        <v>388.35356794285718</v>
      </c>
      <c r="Y169" s="430">
        <v>84.357999531428575</v>
      </c>
    </row>
    <row r="170" spans="13:32">
      <c r="P170" s="429">
        <v>10</v>
      </c>
      <c r="Q170" s="430">
        <v>20.001714159999999</v>
      </c>
      <c r="R170" s="430">
        <v>16.133428572857145</v>
      </c>
      <c r="S170" s="430">
        <v>219.49971445714283</v>
      </c>
      <c r="T170" s="430">
        <v>118.91071428571429</v>
      </c>
      <c r="U170" s="430">
        <v>22.61842863857143</v>
      </c>
      <c r="V170" s="430">
        <v>23.72583552857143</v>
      </c>
      <c r="W170" s="430">
        <v>5.0324285712857142</v>
      </c>
      <c r="X170" s="430">
        <v>317.96785625714284</v>
      </c>
      <c r="Y170" s="430">
        <v>76.472572329999977</v>
      </c>
    </row>
    <row r="171" spans="13:32" s="741" customFormat="1">
      <c r="M171" s="428"/>
      <c r="N171" s="428"/>
      <c r="O171" s="428"/>
      <c r="P171" s="429">
        <v>11</v>
      </c>
      <c r="Q171" s="430">
        <v>20.464285714285715</v>
      </c>
      <c r="R171" s="430">
        <v>16.275285719999999</v>
      </c>
      <c r="S171" s="430">
        <v>210.39014761428572</v>
      </c>
      <c r="T171" s="430">
        <v>145.36899785714286</v>
      </c>
      <c r="U171" s="430">
        <v>39.343428748571434</v>
      </c>
      <c r="V171" s="430">
        <v>23.714347295714287</v>
      </c>
      <c r="W171" s="430">
        <v>12.165999821428571</v>
      </c>
      <c r="X171" s="430">
        <v>377.62500435714281</v>
      </c>
      <c r="Y171" s="430">
        <v>110.78628649857141</v>
      </c>
      <c r="Z171" s="418"/>
      <c r="AA171" s="303"/>
      <c r="AB171" s="303"/>
      <c r="AC171" s="303"/>
      <c r="AD171" s="303"/>
      <c r="AE171" s="291"/>
      <c r="AF171" s="291"/>
    </row>
    <row r="172" spans="13:32" s="741" customFormat="1">
      <c r="M172" s="428"/>
      <c r="N172" s="428"/>
      <c r="O172" s="428"/>
      <c r="P172" s="429">
        <v>12</v>
      </c>
      <c r="Q172" s="430">
        <v>23.032714026314846</v>
      </c>
      <c r="R172" s="430">
        <v>20.180714198521169</v>
      </c>
      <c r="S172" s="430">
        <v>335.19785417829189</v>
      </c>
      <c r="T172" s="430">
        <v>171.26185716901472</v>
      </c>
      <c r="U172" s="430">
        <v>46.286999838692772</v>
      </c>
      <c r="V172" s="430">
        <v>23.623331614903002</v>
      </c>
      <c r="W172" s="430">
        <v>11.119714055742502</v>
      </c>
      <c r="X172" s="430">
        <v>380.85929216657314</v>
      </c>
      <c r="Y172" s="430">
        <v>113.32999965122723</v>
      </c>
      <c r="Z172" s="418"/>
      <c r="AA172" s="303"/>
      <c r="AB172" s="303"/>
      <c r="AC172" s="303"/>
      <c r="AD172" s="303"/>
      <c r="AE172" s="291"/>
      <c r="AF172" s="291"/>
    </row>
    <row r="173" spans="13:32" s="741" customFormat="1">
      <c r="M173" s="428"/>
      <c r="N173" s="428"/>
      <c r="O173" s="428">
        <v>13</v>
      </c>
      <c r="P173" s="429">
        <v>13</v>
      </c>
      <c r="Q173" s="430">
        <v>27.558857236589642</v>
      </c>
      <c r="R173" s="430">
        <v>21.319143022809669</v>
      </c>
      <c r="S173" s="430">
        <v>569.31741768973188</v>
      </c>
      <c r="T173" s="430">
        <v>241.59529113769531</v>
      </c>
      <c r="U173" s="430">
        <v>63.414285387311629</v>
      </c>
      <c r="V173" s="430">
        <v>22.128154209681874</v>
      </c>
      <c r="W173" s="430">
        <v>6.0048571995326432</v>
      </c>
      <c r="X173" s="430">
        <v>332.15285818917374</v>
      </c>
      <c r="Y173" s="430">
        <v>97.158571515764294</v>
      </c>
      <c r="Z173" s="418"/>
      <c r="AA173" s="303"/>
      <c r="AB173" s="303"/>
      <c r="AC173" s="303"/>
      <c r="AD173" s="303"/>
      <c r="AE173" s="291"/>
      <c r="AF173" s="291"/>
    </row>
    <row r="174" spans="13:32" s="741" customFormat="1">
      <c r="M174" s="428"/>
      <c r="N174" s="428"/>
      <c r="O174" s="428"/>
      <c r="P174" s="429"/>
      <c r="Q174" s="430"/>
      <c r="R174" s="430"/>
      <c r="S174" s="430"/>
      <c r="T174" s="430"/>
      <c r="U174" s="430"/>
      <c r="V174" s="430"/>
      <c r="W174" s="430"/>
      <c r="X174" s="430"/>
      <c r="Y174" s="430"/>
      <c r="Z174" s="418"/>
      <c r="AA174" s="303"/>
      <c r="AB174" s="303"/>
      <c r="AC174" s="303"/>
      <c r="AD174" s="303"/>
      <c r="AE174" s="291"/>
      <c r="AF174" s="291"/>
    </row>
    <row r="175" spans="13:32">
      <c r="P175" s="429"/>
      <c r="Q175" s="781" t="s">
        <v>266</v>
      </c>
      <c r="R175" s="781" t="s">
        <v>267</v>
      </c>
      <c r="S175" s="781" t="s">
        <v>268</v>
      </c>
      <c r="T175" s="781" t="s">
        <v>269</v>
      </c>
      <c r="U175" s="781" t="s">
        <v>270</v>
      </c>
      <c r="V175" s="781" t="s">
        <v>271</v>
      </c>
      <c r="W175" s="781" t="s">
        <v>272</v>
      </c>
      <c r="X175" s="781" t="s">
        <v>273</v>
      </c>
      <c r="Y175" s="781" t="s">
        <v>274</v>
      </c>
    </row>
    <row r="176" spans="13:32">
      <c r="P176" s="429"/>
      <c r="Q176" s="430"/>
      <c r="R176" s="430"/>
      <c r="S176" s="430"/>
      <c r="T176" s="430"/>
      <c r="U176" s="430"/>
      <c r="V176" s="430"/>
      <c r="W176" s="430"/>
      <c r="X176" s="430"/>
      <c r="Y176" s="430"/>
    </row>
    <row r="177" spans="16:25">
      <c r="P177" s="429"/>
      <c r="Q177" s="430"/>
      <c r="R177" s="430"/>
      <c r="S177" s="430"/>
      <c r="T177" s="430"/>
      <c r="U177" s="430"/>
      <c r="V177" s="430"/>
      <c r="W177" s="430"/>
      <c r="X177" s="430"/>
      <c r="Y177" s="430"/>
    </row>
    <row r="178" spans="16:25">
      <c r="P178" s="429"/>
      <c r="Q178" s="430"/>
      <c r="R178" s="430"/>
      <c r="S178" s="430"/>
      <c r="T178" s="430"/>
      <c r="U178" s="430"/>
      <c r="V178" s="430"/>
      <c r="W178" s="430"/>
      <c r="X178" s="430"/>
      <c r="Y178" s="430"/>
    </row>
    <row r="179" spans="16:25">
      <c r="P179" s="429"/>
      <c r="Q179" s="430"/>
      <c r="R179" s="430"/>
      <c r="S179" s="430"/>
      <c r="T179" s="430"/>
      <c r="U179" s="430"/>
      <c r="V179" s="430"/>
      <c r="W179" s="430"/>
      <c r="X179" s="430"/>
      <c r="Y179" s="430"/>
    </row>
    <row r="180" spans="16:25">
      <c r="P180" s="429"/>
      <c r="Q180" s="430"/>
      <c r="R180" s="430"/>
      <c r="S180" s="430"/>
      <c r="T180" s="430"/>
      <c r="U180" s="430"/>
      <c r="V180" s="430"/>
      <c r="W180" s="430"/>
      <c r="X180" s="430"/>
      <c r="Y180" s="430"/>
    </row>
    <row r="181" spans="16:25">
      <c r="P181" s="429"/>
      <c r="Q181" s="430"/>
      <c r="R181" s="430"/>
      <c r="S181" s="430"/>
      <c r="T181" s="430"/>
      <c r="U181" s="430"/>
      <c r="V181" s="430"/>
      <c r="W181" s="430"/>
      <c r="X181" s="430"/>
      <c r="Y181" s="430"/>
    </row>
    <row r="182" spans="16:25">
      <c r="P182" s="429"/>
      <c r="Q182" s="430"/>
      <c r="R182" s="430"/>
      <c r="S182" s="430"/>
      <c r="T182" s="430"/>
      <c r="U182" s="430"/>
      <c r="V182" s="430"/>
      <c r="W182" s="430"/>
      <c r="X182" s="430"/>
      <c r="Y182" s="430"/>
    </row>
    <row r="186" spans="16:25">
      <c r="P186" s="429"/>
      <c r="Q186" s="430"/>
      <c r="R186" s="430"/>
      <c r="S186" s="430"/>
      <c r="T186" s="430"/>
      <c r="U186" s="430"/>
      <c r="V186" s="430"/>
      <c r="W186" s="430"/>
      <c r="X186" s="430"/>
      <c r="Y186" s="430"/>
    </row>
    <row r="187" spans="16:25">
      <c r="P187" s="429"/>
      <c r="Q187" s="430"/>
      <c r="R187" s="430"/>
      <c r="S187" s="430"/>
      <c r="T187" s="430"/>
      <c r="U187" s="430"/>
      <c r="V187" s="430"/>
      <c r="W187" s="430"/>
      <c r="X187" s="430"/>
      <c r="Y187" s="430"/>
    </row>
    <row r="188" spans="16:25">
      <c r="P188" s="429"/>
      <c r="Q188" s="430"/>
      <c r="R188" s="430"/>
      <c r="S188" s="430"/>
      <c r="T188" s="430"/>
      <c r="U188" s="430"/>
      <c r="V188" s="430"/>
      <c r="W188" s="430"/>
      <c r="X188" s="430"/>
      <c r="Y188" s="430"/>
    </row>
    <row r="189" spans="16:25">
      <c r="P189" s="429"/>
      <c r="Q189" s="430"/>
      <c r="R189" s="430"/>
      <c r="S189" s="430"/>
      <c r="T189" s="430"/>
      <c r="U189" s="430"/>
      <c r="V189" s="430"/>
      <c r="W189" s="430"/>
      <c r="X189" s="430"/>
      <c r="Y189" s="430"/>
    </row>
    <row r="190" spans="16:25">
      <c r="P190" s="429"/>
      <c r="Q190" s="430"/>
      <c r="R190" s="430"/>
      <c r="S190" s="743"/>
      <c r="T190" s="430"/>
      <c r="U190" s="430"/>
      <c r="V190" s="430"/>
      <c r="W190" s="430"/>
      <c r="X190" s="430"/>
      <c r="Y190" s="430"/>
    </row>
    <row r="191" spans="16:25">
      <c r="P191" s="429"/>
      <c r="Q191" s="430"/>
      <c r="R191" s="430"/>
      <c r="S191" s="743"/>
      <c r="T191" s="430"/>
      <c r="U191" s="430"/>
      <c r="V191" s="430"/>
      <c r="W191" s="430"/>
      <c r="X191" s="430"/>
      <c r="Y191" s="430"/>
    </row>
    <row r="192" spans="16:25">
      <c r="P192" s="429"/>
      <c r="Q192" s="430"/>
      <c r="R192" s="430"/>
      <c r="S192" s="743"/>
      <c r="T192" s="430"/>
      <c r="U192" s="430"/>
      <c r="V192" s="430"/>
      <c r="W192" s="430"/>
      <c r="X192" s="430"/>
      <c r="Y192" s="430"/>
    </row>
    <row r="193" spans="16:25">
      <c r="P193" s="429"/>
      <c r="Q193" s="430"/>
      <c r="R193" s="430"/>
      <c r="S193" s="743"/>
      <c r="T193" s="430"/>
      <c r="U193" s="430"/>
      <c r="V193" s="430"/>
      <c r="W193" s="430"/>
      <c r="X193" s="430"/>
      <c r="Y193" s="430"/>
    </row>
    <row r="194" spans="16:25">
      <c r="P194" s="429"/>
      <c r="Q194" s="430"/>
      <c r="R194" s="430"/>
      <c r="S194" s="743"/>
      <c r="T194" s="430"/>
      <c r="U194" s="430"/>
      <c r="V194" s="430"/>
      <c r="W194" s="430"/>
      <c r="X194" s="430"/>
      <c r="Y194" s="430"/>
    </row>
    <row r="195" spans="16:25">
      <c r="P195" s="429"/>
      <c r="Q195" s="430"/>
      <c r="R195" s="430"/>
      <c r="S195" s="430"/>
      <c r="T195" s="430"/>
      <c r="U195" s="430"/>
      <c r="V195" s="430"/>
      <c r="W195" s="430"/>
      <c r="X195" s="430"/>
      <c r="Y195" s="430"/>
    </row>
    <row r="196" spans="16:25">
      <c r="P196" s="429"/>
      <c r="Q196" s="430"/>
      <c r="R196" s="430"/>
      <c r="S196" s="430"/>
      <c r="T196" s="430"/>
      <c r="U196" s="430"/>
      <c r="V196" s="430"/>
      <c r="W196" s="430"/>
      <c r="X196" s="430"/>
      <c r="Y196" s="430"/>
    </row>
    <row r="197" spans="16:25">
      <c r="P197" s="429"/>
      <c r="Q197" s="430"/>
      <c r="R197" s="430"/>
      <c r="S197" s="430"/>
      <c r="T197" s="430"/>
      <c r="U197" s="430"/>
      <c r="V197" s="430"/>
      <c r="W197" s="430"/>
      <c r="X197" s="430"/>
      <c r="Y197" s="430"/>
    </row>
    <row r="198" spans="16:25">
      <c r="P198" s="429"/>
      <c r="Q198" s="430"/>
      <c r="R198" s="430"/>
      <c r="S198" s="430"/>
      <c r="T198" s="430"/>
      <c r="U198" s="430"/>
      <c r="V198" s="430"/>
      <c r="W198" s="430"/>
      <c r="X198" s="430"/>
      <c r="Y198" s="430"/>
    </row>
    <row r="199" spans="16:25">
      <c r="P199" s="429"/>
      <c r="Q199" s="430"/>
      <c r="R199" s="430"/>
      <c r="S199" s="430"/>
      <c r="T199" s="430"/>
      <c r="U199" s="430"/>
      <c r="V199" s="430"/>
      <c r="W199" s="430"/>
      <c r="X199" s="430"/>
      <c r="Y199" s="430"/>
    </row>
    <row r="200" spans="16:25">
      <c r="P200" s="429"/>
      <c r="Q200" s="430"/>
      <c r="R200" s="430"/>
      <c r="S200" s="430"/>
      <c r="T200" s="430"/>
      <c r="U200" s="430"/>
      <c r="V200" s="430"/>
      <c r="W200" s="430"/>
      <c r="X200" s="430"/>
      <c r="Y200" s="430"/>
    </row>
    <row r="201" spans="16:25">
      <c r="P201" s="429"/>
      <c r="Q201" s="430"/>
      <c r="R201" s="430"/>
      <c r="S201" s="430"/>
      <c r="T201" s="430"/>
      <c r="U201" s="430"/>
      <c r="V201" s="430"/>
      <c r="W201" s="430"/>
      <c r="X201" s="430"/>
      <c r="Y201" s="430"/>
    </row>
    <row r="202" spans="16:25">
      <c r="P202" s="429"/>
      <c r="Q202" s="430"/>
      <c r="R202" s="430"/>
      <c r="S202" s="430"/>
      <c r="T202" s="430"/>
      <c r="U202" s="430"/>
      <c r="V202" s="430"/>
      <c r="W202" s="430"/>
      <c r="X202" s="430"/>
      <c r="Y202" s="430"/>
    </row>
    <row r="203" spans="16:25">
      <c r="P203" s="429"/>
      <c r="Q203" s="430"/>
      <c r="R203" s="430"/>
      <c r="S203" s="430"/>
      <c r="T203" s="430"/>
      <c r="U203" s="430"/>
      <c r="V203" s="430"/>
      <c r="W203" s="430"/>
      <c r="X203" s="430"/>
      <c r="Y203" s="430"/>
    </row>
    <row r="204" spans="16:25">
      <c r="P204" s="429"/>
      <c r="Q204" s="430"/>
      <c r="R204" s="430"/>
      <c r="S204" s="430"/>
      <c r="T204" s="430"/>
      <c r="U204" s="430"/>
      <c r="V204" s="430"/>
      <c r="W204" s="430"/>
      <c r="X204" s="430"/>
      <c r="Y204" s="430"/>
    </row>
    <row r="205" spans="16:25">
      <c r="P205" s="429"/>
      <c r="Q205" s="430"/>
      <c r="R205" s="430"/>
      <c r="S205" s="430"/>
      <c r="T205" s="430"/>
      <c r="U205" s="430"/>
      <c r="V205" s="430"/>
      <c r="W205" s="430"/>
      <c r="X205" s="430"/>
      <c r="Y205" s="430"/>
    </row>
    <row r="206" spans="16:25">
      <c r="P206" s="429"/>
      <c r="Q206" s="430"/>
      <c r="R206" s="430"/>
      <c r="S206" s="430"/>
      <c r="T206" s="430"/>
      <c r="U206" s="430"/>
      <c r="V206" s="430"/>
      <c r="W206" s="430"/>
      <c r="X206" s="430"/>
      <c r="Y206" s="430"/>
    </row>
    <row r="207" spans="16:25">
      <c r="P207" s="429"/>
      <c r="Q207" s="430"/>
      <c r="R207" s="430"/>
      <c r="S207" s="430"/>
      <c r="T207" s="430"/>
      <c r="U207" s="430"/>
      <c r="V207" s="430"/>
      <c r="W207" s="430"/>
      <c r="X207" s="430"/>
      <c r="Y207" s="430"/>
    </row>
    <row r="208" spans="16:25">
      <c r="P208" s="429"/>
      <c r="Q208" s="430"/>
      <c r="R208" s="430"/>
      <c r="S208" s="430"/>
      <c r="T208" s="430"/>
      <c r="U208" s="430"/>
      <c r="V208" s="430"/>
      <c r="W208" s="430"/>
      <c r="X208" s="430"/>
      <c r="Y208" s="430"/>
    </row>
    <row r="209" spans="16:25">
      <c r="P209" s="429"/>
      <c r="Q209" s="430"/>
      <c r="R209" s="430"/>
      <c r="S209" s="430"/>
      <c r="T209" s="430"/>
      <c r="U209" s="430"/>
      <c r="V209" s="430"/>
      <c r="W209" s="430"/>
      <c r="X209" s="430"/>
      <c r="Y209" s="430"/>
    </row>
    <row r="210" spans="16:25">
      <c r="P210" s="429"/>
      <c r="Q210" s="430"/>
      <c r="R210" s="430"/>
      <c r="S210" s="430"/>
      <c r="T210" s="430"/>
      <c r="U210" s="430"/>
      <c r="V210" s="430"/>
      <c r="W210" s="430"/>
      <c r="X210" s="430"/>
      <c r="Y210" s="430"/>
    </row>
    <row r="211" spans="16:25">
      <c r="P211" s="429"/>
      <c r="Q211" s="430"/>
      <c r="R211" s="430"/>
      <c r="S211" s="430"/>
      <c r="T211" s="430"/>
      <c r="U211" s="430"/>
      <c r="V211" s="430"/>
      <c r="W211" s="430"/>
      <c r="X211" s="430"/>
      <c r="Y211" s="430"/>
    </row>
    <row r="212" spans="16:25">
      <c r="P212" s="429"/>
      <c r="Q212" s="430"/>
      <c r="R212" s="430"/>
      <c r="S212" s="430"/>
      <c r="T212" s="430"/>
      <c r="U212" s="430"/>
      <c r="V212" s="430"/>
      <c r="W212" s="430"/>
      <c r="X212" s="430"/>
      <c r="Y212" s="430"/>
    </row>
    <row r="213" spans="16:25">
      <c r="P213" s="429"/>
      <c r="Q213" s="430"/>
      <c r="R213" s="430"/>
      <c r="S213" s="430"/>
      <c r="T213" s="430"/>
      <c r="U213" s="430"/>
      <c r="V213" s="430"/>
      <c r="W213" s="430"/>
      <c r="X213" s="430"/>
      <c r="Y213" s="430"/>
    </row>
    <row r="214" spans="16:25">
      <c r="P214" s="429"/>
      <c r="Q214" s="430"/>
      <c r="R214" s="430"/>
      <c r="S214" s="430"/>
      <c r="T214" s="430"/>
      <c r="U214" s="430"/>
      <c r="V214" s="430"/>
      <c r="W214" s="430"/>
      <c r="X214" s="430"/>
      <c r="Y214" s="430"/>
    </row>
    <row r="215" spans="16:25">
      <c r="P215" s="429"/>
      <c r="Q215" s="430"/>
      <c r="R215" s="430"/>
      <c r="S215" s="430"/>
      <c r="T215" s="430"/>
      <c r="U215" s="430"/>
      <c r="V215" s="430"/>
      <c r="W215" s="430"/>
      <c r="X215" s="430"/>
      <c r="Y215" s="430"/>
    </row>
    <row r="216" spans="16:25">
      <c r="P216" s="42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R40" sqref="R40"/>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7" customWidth="1"/>
    <col min="12" max="12" width="9.33203125" style="637"/>
    <col min="13" max="13" width="20.5" style="679" customWidth="1"/>
    <col min="14" max="21" width="9.33203125" style="782"/>
  </cols>
  <sheetData>
    <row r="1" spans="1:17" ht="11.25" customHeight="1"/>
    <row r="2" spans="1:17" ht="11.25" customHeight="1">
      <c r="A2" s="930" t="s">
        <v>466</v>
      </c>
      <c r="B2" s="930"/>
      <c r="C2" s="930"/>
      <c r="D2" s="930"/>
      <c r="E2" s="930"/>
      <c r="F2" s="930"/>
      <c r="G2" s="930"/>
      <c r="H2" s="930"/>
      <c r="I2" s="930"/>
      <c r="J2" s="930"/>
      <c r="K2" s="930"/>
    </row>
    <row r="3" spans="1:17" ht="11.25" customHeight="1">
      <c r="A3" s="18"/>
      <c r="B3" s="18"/>
      <c r="C3" s="18"/>
      <c r="D3" s="18"/>
      <c r="E3" s="18"/>
      <c r="F3" s="18"/>
      <c r="G3" s="18"/>
      <c r="H3" s="18"/>
      <c r="I3" s="18"/>
      <c r="J3" s="662"/>
      <c r="K3" s="662"/>
      <c r="L3" s="334"/>
    </row>
    <row r="4" spans="1:17" ht="11.25" customHeight="1">
      <c r="A4" s="914" t="s">
        <v>387</v>
      </c>
      <c r="B4" s="914"/>
      <c r="C4" s="914"/>
      <c r="D4" s="914"/>
      <c r="E4" s="914"/>
      <c r="F4" s="914"/>
      <c r="G4" s="914"/>
      <c r="H4" s="914"/>
      <c r="I4" s="183"/>
      <c r="J4" s="663"/>
      <c r="L4" s="334"/>
    </row>
    <row r="5" spans="1:17" ht="7.5" customHeight="1">
      <c r="A5" s="184"/>
      <c r="B5" s="184"/>
      <c r="C5" s="184"/>
      <c r="D5" s="184"/>
      <c r="E5" s="184"/>
      <c r="F5" s="184"/>
      <c r="G5" s="184"/>
      <c r="H5" s="184"/>
      <c r="I5" s="184"/>
      <c r="J5" s="664"/>
      <c r="L5" s="665"/>
    </row>
    <row r="6" spans="1:17" ht="11.25" customHeight="1">
      <c r="A6" s="184"/>
      <c r="B6" s="188" t="s">
        <v>388</v>
      </c>
      <c r="C6" s="184"/>
      <c r="D6" s="184"/>
      <c r="E6" s="184"/>
      <c r="F6" s="184"/>
      <c r="G6" s="184"/>
      <c r="H6" s="184"/>
      <c r="I6" s="184"/>
      <c r="J6" s="664"/>
      <c r="L6" s="666"/>
    </row>
    <row r="7" spans="1:17" ht="7.5" customHeight="1">
      <c r="A7" s="184"/>
      <c r="B7" s="185"/>
      <c r="C7" s="184"/>
      <c r="D7" s="184"/>
      <c r="E7" s="184"/>
      <c r="F7" s="184"/>
      <c r="G7" s="184"/>
      <c r="H7" s="184"/>
      <c r="I7" s="184"/>
      <c r="J7" s="664"/>
      <c r="L7" s="667"/>
    </row>
    <row r="8" spans="1:17" ht="21" customHeight="1">
      <c r="A8" s="184"/>
      <c r="B8" s="496" t="s">
        <v>166</v>
      </c>
      <c r="C8" s="497" t="s">
        <v>167</v>
      </c>
      <c r="D8" s="497" t="s">
        <v>168</v>
      </c>
      <c r="E8" s="497" t="s">
        <v>170</v>
      </c>
      <c r="F8" s="497" t="s">
        <v>169</v>
      </c>
      <c r="G8" s="498" t="s">
        <v>171</v>
      </c>
      <c r="H8" s="180"/>
      <c r="I8" s="180"/>
      <c r="J8" s="668"/>
      <c r="L8" s="669"/>
      <c r="M8" s="680" t="s">
        <v>167</v>
      </c>
      <c r="N8" s="783" t="str">
        <f>M8&amp;"
 ("&amp;ROUND(HLOOKUP(M8,$C$8:$G$9,2,0),2)&amp;" USD/MWh)"</f>
        <v>PIURA OESTE 220
 (4,83 USD/MWh)</v>
      </c>
      <c r="O8" s="291"/>
      <c r="P8" s="291"/>
      <c r="Q8" s="291"/>
    </row>
    <row r="9" spans="1:17" ht="18" customHeight="1">
      <c r="A9" s="184"/>
      <c r="B9" s="499" t="s">
        <v>172</v>
      </c>
      <c r="C9" s="275">
        <v>4.8266969384750675</v>
      </c>
      <c r="D9" s="275">
        <v>4.7339621492568087</v>
      </c>
      <c r="E9" s="275">
        <v>4.6878057606308516</v>
      </c>
      <c r="F9" s="275">
        <v>4.6537428250329596</v>
      </c>
      <c r="G9" s="275">
        <v>4.6017848652087183</v>
      </c>
      <c r="H9" s="180"/>
      <c r="I9" s="180"/>
      <c r="J9" s="668"/>
      <c r="K9" s="668"/>
      <c r="L9" s="669"/>
      <c r="M9" s="680" t="s">
        <v>168</v>
      </c>
      <c r="N9" s="783" t="str">
        <f>M9&amp;"
("&amp;ROUND(HLOOKUP(M9,$C$8:$G$9,2,0),2)&amp;" USD/MWh)"</f>
        <v>CHICLAYO 220
(4,73 USD/MWh)</v>
      </c>
      <c r="O9" s="291"/>
      <c r="P9" s="291"/>
      <c r="Q9" s="291"/>
    </row>
    <row r="10" spans="1:17" ht="14.25" customHeight="1">
      <c r="A10" s="184"/>
      <c r="B10" s="954" t="str">
        <f>"Cuadro N°11: Valor de los costos marginales medios registrados en las principales barras del área norte durante el mes de "&amp;'1. Resumen'!Q4</f>
        <v>Cuadro N°11: Valor de los costos marginales medios registrados en las principales barras del área norte durante el mes de marzo</v>
      </c>
      <c r="C10" s="954"/>
      <c r="D10" s="954"/>
      <c r="E10" s="954"/>
      <c r="F10" s="954"/>
      <c r="G10" s="954"/>
      <c r="H10" s="954"/>
      <c r="I10" s="954"/>
      <c r="J10" s="668"/>
      <c r="K10" s="668"/>
      <c r="L10" s="669"/>
      <c r="M10" s="680" t="s">
        <v>170</v>
      </c>
      <c r="N10" s="783" t="str">
        <f>M10&amp;"
("&amp;ROUND(HLOOKUP(M10,$C$8:$G$9,2,0),2)&amp;" USD/MWh)"</f>
        <v>TRUJILLO 220
(4,69 USD/MWh)</v>
      </c>
      <c r="O10" s="291"/>
      <c r="P10" s="291"/>
      <c r="Q10" s="291"/>
    </row>
    <row r="11" spans="1:17" ht="11.25" customHeight="1">
      <c r="A11" s="184"/>
      <c r="B11" s="191"/>
      <c r="C11" s="180"/>
      <c r="D11" s="180"/>
      <c r="E11" s="180"/>
      <c r="F11" s="180"/>
      <c r="G11" s="180"/>
      <c r="H11" s="180"/>
      <c r="I11" s="180"/>
      <c r="J11" s="668"/>
      <c r="K11" s="668"/>
      <c r="L11" s="669"/>
      <c r="M11" s="680" t="s">
        <v>169</v>
      </c>
      <c r="N11" s="783" t="str">
        <f>M11&amp;"
("&amp;ROUND(HLOOKUP(M11,$C$8:$G$9,2,0),2)&amp;" USD/MWh)"</f>
        <v>CHIMBOTE1 138
(4,65 USD/MWh)</v>
      </c>
      <c r="O11" s="291"/>
      <c r="P11" s="291"/>
      <c r="Q11" s="291"/>
    </row>
    <row r="12" spans="1:17" ht="11.25" customHeight="1">
      <c r="A12" s="184"/>
      <c r="B12" s="180"/>
      <c r="C12" s="180"/>
      <c r="D12" s="180"/>
      <c r="E12" s="180"/>
      <c r="F12" s="180"/>
      <c r="G12" s="180"/>
      <c r="H12" s="180"/>
      <c r="I12" s="180"/>
      <c r="J12" s="668"/>
      <c r="K12" s="668"/>
      <c r="L12" s="670"/>
      <c r="M12" s="680" t="s">
        <v>171</v>
      </c>
      <c r="N12" s="783" t="str">
        <f>M12&amp;"
("&amp;ROUND(HLOOKUP(M12,$C$8:$G$9,2,0),2)&amp;" USD/MWh)"</f>
        <v>CAJAMARCA 220
(4,6 USD/MWh)</v>
      </c>
      <c r="O12" s="291"/>
      <c r="P12" s="291"/>
      <c r="Q12" s="291"/>
    </row>
    <row r="13" spans="1:17" ht="11.25" customHeight="1">
      <c r="A13" s="184"/>
      <c r="B13" s="180"/>
      <c r="C13" s="180"/>
      <c r="D13" s="180"/>
      <c r="E13" s="180"/>
      <c r="F13" s="180"/>
      <c r="G13" s="180"/>
      <c r="H13" s="180"/>
      <c r="I13" s="180"/>
      <c r="J13" s="668"/>
      <c r="K13" s="668"/>
      <c r="L13" s="669"/>
      <c r="M13" s="680"/>
      <c r="N13" s="783"/>
      <c r="O13" s="680"/>
      <c r="P13" s="291"/>
      <c r="Q13" s="291"/>
    </row>
    <row r="14" spans="1:17" ht="11.25" customHeight="1">
      <c r="A14" s="184"/>
      <c r="B14" s="180"/>
      <c r="C14" s="180"/>
      <c r="D14" s="180"/>
      <c r="E14" s="180"/>
      <c r="F14" s="180"/>
      <c r="G14" s="180"/>
      <c r="H14" s="180"/>
      <c r="I14" s="180"/>
      <c r="J14" s="668"/>
      <c r="K14" s="668"/>
      <c r="L14" s="669"/>
      <c r="M14" s="680" t="s">
        <v>453</v>
      </c>
      <c r="N14" s="783" t="str">
        <f>M14&amp;"
("&amp;ROUND(HLOOKUP(M14,$C$26:$I$27,2,0),2)&amp;" USD/MWh)"</f>
        <v>CHAVARRIA 220
(4,57 USD/MWh)</v>
      </c>
      <c r="O14" s="291"/>
      <c r="P14" s="291"/>
      <c r="Q14" s="291"/>
    </row>
    <row r="15" spans="1:17" ht="11.25" customHeight="1">
      <c r="A15" s="184"/>
      <c r="B15" s="180"/>
      <c r="C15" s="180"/>
      <c r="D15" s="180"/>
      <c r="E15" s="180"/>
      <c r="F15" s="180"/>
      <c r="G15" s="180"/>
      <c r="H15" s="180"/>
      <c r="I15" s="180"/>
      <c r="J15" s="668"/>
      <c r="K15" s="668"/>
      <c r="L15" s="669"/>
      <c r="M15" s="680" t="s">
        <v>175</v>
      </c>
      <c r="N15" s="783" t="str">
        <f t="shared" ref="N15:N20" si="0">M15&amp;"
("&amp;ROUND(HLOOKUP(M15,$C$26:$I$27,2,0),2)&amp;" USD/MWh)"</f>
        <v>INDEPENDENCIA 220
(4,52 USD/MWh)</v>
      </c>
      <c r="O15" s="291"/>
      <c r="P15" s="291"/>
      <c r="Q15" s="291"/>
    </row>
    <row r="16" spans="1:17" ht="11.25" customHeight="1">
      <c r="A16" s="184"/>
      <c r="B16" s="180"/>
      <c r="C16" s="180"/>
      <c r="D16" s="180"/>
      <c r="E16" s="180"/>
      <c r="F16" s="180"/>
      <c r="G16" s="180"/>
      <c r="H16" s="180"/>
      <c r="I16" s="180"/>
      <c r="J16" s="668"/>
      <c r="K16" s="668"/>
      <c r="L16" s="669"/>
      <c r="M16" s="680" t="s">
        <v>176</v>
      </c>
      <c r="N16" s="783" t="str">
        <f t="shared" si="0"/>
        <v>CARABAYLLO 220
(4,56 USD/MWh)</v>
      </c>
      <c r="O16" s="291"/>
      <c r="P16" s="291"/>
      <c r="Q16" s="291"/>
    </row>
    <row r="17" spans="1:17" ht="11.25" customHeight="1">
      <c r="A17" s="184"/>
      <c r="B17" s="180"/>
      <c r="C17" s="180"/>
      <c r="D17" s="180"/>
      <c r="E17" s="180"/>
      <c r="F17" s="180"/>
      <c r="G17" s="180"/>
      <c r="H17" s="180"/>
      <c r="I17" s="180"/>
      <c r="J17" s="668"/>
      <c r="K17" s="668"/>
      <c r="L17" s="669"/>
      <c r="M17" s="680" t="s">
        <v>173</v>
      </c>
      <c r="N17" s="783" t="str">
        <f t="shared" si="0"/>
        <v>SANTA ROSA 220
(4,56 USD/MWh)</v>
      </c>
      <c r="O17" s="291"/>
      <c r="P17" s="291"/>
      <c r="Q17" s="291"/>
    </row>
    <row r="18" spans="1:17" ht="11.25" customHeight="1">
      <c r="A18" s="184"/>
      <c r="B18" s="180"/>
      <c r="C18" s="180"/>
      <c r="D18" s="180"/>
      <c r="E18" s="180"/>
      <c r="F18" s="180"/>
      <c r="G18" s="180"/>
      <c r="H18" s="180"/>
      <c r="I18" s="180"/>
      <c r="J18" s="668"/>
      <c r="K18" s="668"/>
      <c r="L18" s="669"/>
      <c r="M18" s="680" t="s">
        <v>174</v>
      </c>
      <c r="N18" s="783" t="str">
        <f t="shared" si="0"/>
        <v>SAN JUAN 220
(4,55 USD/MWh)</v>
      </c>
      <c r="O18" s="291"/>
      <c r="P18" s="291"/>
      <c r="Q18" s="291"/>
    </row>
    <row r="19" spans="1:17" ht="11.25" customHeight="1">
      <c r="A19" s="184"/>
      <c r="B19" s="180"/>
      <c r="C19" s="180"/>
      <c r="D19" s="180"/>
      <c r="E19" s="180"/>
      <c r="F19" s="180"/>
      <c r="G19" s="180"/>
      <c r="H19" s="180"/>
      <c r="I19" s="180"/>
      <c r="J19" s="668"/>
      <c r="K19" s="668"/>
      <c r="L19" s="671"/>
      <c r="M19" s="680" t="s">
        <v>177</v>
      </c>
      <c r="N19" s="783" t="str">
        <f t="shared" si="0"/>
        <v>POMACOCHA 220
(4,36 USD/MWh)</v>
      </c>
      <c r="O19" s="291"/>
      <c r="P19" s="291"/>
      <c r="Q19" s="291"/>
    </row>
    <row r="20" spans="1:17" ht="11.25" customHeight="1">
      <c r="A20" s="184"/>
      <c r="B20" s="190"/>
      <c r="C20" s="190"/>
      <c r="D20" s="190"/>
      <c r="E20" s="190"/>
      <c r="F20" s="190"/>
      <c r="G20" s="180"/>
      <c r="H20" s="180"/>
      <c r="I20" s="180"/>
      <c r="J20" s="668"/>
      <c r="K20" s="668"/>
      <c r="L20" s="669"/>
      <c r="M20" s="680" t="s">
        <v>178</v>
      </c>
      <c r="N20" s="783" t="str">
        <f t="shared" si="0"/>
        <v>OROYA NUEVA 50
(4,27 USD/MWh)</v>
      </c>
      <c r="O20" s="291"/>
      <c r="P20" s="291"/>
      <c r="Q20" s="291"/>
    </row>
    <row r="21" spans="1:17" ht="11.25" customHeight="1">
      <c r="A21" s="184"/>
      <c r="B21" s="955" t="str">
        <f>"Gráfico N°20: Costos marginales medios registrados en las principales barras del área norte durante el mes de "&amp;'1. Resumen'!Q4</f>
        <v>Gráfico N°20: Costos marginales medios registrados en las principales barras del área norte durante el mes de marzo</v>
      </c>
      <c r="C21" s="955"/>
      <c r="D21" s="955"/>
      <c r="E21" s="955"/>
      <c r="F21" s="955"/>
      <c r="G21" s="955"/>
      <c r="H21" s="955"/>
      <c r="I21" s="955"/>
      <c r="J21" s="668"/>
      <c r="K21" s="668"/>
      <c r="L21" s="669"/>
      <c r="M21" s="680"/>
      <c r="N21" s="783"/>
      <c r="O21" s="291"/>
      <c r="P21" s="291"/>
      <c r="Q21" s="291"/>
    </row>
    <row r="22" spans="1:17" ht="7.5" customHeight="1">
      <c r="A22" s="184"/>
      <c r="B22" s="186"/>
      <c r="C22" s="186"/>
      <c r="D22" s="186"/>
      <c r="E22" s="186"/>
      <c r="F22" s="186"/>
      <c r="G22" s="184"/>
      <c r="H22" s="184"/>
      <c r="I22" s="184"/>
      <c r="J22" s="664"/>
      <c r="K22" s="664"/>
      <c r="L22" s="666"/>
      <c r="M22" s="680"/>
      <c r="N22" s="783"/>
      <c r="O22" s="291"/>
      <c r="P22" s="291"/>
      <c r="Q22" s="291"/>
    </row>
    <row r="23" spans="1:17" ht="11.25" customHeight="1">
      <c r="A23" s="184"/>
      <c r="B23" s="186"/>
      <c r="C23" s="186"/>
      <c r="D23" s="186"/>
      <c r="E23" s="186"/>
      <c r="F23" s="186"/>
      <c r="G23" s="184"/>
      <c r="H23" s="184"/>
      <c r="I23" s="184"/>
      <c r="J23" s="664"/>
      <c r="K23" s="664"/>
      <c r="L23" s="672"/>
      <c r="M23" s="680" t="s">
        <v>179</v>
      </c>
      <c r="N23" s="783" t="str">
        <f t="shared" ref="N23:N29" si="1">M23&amp;"
("&amp;ROUND(HLOOKUP(M23,$C$45:$I$46,2,0),2)&amp;" USD/MWh)"</f>
        <v>TINTAYA NUEVA 220
(4,81 USD/MWh)</v>
      </c>
      <c r="O23" s="291"/>
      <c r="P23" s="291"/>
      <c r="Q23" s="291"/>
    </row>
    <row r="24" spans="1:17" ht="11.25" customHeight="1">
      <c r="A24" s="184"/>
      <c r="B24" s="189" t="s">
        <v>389</v>
      </c>
      <c r="C24" s="186"/>
      <c r="D24" s="186"/>
      <c r="E24" s="186"/>
      <c r="F24" s="186"/>
      <c r="G24" s="184"/>
      <c r="H24" s="184"/>
      <c r="I24" s="184"/>
      <c r="J24" s="664"/>
      <c r="K24" s="664"/>
      <c r="L24" s="666"/>
      <c r="M24" s="680" t="s">
        <v>180</v>
      </c>
      <c r="N24" s="783" t="str">
        <f t="shared" si="1"/>
        <v>PUNO 138
(4,62 USD/MWh)</v>
      </c>
      <c r="O24" s="291"/>
      <c r="P24" s="291"/>
      <c r="Q24" s="291"/>
    </row>
    <row r="25" spans="1:17" ht="6.75" customHeight="1">
      <c r="A25" s="184"/>
      <c r="B25" s="186"/>
      <c r="C25" s="186"/>
      <c r="D25" s="186"/>
      <c r="E25" s="186"/>
      <c r="F25" s="186"/>
      <c r="G25" s="184"/>
      <c r="H25" s="184"/>
      <c r="I25" s="184"/>
      <c r="J25" s="664"/>
      <c r="K25" s="664"/>
      <c r="L25" s="666"/>
      <c r="M25" s="680" t="s">
        <v>181</v>
      </c>
      <c r="N25" s="783" t="str">
        <f t="shared" si="1"/>
        <v>SOCABAYA 220
(4,66 USD/MWh)</v>
      </c>
      <c r="O25" s="291"/>
      <c r="P25" s="291"/>
      <c r="Q25" s="291"/>
    </row>
    <row r="26" spans="1:17" ht="25.5" customHeight="1">
      <c r="A26" s="184"/>
      <c r="B26" s="500" t="s">
        <v>166</v>
      </c>
      <c r="C26" s="497" t="s">
        <v>453</v>
      </c>
      <c r="D26" s="497" t="s">
        <v>173</v>
      </c>
      <c r="E26" s="497" t="s">
        <v>176</v>
      </c>
      <c r="F26" s="497" t="s">
        <v>174</v>
      </c>
      <c r="G26" s="497" t="s">
        <v>175</v>
      </c>
      <c r="H26" s="497" t="s">
        <v>177</v>
      </c>
      <c r="I26" s="498" t="s">
        <v>178</v>
      </c>
      <c r="J26" s="673"/>
      <c r="K26" s="668"/>
      <c r="L26" s="669"/>
      <c r="M26" s="680" t="s">
        <v>182</v>
      </c>
      <c r="N26" s="783" t="str">
        <f t="shared" si="1"/>
        <v>MOQUEGUA 138
(4,66 USD/MWh)</v>
      </c>
      <c r="O26" s="291"/>
      <c r="P26" s="291"/>
      <c r="Q26" s="291"/>
    </row>
    <row r="27" spans="1:17" ht="18" customHeight="1">
      <c r="A27" s="184"/>
      <c r="B27" s="501" t="s">
        <v>172</v>
      </c>
      <c r="C27" s="275">
        <v>4.5671556970581726</v>
      </c>
      <c r="D27" s="275">
        <v>4.5629825991234405</v>
      </c>
      <c r="E27" s="275">
        <v>4.5571683053816558</v>
      </c>
      <c r="F27" s="275">
        <v>4.5487746381276954</v>
      </c>
      <c r="G27" s="275">
        <v>4.5152703055784809</v>
      </c>
      <c r="H27" s="275">
        <v>4.3597647287148744</v>
      </c>
      <c r="I27" s="275">
        <v>4.2735636369280767</v>
      </c>
      <c r="J27" s="674"/>
      <c r="K27" s="668"/>
      <c r="L27" s="669"/>
      <c r="M27" s="680" t="s">
        <v>183</v>
      </c>
      <c r="N27" s="783" t="str">
        <f t="shared" si="1"/>
        <v>DOLORESPATA 138
(4,52 USD/MWh)</v>
      </c>
      <c r="O27" s="291"/>
      <c r="P27" s="291"/>
      <c r="Q27" s="291"/>
    </row>
    <row r="28" spans="1:17" ht="19.5" customHeight="1">
      <c r="A28" s="184"/>
      <c r="B28" s="956" t="str">
        <f>"Cuadro N°12: Valor de los costos marginales medios registrados en las principales barras del área centro durante el mes de "&amp;'1. Resumen'!Q4</f>
        <v>Cuadro N°12: Valor de los costos marginales medios registrados en las principales barras del área centro durante el mes de marzo</v>
      </c>
      <c r="C28" s="956"/>
      <c r="D28" s="956"/>
      <c r="E28" s="956"/>
      <c r="F28" s="956"/>
      <c r="G28" s="956"/>
      <c r="H28" s="956"/>
      <c r="I28" s="956"/>
      <c r="J28" s="668"/>
      <c r="K28" s="668"/>
      <c r="L28" s="669"/>
      <c r="M28" s="680" t="s">
        <v>184</v>
      </c>
      <c r="N28" s="783" t="str">
        <f t="shared" si="1"/>
        <v>COTARUSE 220
(4,48 USD/MWh)</v>
      </c>
      <c r="O28" s="291"/>
      <c r="P28" s="291"/>
      <c r="Q28" s="291"/>
    </row>
    <row r="29" spans="1:17" ht="11.25" customHeight="1">
      <c r="A29" s="184"/>
      <c r="B29" s="190"/>
      <c r="C29" s="190"/>
      <c r="D29" s="190"/>
      <c r="E29" s="190"/>
      <c r="F29" s="190"/>
      <c r="G29" s="190"/>
      <c r="H29" s="190"/>
      <c r="I29" s="190"/>
      <c r="J29" s="675"/>
      <c r="K29" s="675"/>
      <c r="L29" s="669"/>
      <c r="M29" s="680" t="s">
        <v>185</v>
      </c>
      <c r="N29" s="783" t="str">
        <f t="shared" si="1"/>
        <v>SAN GABAN 138
(4,01 USD/MWh)</v>
      </c>
      <c r="O29" s="291"/>
      <c r="P29" s="291"/>
      <c r="Q29" s="291"/>
    </row>
    <row r="30" spans="1:17" ht="11.25" customHeight="1">
      <c r="A30" s="184"/>
      <c r="B30" s="190"/>
      <c r="C30" s="190"/>
      <c r="D30" s="190"/>
      <c r="E30" s="190"/>
      <c r="F30" s="190"/>
      <c r="G30" s="190"/>
      <c r="H30" s="190"/>
      <c r="I30" s="190"/>
      <c r="J30" s="675"/>
      <c r="K30" s="675"/>
      <c r="L30" s="669"/>
      <c r="M30" s="680"/>
      <c r="N30" s="784"/>
      <c r="O30" s="291"/>
      <c r="P30" s="291"/>
      <c r="Q30" s="291"/>
    </row>
    <row r="31" spans="1:17" ht="11.25" customHeight="1">
      <c r="A31" s="184"/>
      <c r="B31" s="190"/>
      <c r="C31" s="190"/>
      <c r="D31" s="190"/>
      <c r="E31" s="190"/>
      <c r="F31" s="190"/>
      <c r="G31" s="190"/>
      <c r="H31" s="190"/>
      <c r="I31" s="190"/>
      <c r="J31" s="675"/>
      <c r="K31" s="675"/>
      <c r="L31" s="669"/>
      <c r="M31" s="680"/>
      <c r="N31" s="784"/>
      <c r="O31" s="291"/>
      <c r="P31" s="291"/>
      <c r="Q31" s="291"/>
    </row>
    <row r="32" spans="1:17" ht="11.25" customHeight="1">
      <c r="A32" s="184"/>
      <c r="B32" s="190"/>
      <c r="C32" s="190"/>
      <c r="D32" s="190"/>
      <c r="E32" s="190"/>
      <c r="F32" s="190"/>
      <c r="G32" s="190"/>
      <c r="H32" s="190"/>
      <c r="I32" s="190"/>
      <c r="J32" s="675"/>
      <c r="K32" s="675"/>
      <c r="L32" s="669"/>
      <c r="M32" s="680"/>
      <c r="N32" s="291"/>
      <c r="O32" s="291"/>
      <c r="P32" s="291"/>
      <c r="Q32" s="291"/>
    </row>
    <row r="33" spans="1:17" ht="11.25" customHeight="1">
      <c r="A33" s="184"/>
      <c r="B33" s="190"/>
      <c r="C33" s="190"/>
      <c r="D33" s="190"/>
      <c r="E33" s="190"/>
      <c r="F33" s="190"/>
      <c r="G33" s="190"/>
      <c r="H33" s="190"/>
      <c r="I33" s="190"/>
      <c r="J33" s="675"/>
      <c r="K33" s="675"/>
      <c r="L33" s="669"/>
      <c r="N33" s="291"/>
      <c r="O33" s="291"/>
      <c r="P33" s="291"/>
      <c r="Q33" s="291"/>
    </row>
    <row r="34" spans="1:17" ht="11.25" customHeight="1">
      <c r="A34" s="184"/>
      <c r="B34" s="190"/>
      <c r="C34" s="190"/>
      <c r="D34" s="190"/>
      <c r="E34" s="190"/>
      <c r="F34" s="190"/>
      <c r="G34" s="190"/>
      <c r="H34" s="190"/>
      <c r="I34" s="190"/>
      <c r="J34" s="675"/>
      <c r="K34" s="675"/>
      <c r="L34" s="669"/>
      <c r="N34" s="291"/>
      <c r="O34" s="291"/>
      <c r="P34" s="291"/>
      <c r="Q34" s="291"/>
    </row>
    <row r="35" spans="1:17" ht="11.25" customHeight="1">
      <c r="A35" s="184"/>
      <c r="B35" s="190"/>
      <c r="C35" s="190"/>
      <c r="D35" s="190"/>
      <c r="E35" s="190"/>
      <c r="F35" s="190"/>
      <c r="G35" s="190"/>
      <c r="H35" s="190"/>
      <c r="I35" s="190"/>
      <c r="J35" s="675"/>
      <c r="K35" s="675"/>
      <c r="L35" s="676"/>
      <c r="N35" s="291"/>
      <c r="O35" s="291"/>
      <c r="P35" s="291"/>
      <c r="Q35" s="291"/>
    </row>
    <row r="36" spans="1:17" ht="11.25" customHeight="1">
      <c r="A36" s="184"/>
      <c r="B36" s="190"/>
      <c r="C36" s="190"/>
      <c r="D36" s="190"/>
      <c r="E36" s="190"/>
      <c r="F36" s="190"/>
      <c r="G36" s="190"/>
      <c r="H36" s="190"/>
      <c r="I36" s="190"/>
      <c r="J36" s="675"/>
      <c r="K36" s="675"/>
      <c r="L36" s="669"/>
      <c r="N36" s="291"/>
      <c r="O36" s="291"/>
      <c r="P36" s="291"/>
      <c r="Q36" s="291"/>
    </row>
    <row r="37" spans="1:17" ht="11.25" customHeight="1">
      <c r="A37" s="184"/>
      <c r="B37" s="190"/>
      <c r="C37" s="190"/>
      <c r="D37" s="190"/>
      <c r="E37" s="190"/>
      <c r="F37" s="190"/>
      <c r="G37" s="190"/>
      <c r="H37" s="190"/>
      <c r="I37" s="190"/>
      <c r="J37" s="675"/>
      <c r="K37" s="675"/>
      <c r="L37" s="669"/>
      <c r="N37" s="291"/>
      <c r="O37" s="291"/>
      <c r="P37" s="291"/>
      <c r="Q37" s="291"/>
    </row>
    <row r="38" spans="1:17" ht="11.25" customHeight="1">
      <c r="A38" s="184"/>
      <c r="B38" s="190"/>
      <c r="C38" s="190"/>
      <c r="D38" s="190"/>
      <c r="E38" s="190"/>
      <c r="F38" s="190"/>
      <c r="G38" s="190"/>
      <c r="H38" s="190"/>
      <c r="I38" s="190"/>
      <c r="J38" s="675"/>
      <c r="K38" s="675"/>
      <c r="L38" s="669"/>
      <c r="N38" s="291"/>
      <c r="O38" s="291"/>
      <c r="P38" s="291"/>
      <c r="Q38" s="291"/>
    </row>
    <row r="39" spans="1:17" ht="11.25" customHeight="1">
      <c r="A39" s="184"/>
      <c r="B39" s="190"/>
      <c r="C39" s="190"/>
      <c r="D39" s="190"/>
      <c r="E39" s="190"/>
      <c r="F39" s="190"/>
      <c r="G39" s="190"/>
      <c r="H39" s="190"/>
      <c r="I39" s="190"/>
      <c r="J39" s="675"/>
      <c r="K39" s="675"/>
      <c r="L39" s="669"/>
      <c r="N39" s="291"/>
      <c r="O39" s="291"/>
      <c r="P39" s="291"/>
      <c r="Q39" s="291"/>
    </row>
    <row r="40" spans="1:17" ht="13.5" customHeight="1">
      <c r="A40" s="184"/>
      <c r="B40" s="954" t="str">
        <f>"Gráfico N°21: Costos marginales medios registrados en las principales barras del área centro durante el mes de "&amp;'1. Resumen'!Q4</f>
        <v>Gráfico N°21: Costos marginales medios registrados en las principales barras del área centro durante el mes de marzo</v>
      </c>
      <c r="C40" s="954"/>
      <c r="D40" s="954"/>
      <c r="E40" s="954"/>
      <c r="F40" s="954"/>
      <c r="G40" s="954"/>
      <c r="H40" s="954"/>
      <c r="I40" s="954"/>
      <c r="J40" s="675"/>
      <c r="K40" s="675"/>
      <c r="L40" s="669"/>
      <c r="N40" s="291"/>
      <c r="O40" s="291"/>
      <c r="P40" s="291"/>
      <c r="Q40" s="291"/>
    </row>
    <row r="41" spans="1:17" ht="6.75" customHeight="1">
      <c r="A41" s="184"/>
      <c r="B41" s="190"/>
      <c r="C41" s="190"/>
      <c r="D41" s="190"/>
      <c r="E41" s="190"/>
      <c r="F41" s="190"/>
      <c r="G41" s="190"/>
      <c r="H41" s="190"/>
      <c r="I41" s="190"/>
      <c r="J41" s="675"/>
      <c r="K41" s="675"/>
      <c r="L41" s="669"/>
      <c r="N41" s="291"/>
      <c r="O41" s="291"/>
      <c r="P41" s="291"/>
      <c r="Q41" s="291"/>
    </row>
    <row r="42" spans="1:17" ht="8.25" customHeight="1">
      <c r="A42" s="184"/>
      <c r="B42" s="186"/>
      <c r="C42" s="186"/>
      <c r="D42" s="186"/>
      <c r="E42" s="186"/>
      <c r="F42" s="186"/>
      <c r="G42" s="186"/>
      <c r="H42" s="186"/>
      <c r="I42" s="186"/>
      <c r="J42" s="677"/>
      <c r="K42" s="677"/>
      <c r="L42" s="11"/>
      <c r="N42" s="291"/>
      <c r="O42" s="291"/>
      <c r="P42" s="291"/>
      <c r="Q42" s="291"/>
    </row>
    <row r="43" spans="1:17" ht="11.25" customHeight="1">
      <c r="A43" s="184"/>
      <c r="B43" s="189" t="s">
        <v>390</v>
      </c>
      <c r="C43" s="186"/>
      <c r="D43" s="186"/>
      <c r="E43" s="186"/>
      <c r="F43" s="186"/>
      <c r="G43" s="186"/>
      <c r="H43" s="186"/>
      <c r="I43" s="186"/>
      <c r="J43" s="677"/>
      <c r="K43" s="677"/>
      <c r="L43" s="11"/>
      <c r="N43" s="291"/>
      <c r="O43" s="291"/>
      <c r="P43" s="291"/>
      <c r="Q43" s="291"/>
    </row>
    <row r="44" spans="1:17" ht="6.75" customHeight="1">
      <c r="A44" s="184"/>
      <c r="B44" s="186"/>
      <c r="C44" s="186"/>
      <c r="D44" s="186"/>
      <c r="E44" s="186"/>
      <c r="F44" s="186"/>
      <c r="G44" s="186"/>
      <c r="H44" s="186"/>
      <c r="I44" s="186"/>
      <c r="J44" s="677"/>
      <c r="K44" s="677"/>
      <c r="L44" s="11"/>
      <c r="N44" s="291"/>
      <c r="O44" s="291"/>
      <c r="P44" s="291"/>
      <c r="Q44" s="291"/>
    </row>
    <row r="45" spans="1:17" ht="27" customHeight="1">
      <c r="A45" s="184"/>
      <c r="B45" s="500" t="s">
        <v>166</v>
      </c>
      <c r="C45" s="497" t="s">
        <v>179</v>
      </c>
      <c r="D45" s="497" t="s">
        <v>181</v>
      </c>
      <c r="E45" s="497" t="s">
        <v>182</v>
      </c>
      <c r="F45" s="497" t="s">
        <v>180</v>
      </c>
      <c r="G45" s="497" t="s">
        <v>183</v>
      </c>
      <c r="H45" s="497" t="s">
        <v>184</v>
      </c>
      <c r="I45" s="498" t="s">
        <v>185</v>
      </c>
      <c r="J45" s="673"/>
      <c r="K45" s="675"/>
      <c r="N45" s="291"/>
      <c r="O45" s="291"/>
      <c r="P45" s="291"/>
      <c r="Q45" s="291"/>
    </row>
    <row r="46" spans="1:17" ht="18.75" customHeight="1">
      <c r="A46" s="184"/>
      <c r="B46" s="501" t="s">
        <v>172</v>
      </c>
      <c r="C46" s="275">
        <v>4.813102435599462</v>
      </c>
      <c r="D46" s="275">
        <v>4.6627540750173404</v>
      </c>
      <c r="E46" s="275">
        <v>4.6577964998312913</v>
      </c>
      <c r="F46" s="275">
        <v>4.61898058436112</v>
      </c>
      <c r="G46" s="275">
        <v>4.5212901638441663</v>
      </c>
      <c r="H46" s="275">
        <v>4.4755712533504299</v>
      </c>
      <c r="I46" s="275">
        <v>4.0099368092131744</v>
      </c>
      <c r="J46" s="674"/>
      <c r="K46" s="675"/>
      <c r="N46" s="291"/>
      <c r="O46" s="291"/>
      <c r="P46" s="291"/>
      <c r="Q46" s="291"/>
    </row>
    <row r="47" spans="1:17" ht="18" customHeight="1">
      <c r="A47" s="184"/>
      <c r="B47" s="956" t="str">
        <f>"Cuadro N°13: Valor de los costos marginales medios registrados en las principales barras del área sur durante el mes de "&amp;'1. Resumen'!Q4</f>
        <v>Cuadro N°13: Valor de los costos marginales medios registrados en las principales barras del área sur durante el mes de marzo</v>
      </c>
      <c r="C47" s="956"/>
      <c r="D47" s="956"/>
      <c r="E47" s="956"/>
      <c r="F47" s="956"/>
      <c r="G47" s="956"/>
      <c r="H47" s="956"/>
      <c r="I47" s="956"/>
      <c r="J47" s="674"/>
      <c r="K47" s="675"/>
    </row>
    <row r="48" spans="1:17" ht="12.75">
      <c r="A48" s="184"/>
      <c r="B48" s="190"/>
      <c r="C48" s="190"/>
      <c r="D48" s="190"/>
      <c r="E48" s="190"/>
      <c r="F48" s="190"/>
      <c r="G48" s="180"/>
      <c r="H48" s="180"/>
      <c r="I48" s="180"/>
      <c r="J48" s="668"/>
      <c r="K48" s="675"/>
    </row>
    <row r="49" spans="1:11" ht="12.75">
      <c r="A49" s="184"/>
      <c r="B49" s="180"/>
      <c r="C49" s="180"/>
      <c r="D49" s="180"/>
      <c r="E49" s="180"/>
      <c r="F49" s="180"/>
      <c r="G49" s="180"/>
      <c r="H49" s="180"/>
      <c r="I49" s="180"/>
      <c r="J49" s="668"/>
      <c r="K49" s="675"/>
    </row>
    <row r="50" spans="1:11" ht="12.75">
      <c r="A50" s="184"/>
      <c r="B50" s="111"/>
      <c r="C50" s="111"/>
      <c r="D50" s="111"/>
      <c r="E50" s="111"/>
      <c r="F50" s="111"/>
      <c r="G50" s="111"/>
      <c r="H50" s="111"/>
      <c r="I50" s="111"/>
      <c r="J50" s="678"/>
      <c r="K50" s="675"/>
    </row>
    <row r="51" spans="1:11" ht="12.75">
      <c r="A51" s="184"/>
      <c r="B51" s="111"/>
      <c r="C51" s="111"/>
      <c r="D51" s="111"/>
      <c r="E51" s="111"/>
      <c r="F51" s="111"/>
      <c r="G51" s="111"/>
      <c r="H51" s="111"/>
      <c r="I51" s="111"/>
      <c r="J51" s="678"/>
      <c r="K51" s="675"/>
    </row>
    <row r="52" spans="1:11" ht="12.75">
      <c r="A52" s="184"/>
      <c r="B52" s="111"/>
      <c r="C52" s="111"/>
      <c r="D52" s="111"/>
      <c r="E52" s="111"/>
      <c r="F52" s="111"/>
      <c r="G52" s="111"/>
      <c r="H52" s="111"/>
      <c r="I52" s="111"/>
      <c r="J52" s="678"/>
      <c r="K52" s="675"/>
    </row>
    <row r="53" spans="1:11" ht="12.75">
      <c r="A53" s="184"/>
      <c r="B53" s="111"/>
      <c r="C53" s="111"/>
      <c r="D53" s="111"/>
      <c r="E53" s="111"/>
      <c r="F53" s="111"/>
      <c r="G53" s="111"/>
      <c r="H53" s="111"/>
      <c r="I53" s="111"/>
      <c r="J53" s="678"/>
      <c r="K53" s="675"/>
    </row>
    <row r="54" spans="1:11" ht="12.75">
      <c r="A54" s="184"/>
      <c r="B54" s="111"/>
      <c r="C54" s="111"/>
      <c r="D54" s="111"/>
      <c r="E54" s="111"/>
      <c r="F54" s="111"/>
      <c r="G54" s="111"/>
      <c r="H54" s="111"/>
      <c r="I54" s="111"/>
      <c r="J54" s="678"/>
      <c r="K54" s="675"/>
    </row>
    <row r="55" spans="1:11" ht="12.75">
      <c r="A55" s="184"/>
      <c r="B55" s="111"/>
      <c r="C55" s="111"/>
      <c r="D55" s="111"/>
      <c r="E55" s="111"/>
      <c r="F55" s="111"/>
      <c r="G55" s="111"/>
      <c r="H55" s="111"/>
      <c r="I55" s="111"/>
      <c r="J55" s="678"/>
      <c r="K55" s="675"/>
    </row>
    <row r="56" spans="1:11" ht="12.75">
      <c r="A56" s="184"/>
      <c r="B56" s="180"/>
      <c r="C56" s="180"/>
      <c r="D56" s="180"/>
      <c r="E56" s="180"/>
      <c r="F56" s="180"/>
      <c r="G56" s="180"/>
      <c r="H56" s="180"/>
      <c r="I56" s="180"/>
      <c r="J56" s="668"/>
      <c r="K56" s="675"/>
    </row>
    <row r="57" spans="1:11" ht="12.75">
      <c r="A57" s="184"/>
      <c r="B57" s="180"/>
      <c r="C57" s="180"/>
      <c r="D57" s="180"/>
      <c r="E57" s="180"/>
      <c r="F57" s="180"/>
      <c r="G57" s="180"/>
      <c r="H57" s="180"/>
      <c r="I57" s="180"/>
      <c r="J57" s="668"/>
      <c r="K57" s="675"/>
    </row>
    <row r="58" spans="1:11" ht="12.75">
      <c r="A58" s="184"/>
      <c r="B58" s="954" t="str">
        <f>"Gráfico N°22: Costos marginales medios registrados en las principales barras del área sur durante el mes de "&amp;'1. Resumen'!Q4</f>
        <v>Gráfico N°22: Costos marginales medios registrados en las principales barras del área sur durante el mes de marzo</v>
      </c>
      <c r="C58" s="954"/>
      <c r="D58" s="954"/>
      <c r="E58" s="954"/>
      <c r="F58" s="954"/>
      <c r="G58" s="954"/>
      <c r="H58" s="954"/>
      <c r="I58" s="954"/>
      <c r="J58" s="668"/>
      <c r="K58" s="675"/>
    </row>
    <row r="59" spans="1:11" ht="12.75">
      <c r="A59" s="74"/>
      <c r="B59" s="136"/>
      <c r="C59" s="136"/>
      <c r="D59" s="136"/>
      <c r="E59" s="136"/>
      <c r="F59" s="136"/>
      <c r="G59" s="136"/>
      <c r="H59" s="180"/>
      <c r="I59" s="180"/>
      <c r="J59" s="668"/>
      <c r="K59" s="675"/>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60" zoomScaleNormal="100" zoomScaleSheetLayoutView="160" zoomScalePageLayoutView="145" workbookViewId="0">
      <selection activeCell="R40" sqref="R40"/>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4" t="s">
        <v>392</v>
      </c>
      <c r="B2" s="914"/>
      <c r="C2" s="914"/>
      <c r="D2" s="914"/>
      <c r="E2" s="914"/>
      <c r="F2" s="914"/>
      <c r="G2" s="914"/>
      <c r="H2" s="914"/>
      <c r="I2" s="914"/>
      <c r="J2" s="914"/>
      <c r="K2" s="914"/>
      <c r="L2" s="91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5"/>
  <sheetViews>
    <sheetView showGridLines="0" view="pageBreakPreview" zoomScale="130" zoomScaleNormal="100" zoomScaleSheetLayoutView="130" zoomScalePageLayoutView="115" workbookViewId="0">
      <selection activeCell="R40" sqref="R40"/>
    </sheetView>
  </sheetViews>
  <sheetFormatPr baseColWidth="10"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7" t="s">
        <v>391</v>
      </c>
      <c r="B2" s="957"/>
      <c r="C2" s="957"/>
      <c r="D2" s="957"/>
      <c r="E2" s="957"/>
      <c r="F2" s="957"/>
      <c r="G2" s="957"/>
      <c r="H2" s="957"/>
      <c r="I2" s="203"/>
      <c r="J2" s="203"/>
      <c r="K2" s="203"/>
    </row>
    <row r="3" spans="1:12" ht="3" customHeight="1">
      <c r="A3" s="77"/>
      <c r="B3" s="77"/>
      <c r="C3" s="77"/>
      <c r="D3" s="77"/>
      <c r="E3" s="77"/>
      <c r="F3" s="77"/>
      <c r="G3" s="77"/>
      <c r="H3" s="77"/>
      <c r="I3" s="204"/>
      <c r="J3" s="204"/>
      <c r="K3" s="204"/>
      <c r="L3" s="36"/>
    </row>
    <row r="4" spans="1:12" ht="15" customHeight="1">
      <c r="A4" s="948" t="s">
        <v>449</v>
      </c>
      <c r="B4" s="948"/>
      <c r="C4" s="948"/>
      <c r="D4" s="948"/>
      <c r="E4" s="948"/>
      <c r="F4" s="948"/>
      <c r="G4" s="948"/>
      <c r="H4" s="948"/>
      <c r="I4" s="195"/>
      <c r="J4" s="195"/>
      <c r="K4" s="195"/>
      <c r="L4" s="36"/>
    </row>
    <row r="5" spans="1:12" ht="11.25" customHeight="1">
      <c r="A5" s="77"/>
      <c r="B5" s="164"/>
      <c r="C5" s="78"/>
      <c r="D5" s="79"/>
      <c r="E5" s="79"/>
      <c r="F5" s="80"/>
      <c r="G5" s="76"/>
      <c r="H5" s="76"/>
      <c r="I5" s="196"/>
      <c r="J5" s="196"/>
      <c r="K5" s="196"/>
      <c r="L5" s="205"/>
    </row>
    <row r="6" spans="1:12" ht="30.75" customHeight="1">
      <c r="A6" s="524" t="s">
        <v>186</v>
      </c>
      <c r="B6" s="522" t="s">
        <v>187</v>
      </c>
      <c r="C6" s="522" t="s">
        <v>188</v>
      </c>
      <c r="D6" s="521" t="str">
        <f>UPPER('1. Resumen'!Q4)&amp;"
 "&amp;'1. Resumen'!Q5</f>
        <v>MARZO
 2020</v>
      </c>
      <c r="E6" s="521" t="str">
        <f>UPPER('1. Resumen'!Q4)&amp;"
 "&amp;'1. Resumen'!Q5-1</f>
        <v>MARZO
 2019</v>
      </c>
      <c r="F6" s="521" t="str">
        <f>UPPER('1. Resumen'!Q4)&amp;"
 "&amp;'1. Resumen'!Q5-2</f>
        <v>MARZO
 2018</v>
      </c>
      <c r="G6" s="522" t="s">
        <v>508</v>
      </c>
      <c r="H6" s="523" t="s">
        <v>440</v>
      </c>
      <c r="I6" s="196"/>
      <c r="J6" s="196"/>
      <c r="K6" s="196"/>
      <c r="L6" s="166"/>
    </row>
    <row r="7" spans="1:12" ht="14.25" customHeight="1">
      <c r="A7" s="958" t="s">
        <v>189</v>
      </c>
      <c r="B7" s="853" t="s">
        <v>611</v>
      </c>
      <c r="C7" s="854" t="s">
        <v>612</v>
      </c>
      <c r="D7" s="855">
        <v>7.8999999999999986</v>
      </c>
      <c r="E7" s="855"/>
      <c r="F7" s="855"/>
      <c r="G7" s="856"/>
      <c r="H7" s="856"/>
      <c r="I7" s="196"/>
      <c r="J7" s="196"/>
      <c r="K7" s="196"/>
      <c r="L7" s="58"/>
    </row>
    <row r="8" spans="1:12" ht="14.25" customHeight="1">
      <c r="A8" s="958"/>
      <c r="B8" s="853" t="s">
        <v>613</v>
      </c>
      <c r="C8" s="854" t="s">
        <v>614</v>
      </c>
      <c r="D8" s="855"/>
      <c r="E8" s="855"/>
      <c r="F8" s="855">
        <v>0.33333333333333215</v>
      </c>
      <c r="G8" s="856"/>
      <c r="H8" s="856">
        <f t="shared" ref="H8:H15" si="0">+E8/F8-1</f>
        <v>-1</v>
      </c>
      <c r="I8" s="196"/>
      <c r="J8" s="196"/>
      <c r="K8" s="196"/>
      <c r="L8" s="58"/>
    </row>
    <row r="9" spans="1:12" ht="14.25" customHeight="1">
      <c r="A9" s="958"/>
      <c r="B9" s="853" t="s">
        <v>491</v>
      </c>
      <c r="C9" s="854" t="s">
        <v>492</v>
      </c>
      <c r="D9" s="855"/>
      <c r="E9" s="855"/>
      <c r="F9" s="855">
        <v>7.8999999999999968</v>
      </c>
      <c r="G9" s="856"/>
      <c r="H9" s="856">
        <f t="shared" si="0"/>
        <v>-1</v>
      </c>
      <c r="I9" s="196"/>
      <c r="J9" s="196"/>
      <c r="K9" s="196"/>
      <c r="L9" s="58"/>
    </row>
    <row r="10" spans="1:12" ht="14.25" customHeight="1">
      <c r="A10" s="958"/>
      <c r="B10" s="853" t="s">
        <v>470</v>
      </c>
      <c r="C10" s="854" t="s">
        <v>473</v>
      </c>
      <c r="D10" s="855">
        <v>59.666666666666671</v>
      </c>
      <c r="E10" s="855">
        <v>0.5333333333333341</v>
      </c>
      <c r="F10" s="855"/>
      <c r="G10" s="856">
        <f t="shared" ref="G10:G16" si="1">+D10/E10-1</f>
        <v>110.87499999999984</v>
      </c>
      <c r="H10" s="856" t="e">
        <f t="shared" si="0"/>
        <v>#DIV/0!</v>
      </c>
      <c r="I10" s="196"/>
      <c r="J10" s="196"/>
      <c r="K10" s="196"/>
      <c r="L10" s="58"/>
    </row>
    <row r="11" spans="1:12" ht="14.25" customHeight="1">
      <c r="A11" s="958"/>
      <c r="B11" s="853" t="s">
        <v>467</v>
      </c>
      <c r="C11" s="854" t="s">
        <v>474</v>
      </c>
      <c r="D11" s="855">
        <v>20.500000000000004</v>
      </c>
      <c r="E11" s="855">
        <v>1.0666666666666682</v>
      </c>
      <c r="F11" s="855"/>
      <c r="G11" s="856">
        <f t="shared" si="1"/>
        <v>18.218749999999975</v>
      </c>
      <c r="H11" s="856"/>
      <c r="I11" s="196"/>
      <c r="J11" s="196"/>
      <c r="K11" s="196"/>
      <c r="L11" s="58"/>
    </row>
    <row r="12" spans="1:12" ht="14.25" customHeight="1">
      <c r="A12" s="958"/>
      <c r="B12" s="853" t="s">
        <v>615</v>
      </c>
      <c r="C12" s="854" t="s">
        <v>616</v>
      </c>
      <c r="D12" s="855"/>
      <c r="E12" s="855"/>
      <c r="F12" s="855">
        <v>5.2666666666666657</v>
      </c>
      <c r="G12" s="856"/>
      <c r="H12" s="856">
        <f t="shared" si="0"/>
        <v>-1</v>
      </c>
      <c r="I12" s="196"/>
      <c r="J12" s="196"/>
      <c r="K12" s="196"/>
      <c r="L12" s="58"/>
    </row>
    <row r="13" spans="1:12" ht="14.25" customHeight="1">
      <c r="A13" s="958"/>
      <c r="B13" s="853" t="s">
        <v>471</v>
      </c>
      <c r="C13" s="854" t="s">
        <v>475</v>
      </c>
      <c r="D13" s="855"/>
      <c r="E13" s="855">
        <v>2.1333333333333337</v>
      </c>
      <c r="F13" s="855">
        <v>18.466666666666661</v>
      </c>
      <c r="G13" s="856">
        <f t="shared" si="1"/>
        <v>-1</v>
      </c>
      <c r="H13" s="856">
        <f t="shared" si="0"/>
        <v>-0.88447653429602879</v>
      </c>
      <c r="I13" s="196"/>
      <c r="J13" s="196"/>
      <c r="K13" s="196"/>
      <c r="L13" s="58"/>
    </row>
    <row r="14" spans="1:12" ht="14.25" customHeight="1">
      <c r="A14" s="958"/>
      <c r="B14" s="853" t="s">
        <v>472</v>
      </c>
      <c r="C14" s="854" t="s">
        <v>476</v>
      </c>
      <c r="D14" s="855">
        <v>14.600000000000001</v>
      </c>
      <c r="E14" s="855"/>
      <c r="F14" s="855"/>
      <c r="G14" s="856"/>
      <c r="H14" s="856"/>
      <c r="I14" s="196"/>
      <c r="J14" s="196"/>
      <c r="K14" s="196"/>
      <c r="L14" s="58"/>
    </row>
    <row r="15" spans="1:12" ht="14.25" customHeight="1">
      <c r="A15" s="958"/>
      <c r="B15" s="853" t="s">
        <v>463</v>
      </c>
      <c r="C15" s="854" t="s">
        <v>464</v>
      </c>
      <c r="D15" s="855">
        <v>226.90000000000009</v>
      </c>
      <c r="E15" s="855">
        <v>10.666666666666655</v>
      </c>
      <c r="F15" s="855">
        <v>1.3333333333333339</v>
      </c>
      <c r="G15" s="856">
        <f t="shared" si="1"/>
        <v>20.27187500000003</v>
      </c>
      <c r="H15" s="856">
        <f t="shared" si="0"/>
        <v>6.9999999999999885</v>
      </c>
      <c r="I15" s="196"/>
      <c r="J15" s="196"/>
      <c r="K15" s="196"/>
      <c r="L15" s="58"/>
    </row>
    <row r="16" spans="1:12" ht="14.25" customHeight="1">
      <c r="A16" s="958"/>
      <c r="B16" s="853" t="s">
        <v>509</v>
      </c>
      <c r="C16" s="854" t="s">
        <v>510</v>
      </c>
      <c r="D16" s="855">
        <v>8.9166666666666696</v>
      </c>
      <c r="E16" s="855">
        <v>38.4</v>
      </c>
      <c r="F16" s="855"/>
      <c r="G16" s="856">
        <f t="shared" si="1"/>
        <v>-0.76779513888888884</v>
      </c>
      <c r="H16" s="856"/>
      <c r="I16" s="196"/>
      <c r="J16" s="196"/>
      <c r="K16" s="196"/>
      <c r="L16" s="58"/>
    </row>
    <row r="17" spans="1:12" ht="18.75" customHeight="1">
      <c r="A17" s="514" t="s">
        <v>190</v>
      </c>
      <c r="B17" s="515"/>
      <c r="C17" s="516"/>
      <c r="D17" s="517">
        <f>SUM(D7:D16)</f>
        <v>338.48333333333341</v>
      </c>
      <c r="E17" s="517">
        <f>SUM(E7:E16)</f>
        <v>52.79999999999999</v>
      </c>
      <c r="F17" s="517">
        <f>SUM(F7:F16)</f>
        <v>33.29999999999999</v>
      </c>
      <c r="G17" s="776">
        <f t="shared" ref="G17:H17" si="2">+D17/E17-1</f>
        <v>5.4106691919191947</v>
      </c>
      <c r="H17" s="776">
        <f t="shared" si="2"/>
        <v>0.58558558558558582</v>
      </c>
      <c r="I17" s="196"/>
      <c r="J17" s="196"/>
      <c r="K17" s="197"/>
      <c r="L17" s="206"/>
    </row>
    <row r="18" spans="1:12" ht="11.25" customHeight="1">
      <c r="A18" s="273" t="str">
        <f>"Cuadro N° 14: Horas de operación de los principales equipos de congestión en "&amp;'1. Resumen'!Q4</f>
        <v>Cuadro N° 14: Horas de operación de los principales equipos de congestión en marzo</v>
      </c>
      <c r="B18" s="209"/>
      <c r="C18" s="210"/>
      <c r="D18" s="211"/>
      <c r="E18" s="211"/>
      <c r="F18" s="212"/>
      <c r="G18" s="76"/>
      <c r="H18" s="82"/>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137"/>
      <c r="B20" s="209"/>
      <c r="C20" s="210"/>
      <c r="D20" s="211"/>
      <c r="E20" s="211"/>
      <c r="F20" s="212"/>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7"/>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6"/>
      <c r="L26" s="58"/>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8.25" customHeight="1">
      <c r="A43" s="77"/>
      <c r="B43" s="77"/>
      <c r="C43" s="77"/>
      <c r="D43" s="77"/>
      <c r="E43" s="77"/>
      <c r="F43" s="77"/>
      <c r="G43" s="77"/>
      <c r="H43" s="77"/>
      <c r="I43" s="196"/>
      <c r="J43" s="196"/>
      <c r="K43" s="199"/>
      <c r="L43" s="59"/>
    </row>
    <row r="44" spans="1:12" ht="24.7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8"/>
    </row>
    <row r="49" spans="1:11" ht="11.25" customHeight="1">
      <c r="A49" s="77"/>
      <c r="B49" s="77"/>
      <c r="C49" s="77"/>
      <c r="D49" s="77"/>
      <c r="E49" s="77"/>
      <c r="F49" s="77"/>
      <c r="G49" s="77"/>
      <c r="H49" s="77"/>
      <c r="I49" s="196"/>
      <c r="J49" s="196"/>
      <c r="K49" s="198"/>
    </row>
    <row r="50" spans="1:11" ht="12.75">
      <c r="A50" s="54"/>
      <c r="B50" s="77"/>
      <c r="C50" s="77"/>
      <c r="D50" s="77"/>
      <c r="E50" s="77"/>
      <c r="F50" s="77"/>
      <c r="G50" s="77"/>
      <c r="H50" s="77"/>
      <c r="I50" s="196"/>
      <c r="J50" s="196"/>
      <c r="K50" s="198"/>
    </row>
    <row r="51" spans="1:11" ht="12.75">
      <c r="A51" s="77"/>
      <c r="B51" s="77"/>
      <c r="C51" s="77"/>
      <c r="D51" s="77"/>
      <c r="E51" s="77"/>
      <c r="F51" s="77"/>
      <c r="G51" s="77"/>
      <c r="H51" s="77"/>
      <c r="I51" s="196"/>
      <c r="J51" s="196"/>
      <c r="K51" s="198"/>
    </row>
    <row r="52" spans="1:11" ht="12.75">
      <c r="A52" s="77"/>
      <c r="B52" s="77"/>
      <c r="C52" s="77"/>
      <c r="D52" s="77"/>
      <c r="E52" s="77"/>
      <c r="F52" s="77"/>
      <c r="G52" s="77"/>
      <c r="H52" s="77"/>
      <c r="I52" s="196"/>
      <c r="J52" s="196"/>
      <c r="K52" s="198"/>
    </row>
    <row r="53" spans="1:11" ht="12.75">
      <c r="A53" s="77"/>
      <c r="B53" s="77"/>
      <c r="C53" s="77"/>
      <c r="D53" s="77"/>
      <c r="E53" s="77"/>
      <c r="F53" s="77"/>
      <c r="G53" s="77"/>
      <c r="H53" s="77"/>
      <c r="I53" s="196"/>
      <c r="J53" s="196"/>
      <c r="K53" s="198"/>
    </row>
    <row r="54" spans="1:11" ht="12.75">
      <c r="A54" s="77"/>
      <c r="B54" s="77"/>
      <c r="C54" s="77"/>
      <c r="D54" s="77"/>
      <c r="E54" s="77"/>
      <c r="F54" s="77"/>
      <c r="G54" s="77"/>
      <c r="H54" s="77"/>
      <c r="I54" s="196"/>
      <c r="J54" s="196"/>
      <c r="K54" s="198"/>
    </row>
    <row r="55" spans="1:11" ht="12.75">
      <c r="A55" s="77"/>
      <c r="B55" s="77"/>
      <c r="C55" s="77"/>
      <c r="D55" s="77"/>
      <c r="E55" s="77"/>
      <c r="F55" s="77"/>
      <c r="G55" s="77"/>
      <c r="H55" s="77"/>
      <c r="I55" s="111"/>
      <c r="J55" s="111"/>
      <c r="K55" s="198"/>
    </row>
    <row r="56" spans="1:11" ht="12.75">
      <c r="A56" s="77"/>
      <c r="B56" s="77"/>
      <c r="C56" s="77"/>
      <c r="D56" s="77"/>
      <c r="E56" s="77"/>
      <c r="F56" s="77"/>
      <c r="G56" s="77"/>
      <c r="H56" s="77"/>
      <c r="I56" s="111"/>
      <c r="J56" s="111"/>
      <c r="K56" s="198"/>
    </row>
    <row r="57" spans="1:11" ht="12.75">
      <c r="A57" s="77"/>
      <c r="B57" s="77"/>
      <c r="C57" s="77"/>
      <c r="D57" s="77"/>
      <c r="E57" s="77"/>
      <c r="F57" s="77"/>
      <c r="G57" s="77"/>
      <c r="H57" s="77"/>
      <c r="I57" s="111"/>
      <c r="J57" s="111"/>
      <c r="K57" s="198"/>
    </row>
    <row r="58" spans="1:11" ht="12.75">
      <c r="B58" s="77"/>
      <c r="C58" s="77"/>
      <c r="D58" s="77"/>
      <c r="E58" s="77"/>
      <c r="F58" s="77"/>
      <c r="G58" s="77"/>
      <c r="H58" s="77"/>
      <c r="I58" s="111"/>
      <c r="J58" s="111"/>
      <c r="K58" s="198"/>
    </row>
    <row r="59" spans="1:11" ht="12.75">
      <c r="A59" s="273" t="str">
        <f>"Gráfico N° 23: Comparación de las horas de operación de los principales equipos de congestión en "&amp;'1. Resumen'!Q4&amp;"."</f>
        <v>Gráfico N° 23: Comparación de las horas de operación de los principales equipos de congestión en marzo.</v>
      </c>
      <c r="B59" s="77"/>
      <c r="C59" s="77"/>
      <c r="D59" s="77"/>
      <c r="E59" s="77"/>
      <c r="F59" s="77"/>
      <c r="G59" s="77"/>
      <c r="H59" s="77"/>
      <c r="I59" s="111"/>
      <c r="J59" s="111"/>
      <c r="K59" s="198"/>
    </row>
    <row r="60" spans="1:11" ht="12.75">
      <c r="A60" s="77"/>
      <c r="B60" s="77"/>
      <c r="C60" s="77"/>
      <c r="D60" s="77"/>
      <c r="E60" s="77"/>
      <c r="F60" s="77"/>
      <c r="G60" s="77"/>
      <c r="H60" s="77"/>
      <c r="I60" s="197"/>
      <c r="J60" s="197"/>
      <c r="K60" s="198"/>
    </row>
    <row r="61" spans="1:11" ht="12.75">
      <c r="A61" s="196"/>
      <c r="B61" s="197"/>
      <c r="C61" s="197"/>
      <c r="D61" s="197"/>
      <c r="E61" s="197"/>
      <c r="F61" s="197"/>
      <c r="G61" s="197"/>
      <c r="H61" s="197"/>
      <c r="I61" s="197"/>
      <c r="J61" s="197"/>
      <c r="K61" s="198"/>
    </row>
    <row r="62" spans="1:11" ht="12.75">
      <c r="A62" s="196"/>
      <c r="B62" s="208"/>
      <c r="C62" s="198"/>
      <c r="D62" s="198"/>
      <c r="E62" s="198"/>
      <c r="F62" s="198"/>
      <c r="G62" s="197"/>
      <c r="H62" s="197"/>
      <c r="I62" s="197"/>
      <c r="J62" s="197"/>
      <c r="K62" s="198"/>
    </row>
    <row r="63" spans="1:11" ht="12.75">
      <c r="A63" s="1"/>
      <c r="B63" s="31"/>
      <c r="C63" s="31"/>
      <c r="D63" s="31"/>
      <c r="E63" s="31"/>
      <c r="F63" s="31"/>
      <c r="G63" s="31"/>
      <c r="H63" s="197"/>
      <c r="I63" s="197"/>
      <c r="J63" s="197"/>
      <c r="K63" s="198"/>
    </row>
    <row r="64" spans="1:11" ht="12.75">
      <c r="A64" s="1"/>
      <c r="B64" s="31"/>
      <c r="C64" s="31"/>
      <c r="D64" s="31"/>
      <c r="E64" s="31"/>
      <c r="F64" s="31"/>
      <c r="G64" s="31"/>
      <c r="H64" s="197"/>
      <c r="I64" s="197"/>
      <c r="J64" s="197"/>
      <c r="K64" s="197"/>
    </row>
    <row r="65" spans="1:11" ht="12.75">
      <c r="A65" s="1"/>
      <c r="B65" s="31"/>
      <c r="C65" s="31"/>
      <c r="D65" s="31"/>
      <c r="E65" s="31"/>
      <c r="F65" s="31"/>
      <c r="G65" s="31"/>
      <c r="H65" s="197"/>
      <c r="I65" s="197"/>
      <c r="J65" s="197"/>
      <c r="K65" s="197"/>
    </row>
  </sheetData>
  <mergeCells count="3">
    <mergeCell ref="A4:H4"/>
    <mergeCell ref="A2:H2"/>
    <mergeCell ref="A7: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60" zoomScaleNormal="160" zoomScaleSheetLayoutView="160" zoomScalePageLayoutView="160" workbookViewId="0">
      <selection activeCell="R40" sqref="R40"/>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6" t="s">
        <v>423</v>
      </c>
      <c r="B2" s="966"/>
      <c r="C2" s="966"/>
      <c r="D2" s="966"/>
      <c r="E2" s="966"/>
      <c r="F2" s="966"/>
      <c r="G2" s="966"/>
      <c r="H2" s="966"/>
      <c r="I2" s="966"/>
      <c r="J2" s="966"/>
      <c r="K2" s="163"/>
    </row>
    <row r="3" spans="1:12" ht="6.75" customHeight="1">
      <c r="A3" s="17"/>
      <c r="B3" s="159"/>
      <c r="C3" s="213"/>
      <c r="D3" s="18"/>
      <c r="E3" s="18"/>
      <c r="F3" s="192"/>
      <c r="G3" s="66"/>
      <c r="H3" s="66"/>
      <c r="I3" s="71"/>
      <c r="J3" s="163"/>
      <c r="K3" s="163"/>
      <c r="L3" s="36"/>
    </row>
    <row r="4" spans="1:12" ht="15" customHeight="1">
      <c r="A4" s="967" t="s">
        <v>448</v>
      </c>
      <c r="B4" s="967"/>
      <c r="C4" s="967"/>
      <c r="D4" s="967"/>
      <c r="E4" s="967"/>
      <c r="F4" s="967"/>
      <c r="G4" s="967"/>
      <c r="H4" s="967"/>
      <c r="I4" s="967"/>
      <c r="J4" s="967"/>
      <c r="K4" s="163"/>
      <c r="L4" s="36"/>
    </row>
    <row r="5" spans="1:12" ht="38.25" customHeight="1">
      <c r="A5" s="964" t="s">
        <v>191</v>
      </c>
      <c r="B5" s="526" t="s">
        <v>192</v>
      </c>
      <c r="C5" s="527" t="s">
        <v>193</v>
      </c>
      <c r="D5" s="527" t="s">
        <v>194</v>
      </c>
      <c r="E5" s="527" t="s">
        <v>195</v>
      </c>
      <c r="F5" s="527" t="s">
        <v>196</v>
      </c>
      <c r="G5" s="527" t="s">
        <v>197</v>
      </c>
      <c r="H5" s="527" t="s">
        <v>198</v>
      </c>
      <c r="I5" s="528" t="s">
        <v>199</v>
      </c>
      <c r="J5" s="529" t="s">
        <v>200</v>
      </c>
      <c r="K5" s="131"/>
    </row>
    <row r="6" spans="1:12" ht="11.25" customHeight="1">
      <c r="A6" s="965"/>
      <c r="B6" s="709" t="s">
        <v>201</v>
      </c>
      <c r="C6" s="528" t="s">
        <v>202</v>
      </c>
      <c r="D6" s="528" t="s">
        <v>203</v>
      </c>
      <c r="E6" s="528" t="s">
        <v>204</v>
      </c>
      <c r="F6" s="528" t="s">
        <v>205</v>
      </c>
      <c r="G6" s="528" t="s">
        <v>206</v>
      </c>
      <c r="H6" s="528" t="s">
        <v>207</v>
      </c>
      <c r="I6" s="710"/>
      <c r="J6" s="711" t="s">
        <v>208</v>
      </c>
      <c r="K6" s="19"/>
    </row>
    <row r="7" spans="1:12" ht="12" customHeight="1">
      <c r="A7" s="719" t="s">
        <v>401</v>
      </c>
      <c r="B7" s="720">
        <v>12</v>
      </c>
      <c r="C7" s="720">
        <v>2</v>
      </c>
      <c r="D7" s="720"/>
      <c r="E7" s="720">
        <v>1</v>
      </c>
      <c r="F7" s="720">
        <v>3</v>
      </c>
      <c r="G7" s="720"/>
      <c r="H7" s="720"/>
      <c r="I7" s="721">
        <f>+SUM(B7:H7)</f>
        <v>18</v>
      </c>
      <c r="J7" s="722">
        <v>214.96</v>
      </c>
      <c r="K7" s="22"/>
    </row>
    <row r="8" spans="1:12" s="741" customFormat="1" ht="12" customHeight="1">
      <c r="A8" s="719" t="s">
        <v>166</v>
      </c>
      <c r="B8" s="720"/>
      <c r="C8" s="720"/>
      <c r="D8" s="720">
        <v>1</v>
      </c>
      <c r="E8" s="720"/>
      <c r="F8" s="720"/>
      <c r="G8" s="720"/>
      <c r="H8" s="720"/>
      <c r="I8" s="721">
        <f t="shared" ref="I8:I10" si="0">+SUM(B8:H8)</f>
        <v>1</v>
      </c>
      <c r="J8" s="722">
        <v>0.54</v>
      </c>
      <c r="K8" s="22"/>
    </row>
    <row r="9" spans="1:12" s="741" customFormat="1" ht="12" customHeight="1">
      <c r="A9" s="719" t="s">
        <v>610</v>
      </c>
      <c r="B9" s="720"/>
      <c r="C9" s="720">
        <v>1</v>
      </c>
      <c r="D9" s="720">
        <v>1</v>
      </c>
      <c r="E9" s="720"/>
      <c r="F9" s="720"/>
      <c r="G9" s="720"/>
      <c r="H9" s="720"/>
      <c r="I9" s="721">
        <f t="shared" si="0"/>
        <v>2</v>
      </c>
      <c r="J9" s="722">
        <v>29.270000000000003</v>
      </c>
      <c r="K9" s="22"/>
    </row>
    <row r="10" spans="1:12" ht="16.5" customHeight="1">
      <c r="A10" s="719" t="s">
        <v>507</v>
      </c>
      <c r="B10" s="720"/>
      <c r="C10" s="720">
        <v>1</v>
      </c>
      <c r="D10" s="720">
        <v>2</v>
      </c>
      <c r="E10" s="720"/>
      <c r="F10" s="720"/>
      <c r="G10" s="720"/>
      <c r="H10" s="720"/>
      <c r="I10" s="721">
        <f t="shared" si="0"/>
        <v>3</v>
      </c>
      <c r="J10" s="722">
        <v>25.5</v>
      </c>
      <c r="K10" s="22"/>
    </row>
    <row r="11" spans="1:12" ht="14.25" customHeight="1">
      <c r="A11" s="717" t="s">
        <v>199</v>
      </c>
      <c r="B11" s="712">
        <f t="shared" ref="B11:H11" si="1">+SUM(B7:B10)</f>
        <v>12</v>
      </c>
      <c r="C11" s="712">
        <f t="shared" si="1"/>
        <v>4</v>
      </c>
      <c r="D11" s="712">
        <f t="shared" si="1"/>
        <v>4</v>
      </c>
      <c r="E11" s="712">
        <f t="shared" si="1"/>
        <v>1</v>
      </c>
      <c r="F11" s="712">
        <f t="shared" si="1"/>
        <v>3</v>
      </c>
      <c r="G11" s="712">
        <f t="shared" si="1"/>
        <v>0</v>
      </c>
      <c r="H11" s="712">
        <f t="shared" si="1"/>
        <v>0</v>
      </c>
      <c r="I11" s="712">
        <f>SUM(I7:I10)</f>
        <v>24</v>
      </c>
      <c r="J11" s="713">
        <f>SUM(J7:J10)</f>
        <v>270.27</v>
      </c>
      <c r="K11" s="22"/>
    </row>
    <row r="12" spans="1:12" ht="11.25" customHeight="1">
      <c r="A12" s="96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2020</v>
      </c>
      <c r="B12" s="968"/>
      <c r="C12" s="968"/>
      <c r="D12" s="968"/>
      <c r="E12" s="968"/>
      <c r="F12" s="968"/>
      <c r="G12" s="968"/>
      <c r="H12" s="968"/>
      <c r="I12" s="968"/>
      <c r="J12" s="968"/>
      <c r="K12" s="22"/>
    </row>
    <row r="13" spans="1:12" ht="11.25" customHeight="1">
      <c r="K13" s="22"/>
    </row>
    <row r="14" spans="1:12" ht="11.25" customHeight="1">
      <c r="A14" s="17"/>
      <c r="B14" s="216"/>
      <c r="C14" s="215"/>
      <c r="D14" s="215"/>
      <c r="E14" s="215"/>
      <c r="F14" s="215"/>
      <c r="G14" s="178"/>
      <c r="H14" s="178"/>
      <c r="I14" s="138"/>
      <c r="J14" s="25"/>
      <c r="K14" s="25"/>
      <c r="L14" s="22"/>
    </row>
    <row r="15" spans="1:12" ht="11.25" customHeight="1">
      <c r="A15" s="961" t="str">
        <f>"FALLAS  POR TIPO DE CAUSA  -  "&amp;UPPER('1. Resumen'!Q4)&amp;" "&amp;'1. Resumen'!Q5</f>
        <v>FALLAS  POR TIPO DE CAUSA  -  MARZO 2020</v>
      </c>
      <c r="B15" s="961"/>
      <c r="C15" s="961"/>
      <c r="D15" s="961"/>
      <c r="E15" s="961" t="str">
        <f>"FALLAS  POR TIPO DE EQUIPO  -  "&amp;UPPER('1. Resumen'!Q4)&amp;" "&amp;'1. Resumen'!Q5</f>
        <v>FALLAS  POR TIPO DE EQUIPO  -  MARZO 2020</v>
      </c>
      <c r="F15" s="961"/>
      <c r="G15" s="961"/>
      <c r="H15" s="961"/>
      <c r="I15" s="961"/>
      <c r="J15" s="961"/>
      <c r="K15" s="25"/>
      <c r="L15" s="22"/>
    </row>
    <row r="16" spans="1:12" ht="11.25" customHeight="1">
      <c r="A16" s="17"/>
      <c r="E16" s="215"/>
      <c r="F16" s="215"/>
      <c r="G16" s="178"/>
      <c r="H16" s="178"/>
      <c r="I16" s="138"/>
      <c r="J16" s="111"/>
      <c r="K16" s="111"/>
      <c r="L16" s="22"/>
    </row>
    <row r="17" spans="1:12" ht="11.25" customHeight="1">
      <c r="A17" s="17"/>
      <c r="B17" s="216"/>
      <c r="C17" s="215"/>
      <c r="D17" s="215"/>
      <c r="E17" s="215"/>
      <c r="F17" s="215"/>
      <c r="G17" s="178"/>
      <c r="H17" s="178"/>
      <c r="I17" s="138"/>
      <c r="J17" s="111"/>
      <c r="K17" s="111"/>
      <c r="L17" s="30"/>
    </row>
    <row r="18" spans="1:12" ht="11.25" customHeight="1">
      <c r="A18" s="17"/>
      <c r="B18" s="216"/>
      <c r="C18" s="215"/>
      <c r="D18" s="215"/>
      <c r="E18" s="215"/>
      <c r="F18" s="215"/>
      <c r="G18" s="178"/>
      <c r="H18" s="178"/>
      <c r="I18" s="138"/>
      <c r="J18" s="111"/>
      <c r="K18" s="111"/>
      <c r="L18" s="22"/>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30"/>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23.25" customHeight="1">
      <c r="A33" s="960" t="s">
        <v>410</v>
      </c>
      <c r="B33" s="960"/>
      <c r="C33" s="960"/>
      <c r="D33" s="276"/>
      <c r="E33" s="963" t="s">
        <v>411</v>
      </c>
      <c r="F33" s="963"/>
      <c r="G33" s="963"/>
      <c r="H33" s="963"/>
      <c r="I33" s="963"/>
      <c r="J33" s="963"/>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7"/>
    </row>
    <row r="36" spans="1:12" ht="11.25" customHeight="1">
      <c r="A36" s="962" t="str">
        <f>"ENERGÍA INTERRUMPIDA APROXIMADA POR TIPO DE EQUIPO (MWh)  -  "&amp;UPPER('1. Resumen'!Q4)&amp;" "&amp;'1. Resumen'!Q5</f>
        <v>ENERGÍA INTERRUMPIDA APROXIMADA POR TIPO DE EQUIPO (MWh)  -  MARZO 2020</v>
      </c>
      <c r="B36" s="962"/>
      <c r="C36" s="962"/>
      <c r="D36" s="962"/>
      <c r="E36" s="962"/>
      <c r="F36" s="962"/>
      <c r="G36" s="962"/>
      <c r="H36" s="962"/>
      <c r="I36" s="962"/>
      <c r="J36" s="962"/>
      <c r="K36" s="25"/>
      <c r="L36" s="217"/>
    </row>
    <row r="37" spans="1:12" ht="11.25" customHeight="1">
      <c r="A37" s="17"/>
      <c r="B37" s="132"/>
      <c r="C37" s="132"/>
      <c r="D37" s="132"/>
      <c r="E37" s="132"/>
      <c r="F37" s="132"/>
      <c r="G37" s="25"/>
      <c r="H37" s="25"/>
      <c r="I37" s="25"/>
      <c r="J37" s="25"/>
      <c r="K37" s="25"/>
      <c r="L37" s="217"/>
    </row>
    <row r="38" spans="1:12" ht="11.25" customHeight="1">
      <c r="A38" s="17"/>
      <c r="B38" s="132"/>
      <c r="C38" s="25"/>
      <c r="D38" s="25"/>
      <c r="E38" s="25"/>
      <c r="F38" s="25"/>
      <c r="G38" s="25"/>
      <c r="H38" s="25"/>
      <c r="I38" s="25"/>
      <c r="J38" s="25"/>
      <c r="K38" s="25"/>
      <c r="L38" s="217"/>
    </row>
    <row r="39" spans="1:12" ht="11.25" customHeight="1">
      <c r="A39" s="17"/>
      <c r="B39" s="132"/>
      <c r="C39" s="25"/>
      <c r="D39" s="25"/>
      <c r="E39" s="25"/>
      <c r="F39" s="25"/>
      <c r="G39" s="25"/>
      <c r="H39" s="25"/>
    </row>
    <row r="40" spans="1:12" ht="12.75">
      <c r="A40" s="17"/>
      <c r="B40" s="132"/>
      <c r="J40" s="25"/>
      <c r="K40" s="25"/>
      <c r="L40" s="217"/>
    </row>
    <row r="41" spans="1:12" ht="12.75">
      <c r="A41" s="17"/>
      <c r="B41" s="132"/>
      <c r="C41" s="132"/>
      <c r="D41" s="132"/>
      <c r="E41" s="132"/>
      <c r="F41" s="132"/>
      <c r="G41" s="25"/>
      <c r="H41" s="25"/>
      <c r="I41" s="25"/>
      <c r="J41" s="25"/>
      <c r="K41" s="25"/>
      <c r="L41" s="217"/>
    </row>
    <row r="42" spans="1:12" ht="3" customHeight="1">
      <c r="A42" s="17"/>
      <c r="B42" s="132"/>
      <c r="C42" s="132"/>
      <c r="D42" s="132"/>
      <c r="E42" s="132"/>
      <c r="F42" s="132"/>
      <c r="G42" s="25"/>
      <c r="H42" s="25"/>
      <c r="I42" s="25"/>
      <c r="J42" s="25"/>
      <c r="K42" s="25"/>
      <c r="L42" s="217"/>
    </row>
    <row r="43" spans="1:12" ht="12.75">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63"/>
      <c r="B46" s="25"/>
      <c r="C46" s="25"/>
      <c r="D46" s="25"/>
      <c r="E46" s="25"/>
      <c r="F46" s="25"/>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9" customHeight="1">
      <c r="A51" s="163"/>
      <c r="B51" s="25"/>
      <c r="C51" s="25"/>
      <c r="D51" s="25"/>
      <c r="E51" s="25"/>
      <c r="F51" s="25"/>
      <c r="G51" s="25"/>
      <c r="H51" s="25"/>
      <c r="I51" s="25"/>
      <c r="J51" s="25"/>
      <c r="K51" s="25"/>
      <c r="L51" s="217"/>
    </row>
    <row r="52" spans="1:12">
      <c r="A52" s="276" t="str">
        <f>"Gráfico N°26: Comparación de la energía interrumpida aproximada por tipo de equipo en "&amp;'1. Resumen'!Q4&amp;" "&amp;'1. Resumen'!Q5</f>
        <v>Gráfico N°26: Comparación de la energía interrumpida aproximada por tipo de equipo en marzo 2020</v>
      </c>
      <c r="B52" s="25"/>
      <c r="C52" s="25"/>
      <c r="D52" s="25"/>
      <c r="E52" s="25"/>
      <c r="F52" s="25"/>
      <c r="G52" s="25"/>
      <c r="H52" s="25"/>
      <c r="I52" s="25"/>
      <c r="J52" s="25"/>
      <c r="K52" s="25"/>
      <c r="L52" s="217"/>
    </row>
    <row r="53" spans="1:12" ht="5.25" customHeight="1">
      <c r="B53" s="25"/>
      <c r="C53" s="25"/>
      <c r="D53" s="25"/>
      <c r="E53" s="25"/>
      <c r="F53" s="25"/>
      <c r="G53" s="25"/>
      <c r="H53" s="25"/>
      <c r="I53" s="25"/>
      <c r="J53" s="25"/>
      <c r="K53" s="25"/>
      <c r="L53" s="217"/>
    </row>
    <row r="54" spans="1:12" ht="24" customHeight="1">
      <c r="A54" s="969" t="s">
        <v>209</v>
      </c>
      <c r="B54" s="969"/>
      <c r="C54" s="969"/>
      <c r="D54" s="969"/>
      <c r="E54" s="969"/>
      <c r="F54" s="969"/>
      <c r="G54" s="969"/>
      <c r="H54" s="969"/>
      <c r="I54" s="969"/>
      <c r="J54" s="969"/>
      <c r="K54" s="25"/>
      <c r="L54" s="217"/>
    </row>
    <row r="55" spans="1:12" ht="11.25" customHeight="1">
      <c r="A55" s="959" t="s">
        <v>210</v>
      </c>
      <c r="B55" s="959"/>
      <c r="C55" s="959"/>
      <c r="D55" s="959"/>
      <c r="E55" s="959"/>
      <c r="F55" s="959"/>
      <c r="G55" s="959"/>
      <c r="H55" s="959"/>
      <c r="I55" s="959"/>
      <c r="J55" s="959"/>
      <c r="K55" s="25"/>
      <c r="L55" s="217"/>
    </row>
    <row r="56" spans="1:12" ht="12.75">
      <c r="A56" s="163"/>
      <c r="B56" s="25"/>
      <c r="C56" s="25"/>
      <c r="D56" s="25"/>
      <c r="E56" s="25"/>
      <c r="F56" s="25"/>
      <c r="G56" s="25"/>
      <c r="H56" s="25"/>
      <c r="I56" s="25"/>
      <c r="J56" s="25"/>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J66" s="25"/>
      <c r="K66" s="25"/>
      <c r="L66" s="217"/>
    </row>
    <row r="67" spans="1:12" ht="12.75">
      <c r="A67" s="163"/>
      <c r="B67" s="25"/>
      <c r="J67" s="25"/>
      <c r="K67" s="25"/>
      <c r="L67" s="217"/>
    </row>
    <row r="68" spans="1:12" ht="12.75">
      <c r="A68" s="163"/>
      <c r="B68" s="25"/>
      <c r="J68" s="25"/>
      <c r="K68" s="25"/>
      <c r="L68" s="217"/>
    </row>
    <row r="69" spans="1:12" ht="12.75">
      <c r="A69" s="163"/>
      <c r="B69" s="25"/>
      <c r="J69" s="25"/>
      <c r="K69" s="25"/>
      <c r="L69" s="217"/>
    </row>
    <row r="70" spans="1:12">
      <c r="B70" s="217"/>
      <c r="C70" s="217"/>
      <c r="D70" s="217"/>
      <c r="E70" s="217"/>
      <c r="F70" s="217"/>
      <c r="G70" s="217"/>
      <c r="H70" s="217"/>
      <c r="I70" s="217"/>
      <c r="J70" s="217"/>
      <c r="K70" s="217"/>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15" workbookViewId="0">
      <selection activeCell="R40" sqref="R40"/>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6"/>
    <col min="15" max="16" width="10.1640625" style="312" bestFit="1" customWidth="1"/>
    <col min="17" max="17" width="11.5" style="312" customWidth="1"/>
    <col min="18" max="23" width="9.33203125" style="312"/>
    <col min="24" max="16384" width="9.33203125" style="46"/>
  </cols>
  <sheetData>
    <row r="1" spans="1:17" ht="27.75" customHeight="1">
      <c r="A1" s="873" t="s">
        <v>22</v>
      </c>
      <c r="B1" s="873"/>
      <c r="C1" s="873"/>
      <c r="D1" s="873"/>
      <c r="E1" s="873"/>
      <c r="F1" s="873"/>
      <c r="G1" s="873"/>
      <c r="H1" s="873"/>
      <c r="I1" s="873"/>
      <c r="J1" s="873"/>
      <c r="K1" s="873"/>
      <c r="L1" s="873"/>
      <c r="M1" s="873"/>
      <c r="N1" s="285"/>
      <c r="O1" s="311"/>
      <c r="P1" s="311"/>
      <c r="Q1" s="311"/>
    </row>
    <row r="2" spans="1:17" ht="11.25" customHeight="1">
      <c r="A2" s="41"/>
      <c r="B2" s="40"/>
      <c r="C2" s="65"/>
      <c r="D2" s="65"/>
      <c r="E2" s="65"/>
      <c r="F2" s="65"/>
      <c r="G2" s="65"/>
      <c r="H2" s="65"/>
      <c r="I2" s="65"/>
      <c r="J2" s="65"/>
      <c r="K2" s="40"/>
      <c r="L2" s="40"/>
      <c r="M2" s="40"/>
      <c r="N2" s="285"/>
      <c r="O2" s="311"/>
      <c r="P2" s="311"/>
      <c r="Q2" s="311"/>
    </row>
    <row r="3" spans="1:17" ht="21.75" customHeight="1">
      <c r="A3" s="40"/>
      <c r="B3" s="42"/>
      <c r="C3" s="880" t="str">
        <f>+UPPER(Q4)&amp;" "&amp;Q5</f>
        <v>MARZO 2020</v>
      </c>
      <c r="D3" s="873"/>
      <c r="E3" s="873"/>
      <c r="F3" s="873"/>
      <c r="G3" s="873"/>
      <c r="H3" s="873"/>
      <c r="I3" s="873"/>
      <c r="J3" s="873"/>
      <c r="K3" s="40"/>
      <c r="L3" s="40"/>
      <c r="M3" s="40"/>
      <c r="N3" s="285"/>
      <c r="O3" s="311"/>
      <c r="P3" s="311"/>
      <c r="Q3" s="311"/>
    </row>
    <row r="4" spans="1:17" ht="11.25" customHeight="1">
      <c r="A4" s="40"/>
      <c r="B4" s="42"/>
      <c r="C4" s="40"/>
      <c r="D4" s="40"/>
      <c r="E4" s="40"/>
      <c r="F4" s="40"/>
      <c r="G4" s="40"/>
      <c r="H4" s="40"/>
      <c r="I4" s="40"/>
      <c r="J4" s="40"/>
      <c r="K4" s="40"/>
      <c r="L4" s="40"/>
      <c r="M4" s="40"/>
      <c r="N4" s="287"/>
      <c r="O4" s="313"/>
      <c r="P4" s="311" t="s">
        <v>212</v>
      </c>
      <c r="Q4" s="314" t="s">
        <v>618</v>
      </c>
    </row>
    <row r="5" spans="1:17" ht="11.25" customHeight="1">
      <c r="A5" s="47"/>
      <c r="B5" s="48"/>
      <c r="C5" s="49"/>
      <c r="D5" s="49"/>
      <c r="E5" s="49"/>
      <c r="F5" s="49"/>
      <c r="G5" s="49"/>
      <c r="H5" s="49"/>
      <c r="I5" s="49"/>
      <c r="J5" s="49"/>
      <c r="K5" s="49"/>
      <c r="L5" s="49"/>
      <c r="M5" s="40"/>
      <c r="N5" s="287"/>
      <c r="O5" s="313"/>
      <c r="P5" s="311" t="s">
        <v>213</v>
      </c>
      <c r="Q5" s="313">
        <v>2020</v>
      </c>
    </row>
    <row r="6" spans="1:17" ht="17.25" customHeight="1">
      <c r="A6" s="60" t="s">
        <v>402</v>
      </c>
      <c r="B6" s="40"/>
      <c r="C6" s="40"/>
      <c r="D6" s="40"/>
      <c r="E6" s="40"/>
      <c r="F6" s="40"/>
      <c r="G6" s="40"/>
      <c r="H6" s="40"/>
      <c r="I6" s="40"/>
      <c r="J6" s="40"/>
      <c r="K6" s="40"/>
      <c r="L6" s="40"/>
      <c r="M6" s="40"/>
      <c r="N6" s="285"/>
      <c r="O6" s="311"/>
      <c r="P6" s="311"/>
      <c r="Q6" s="320">
        <v>43891</v>
      </c>
    </row>
    <row r="7" spans="1:17" ht="11.25" customHeight="1">
      <c r="A7" s="40"/>
      <c r="B7" s="40"/>
      <c r="C7" s="40"/>
      <c r="D7" s="40"/>
      <c r="E7" s="40"/>
      <c r="F7" s="40"/>
      <c r="G7" s="40"/>
      <c r="H7" s="40"/>
      <c r="I7" s="40"/>
      <c r="J7" s="40"/>
      <c r="K7" s="40"/>
      <c r="L7" s="40"/>
      <c r="M7" s="40"/>
      <c r="N7" s="285"/>
      <c r="O7" s="311"/>
      <c r="P7" s="311"/>
      <c r="Q7" s="311">
        <v>31</v>
      </c>
    </row>
    <row r="8" spans="1:17" ht="11.25" customHeight="1">
      <c r="A8" s="43"/>
      <c r="B8" s="43"/>
      <c r="C8" s="43"/>
      <c r="D8" s="43"/>
      <c r="E8" s="43"/>
      <c r="F8" s="43"/>
      <c r="G8" s="43"/>
      <c r="H8" s="43"/>
      <c r="I8" s="43"/>
      <c r="J8" s="43"/>
      <c r="K8" s="43"/>
      <c r="L8" s="43"/>
      <c r="M8" s="43"/>
      <c r="N8" s="288"/>
      <c r="O8" s="315"/>
      <c r="P8" s="315"/>
      <c r="Q8" s="315"/>
    </row>
    <row r="9" spans="1:17" ht="14.25" customHeight="1">
      <c r="A9" s="40" t="str">
        <f>"1.1. Producción de energía eléctrica en "&amp;LOWER(Q4)&amp;" "&amp;Q5&amp;" en comparación al mismo mes del año anterior"</f>
        <v>1.1. Producción de energía eléctrica en marzo 2020 en comparación al mismo mes del año anterior</v>
      </c>
      <c r="B9" s="40"/>
      <c r="C9" s="40"/>
      <c r="D9" s="40"/>
      <c r="E9" s="40"/>
      <c r="F9" s="40"/>
      <c r="G9" s="40"/>
      <c r="H9" s="40"/>
      <c r="I9" s="40"/>
      <c r="J9" s="40"/>
      <c r="K9" s="40"/>
      <c r="L9" s="40"/>
      <c r="M9" s="40"/>
      <c r="N9" s="285"/>
      <c r="O9" s="311"/>
      <c r="P9" s="311"/>
      <c r="Q9" s="311"/>
    </row>
    <row r="10" spans="1:17" ht="11.25" customHeight="1">
      <c r="A10" s="47"/>
      <c r="B10" s="44"/>
      <c r="C10" s="44"/>
      <c r="D10" s="44"/>
      <c r="E10" s="44"/>
      <c r="F10" s="44"/>
      <c r="G10" s="44"/>
      <c r="H10" s="44"/>
      <c r="I10" s="44"/>
      <c r="J10" s="44"/>
      <c r="K10" s="44"/>
      <c r="L10" s="44"/>
      <c r="M10" s="44"/>
      <c r="N10" s="287"/>
      <c r="O10" s="313"/>
      <c r="P10" s="313"/>
      <c r="Q10" s="313"/>
    </row>
    <row r="11" spans="1:17" ht="11.25" customHeight="1">
      <c r="A11" s="50"/>
      <c r="B11" s="50"/>
      <c r="C11" s="50"/>
      <c r="D11" s="50"/>
      <c r="E11" s="50"/>
      <c r="F11" s="50"/>
      <c r="G11" s="50"/>
      <c r="H11" s="50"/>
      <c r="I11" s="50"/>
      <c r="J11" s="50"/>
      <c r="K11" s="50"/>
      <c r="L11" s="50"/>
      <c r="M11" s="50"/>
      <c r="N11" s="289"/>
      <c r="O11" s="316"/>
      <c r="P11" s="316"/>
      <c r="Q11" s="316"/>
    </row>
    <row r="12" spans="1:17" ht="26.25" customHeight="1">
      <c r="A12" s="62" t="s">
        <v>23</v>
      </c>
      <c r="B12" s="879" t="s">
        <v>619</v>
      </c>
      <c r="C12" s="879"/>
      <c r="D12" s="879"/>
      <c r="E12" s="879"/>
      <c r="F12" s="879"/>
      <c r="G12" s="879"/>
      <c r="H12" s="879"/>
      <c r="I12" s="879"/>
      <c r="J12" s="879"/>
      <c r="K12" s="879"/>
      <c r="L12" s="879"/>
      <c r="M12" s="879"/>
      <c r="N12" s="287"/>
      <c r="O12" s="313"/>
      <c r="P12" s="313"/>
      <c r="Q12" s="313"/>
    </row>
    <row r="13" spans="1:17" ht="12.75" customHeight="1">
      <c r="A13" s="40"/>
      <c r="B13" s="64"/>
      <c r="C13" s="64"/>
      <c r="D13" s="64"/>
      <c r="E13" s="64"/>
      <c r="F13" s="64"/>
      <c r="G13" s="64"/>
      <c r="H13" s="64"/>
      <c r="I13" s="64"/>
      <c r="J13" s="64"/>
      <c r="K13" s="64"/>
      <c r="L13" s="64"/>
      <c r="M13" s="44"/>
      <c r="N13" s="287"/>
      <c r="O13" s="313"/>
      <c r="P13" s="313"/>
      <c r="Q13" s="313"/>
    </row>
    <row r="14" spans="1:17" ht="28.5" customHeight="1">
      <c r="A14" s="62" t="s">
        <v>23</v>
      </c>
      <c r="B14" s="879" t="s">
        <v>620</v>
      </c>
      <c r="C14" s="879"/>
      <c r="D14" s="879"/>
      <c r="E14" s="879"/>
      <c r="F14" s="879"/>
      <c r="G14" s="879"/>
      <c r="H14" s="879"/>
      <c r="I14" s="879"/>
      <c r="J14" s="879"/>
      <c r="K14" s="879"/>
      <c r="L14" s="879"/>
      <c r="M14" s="879"/>
      <c r="N14" s="287"/>
      <c r="O14" s="313"/>
      <c r="P14" s="313"/>
      <c r="Q14" s="313"/>
    </row>
    <row r="15" spans="1:17" ht="15" customHeight="1">
      <c r="A15" s="63"/>
      <c r="B15" s="64"/>
      <c r="C15" s="64"/>
      <c r="D15" s="64"/>
      <c r="E15" s="64"/>
      <c r="F15" s="64"/>
      <c r="G15" s="64"/>
      <c r="H15" s="64"/>
      <c r="I15" s="64"/>
      <c r="J15" s="64"/>
      <c r="K15" s="64"/>
      <c r="L15" s="64"/>
      <c r="M15" s="44"/>
      <c r="N15" s="287"/>
      <c r="O15" s="313"/>
      <c r="P15" s="313"/>
      <c r="Q15" s="313"/>
    </row>
    <row r="16" spans="1:17" ht="59.25" customHeight="1">
      <c r="A16" s="62" t="s">
        <v>23</v>
      </c>
      <c r="B16" s="879" t="s">
        <v>685</v>
      </c>
      <c r="C16" s="879"/>
      <c r="D16" s="879"/>
      <c r="E16" s="879"/>
      <c r="F16" s="879"/>
      <c r="G16" s="879"/>
      <c r="H16" s="879"/>
      <c r="I16" s="879"/>
      <c r="J16" s="879"/>
      <c r="K16" s="879"/>
      <c r="L16" s="879"/>
      <c r="M16" s="879"/>
      <c r="N16" s="287"/>
      <c r="O16" s="313"/>
      <c r="P16" s="313"/>
      <c r="Q16" s="313"/>
    </row>
    <row r="17" spans="1:18" ht="17.25" customHeight="1">
      <c r="A17" s="44"/>
      <c r="B17" s="44"/>
      <c r="C17" s="44"/>
      <c r="D17" s="44"/>
      <c r="E17" s="44"/>
      <c r="F17" s="44"/>
      <c r="G17" s="44"/>
      <c r="H17" s="44"/>
      <c r="I17" s="44"/>
      <c r="J17" s="44"/>
      <c r="K17" s="44"/>
      <c r="L17" s="44"/>
      <c r="M17" s="44"/>
      <c r="N17" s="287"/>
      <c r="O17" s="313"/>
      <c r="P17" s="313"/>
      <c r="Q17" s="313"/>
    </row>
    <row r="18" spans="1:18" ht="25.5" customHeight="1">
      <c r="A18" s="61" t="s">
        <v>23</v>
      </c>
      <c r="B18" s="878" t="s">
        <v>621</v>
      </c>
      <c r="C18" s="878"/>
      <c r="D18" s="878"/>
      <c r="E18" s="878"/>
      <c r="F18" s="878"/>
      <c r="G18" s="878"/>
      <c r="H18" s="878"/>
      <c r="I18" s="878"/>
      <c r="J18" s="878"/>
      <c r="K18" s="878"/>
      <c r="L18" s="878"/>
      <c r="M18" s="878"/>
      <c r="N18" s="287"/>
      <c r="O18" s="313"/>
      <c r="P18" s="313"/>
      <c r="Q18" s="313"/>
    </row>
    <row r="19" spans="1:18" ht="11.25" customHeight="1">
      <c r="A19" s="44"/>
      <c r="B19" s="44"/>
      <c r="C19" s="44"/>
      <c r="D19" s="44"/>
      <c r="E19" s="44"/>
      <c r="F19" s="44"/>
      <c r="G19" s="44"/>
      <c r="H19" s="44"/>
      <c r="I19" s="44"/>
      <c r="J19" s="44"/>
      <c r="K19" s="44"/>
      <c r="L19" s="44"/>
      <c r="M19" s="44"/>
      <c r="N19" s="287"/>
      <c r="O19" s="313"/>
      <c r="P19" s="313"/>
      <c r="Q19" s="313"/>
    </row>
    <row r="20" spans="1:18" ht="15.75" customHeight="1">
      <c r="A20" s="44"/>
      <c r="B20" s="44"/>
      <c r="C20" s="877" t="str">
        <f>+UPPER(Q4)&amp;" "&amp;Q5</f>
        <v>MARZO 2020</v>
      </c>
      <c r="D20" s="877"/>
      <c r="E20" s="877"/>
      <c r="F20" s="40"/>
      <c r="G20" s="40"/>
      <c r="H20" s="40"/>
      <c r="I20" s="877" t="str">
        <f>+UPPER(Q4)&amp;" "&amp;Q5-1</f>
        <v>MARZO 2019</v>
      </c>
      <c r="J20" s="877"/>
      <c r="K20" s="877"/>
      <c r="L20" s="44"/>
      <c r="M20" s="44"/>
      <c r="Q20" s="313"/>
    </row>
    <row r="21" spans="1:18" ht="11.25" customHeight="1">
      <c r="A21" s="44"/>
      <c r="B21" s="44"/>
      <c r="C21" s="44"/>
      <c r="D21" s="44"/>
      <c r="E21" s="44"/>
      <c r="F21" s="44"/>
      <c r="G21" s="44"/>
      <c r="H21" s="44"/>
      <c r="I21" s="44"/>
      <c r="J21" s="44"/>
      <c r="K21" s="44"/>
      <c r="L21" s="44"/>
      <c r="M21" s="44"/>
      <c r="Q21" s="313"/>
    </row>
    <row r="22" spans="1:18" ht="11.25" customHeight="1">
      <c r="A22" s="51"/>
      <c r="B22" s="52"/>
      <c r="C22" s="52"/>
      <c r="D22" s="52"/>
      <c r="E22" s="52"/>
      <c r="F22" s="52"/>
      <c r="G22" s="52"/>
      <c r="H22" s="52"/>
      <c r="I22" s="52"/>
      <c r="J22" s="52"/>
      <c r="K22" s="52"/>
      <c r="L22" s="52"/>
      <c r="M22" s="52"/>
      <c r="N22" s="345" t="s">
        <v>31</v>
      </c>
      <c r="O22" s="746"/>
      <c r="P22" s="746"/>
    </row>
    <row r="23" spans="1:18" ht="11.25" customHeight="1">
      <c r="A23" s="51"/>
      <c r="B23" s="52"/>
      <c r="C23" s="52"/>
      <c r="D23" s="52"/>
      <c r="E23" s="52"/>
      <c r="F23" s="52"/>
      <c r="G23" s="52"/>
      <c r="H23" s="52"/>
      <c r="I23" s="52"/>
      <c r="J23" s="52"/>
      <c r="K23" s="52"/>
      <c r="L23" s="52"/>
      <c r="M23" s="52"/>
      <c r="N23" s="345" t="s">
        <v>24</v>
      </c>
      <c r="O23" s="747">
        <v>3109.2738750449998</v>
      </c>
      <c r="P23" s="747">
        <v>3029.7496984825048</v>
      </c>
      <c r="Q23" s="318"/>
    </row>
    <row r="24" spans="1:18" ht="11.25" customHeight="1">
      <c r="A24" s="44"/>
      <c r="B24" s="44"/>
      <c r="C24" s="44"/>
      <c r="D24" s="44"/>
      <c r="E24" s="43"/>
      <c r="F24" s="44"/>
      <c r="G24" s="44"/>
      <c r="H24" s="44"/>
      <c r="I24" s="44"/>
      <c r="J24" s="44"/>
      <c r="K24" s="44"/>
      <c r="L24" s="44"/>
      <c r="M24" s="43"/>
      <c r="N24" s="346" t="s">
        <v>25</v>
      </c>
      <c r="O24" s="748">
        <v>673.84085703500011</v>
      </c>
      <c r="P24" s="748">
        <v>1265.0327022275003</v>
      </c>
      <c r="Q24" s="317"/>
      <c r="R24" s="317"/>
    </row>
    <row r="25" spans="1:18" ht="11.25" customHeight="1">
      <c r="A25" s="44"/>
      <c r="B25" s="44"/>
      <c r="C25" s="44"/>
      <c r="D25" s="44"/>
      <c r="E25" s="44"/>
      <c r="F25" s="44"/>
      <c r="G25" s="44"/>
      <c r="H25" s="44"/>
      <c r="I25" s="44"/>
      <c r="J25" s="53"/>
      <c r="K25" s="53"/>
      <c r="L25" s="44"/>
      <c r="M25" s="44"/>
      <c r="N25" s="346" t="s">
        <v>26</v>
      </c>
      <c r="O25" s="748">
        <v>0</v>
      </c>
      <c r="P25" s="748">
        <v>0</v>
      </c>
      <c r="Q25" s="319"/>
    </row>
    <row r="26" spans="1:18" ht="11.25" customHeight="1">
      <c r="A26" s="44"/>
      <c r="B26" s="44"/>
      <c r="C26" s="44"/>
      <c r="D26" s="44"/>
      <c r="E26" s="44"/>
      <c r="F26" s="44"/>
      <c r="G26" s="44"/>
      <c r="H26" s="44"/>
      <c r="I26" s="44"/>
      <c r="J26" s="53"/>
      <c r="K26" s="53"/>
      <c r="L26" s="44"/>
      <c r="M26" s="44"/>
      <c r="N26" s="345" t="s">
        <v>27</v>
      </c>
      <c r="O26" s="747">
        <v>2.2965012200000001</v>
      </c>
      <c r="P26" s="747">
        <v>52.710489845000026</v>
      </c>
      <c r="Q26" s="319"/>
    </row>
    <row r="27" spans="1:18" ht="11.25" customHeight="1">
      <c r="A27" s="44"/>
      <c r="B27" s="44"/>
      <c r="C27" s="44"/>
      <c r="D27" s="44"/>
      <c r="E27" s="44"/>
      <c r="F27" s="44"/>
      <c r="G27" s="44"/>
      <c r="H27" s="44"/>
      <c r="I27" s="44"/>
      <c r="J27" s="53"/>
      <c r="K27" s="44"/>
      <c r="L27" s="44"/>
      <c r="M27" s="44"/>
      <c r="N27" s="345" t="s">
        <v>28</v>
      </c>
      <c r="O27" s="747">
        <v>23.211399157499997</v>
      </c>
      <c r="P27" s="747">
        <v>21.463802730000005</v>
      </c>
      <c r="Q27" s="319"/>
    </row>
    <row r="28" spans="1:18" ht="11.25" customHeight="1">
      <c r="A28" s="44"/>
      <c r="B28" s="44"/>
      <c r="C28" s="53"/>
      <c r="D28" s="53"/>
      <c r="E28" s="53"/>
      <c r="F28" s="53"/>
      <c r="G28" s="53"/>
      <c r="H28" s="53"/>
      <c r="I28" s="53"/>
      <c r="J28" s="53"/>
      <c r="K28" s="53"/>
      <c r="L28" s="44"/>
      <c r="M28" s="44"/>
      <c r="N28" s="345" t="s">
        <v>29</v>
      </c>
      <c r="O28" s="747">
        <v>130.312314775</v>
      </c>
      <c r="P28" s="747">
        <v>152.49710963249993</v>
      </c>
      <c r="Q28" s="319"/>
    </row>
    <row r="29" spans="1:18" ht="11.25" customHeight="1">
      <c r="A29" s="44"/>
      <c r="B29" s="44"/>
      <c r="C29" s="53"/>
      <c r="D29" s="53"/>
      <c r="E29" s="53"/>
      <c r="F29" s="53"/>
      <c r="G29" s="53"/>
      <c r="H29" s="53"/>
      <c r="I29" s="53"/>
      <c r="J29" s="53"/>
      <c r="K29" s="53"/>
      <c r="L29" s="44"/>
      <c r="M29" s="44"/>
      <c r="N29" s="345" t="s">
        <v>30</v>
      </c>
      <c r="O29" s="747">
        <v>60.122201322499997</v>
      </c>
      <c r="P29" s="747">
        <v>68.403388252499965</v>
      </c>
      <c r="Q29" s="319"/>
    </row>
    <row r="30" spans="1:18" ht="11.25" customHeight="1">
      <c r="A30" s="44"/>
      <c r="B30" s="44"/>
      <c r="C30" s="53"/>
      <c r="D30" s="53"/>
      <c r="E30" s="53"/>
      <c r="F30" s="53"/>
      <c r="G30" s="53"/>
      <c r="H30" s="53"/>
      <c r="I30" s="53"/>
      <c r="J30" s="53"/>
      <c r="K30" s="53"/>
      <c r="L30" s="44"/>
      <c r="M30" s="44"/>
      <c r="N30" s="345"/>
      <c r="O30" s="319"/>
      <c r="P30" s="319"/>
      <c r="Q30" s="319"/>
    </row>
    <row r="31" spans="1:18" ht="11.25" customHeight="1">
      <c r="A31" s="44"/>
      <c r="B31" s="44"/>
      <c r="C31" s="53"/>
      <c r="D31" s="53"/>
      <c r="E31" s="53"/>
      <c r="F31" s="53"/>
      <c r="G31" s="53"/>
      <c r="H31" s="53"/>
      <c r="I31" s="53"/>
      <c r="J31" s="53"/>
      <c r="K31" s="53"/>
      <c r="L31" s="44"/>
      <c r="M31" s="44"/>
      <c r="O31" s="367"/>
      <c r="P31" s="367"/>
      <c r="Q31" s="368"/>
    </row>
    <row r="32" spans="1:18" ht="11.25" customHeight="1">
      <c r="A32" s="44"/>
      <c r="B32" s="44"/>
      <c r="C32" s="53"/>
      <c r="D32" s="53"/>
      <c r="E32" s="53"/>
      <c r="F32" s="53"/>
      <c r="G32" s="53"/>
      <c r="H32" s="53"/>
      <c r="I32" s="53"/>
      <c r="J32" s="53"/>
      <c r="K32" s="53"/>
      <c r="L32" s="44"/>
      <c r="M32" s="44"/>
      <c r="Q32" s="313"/>
    </row>
    <row r="33" spans="1:17" ht="11.25" customHeight="1">
      <c r="A33" s="44"/>
      <c r="B33" s="44"/>
      <c r="C33" s="53"/>
      <c r="D33" s="53"/>
      <c r="E33" s="53"/>
      <c r="F33" s="53"/>
      <c r="G33" s="53"/>
      <c r="H33" s="53"/>
      <c r="I33" s="53"/>
      <c r="J33" s="53"/>
      <c r="K33" s="53"/>
      <c r="L33" s="44"/>
      <c r="M33" s="44"/>
      <c r="Q33" s="313"/>
    </row>
    <row r="34" spans="1:17" ht="11.25" customHeight="1">
      <c r="A34" s="44"/>
      <c r="B34" s="44"/>
      <c r="C34" s="53"/>
      <c r="D34" s="53"/>
      <c r="E34" s="53"/>
      <c r="F34" s="53"/>
      <c r="G34" s="53"/>
      <c r="H34" s="53"/>
      <c r="I34" s="53"/>
      <c r="J34" s="53"/>
      <c r="K34" s="53"/>
      <c r="L34" s="44"/>
      <c r="M34" s="44"/>
      <c r="Q34" s="313"/>
    </row>
    <row r="35" spans="1:17" ht="11.25" customHeight="1">
      <c r="A35" s="54"/>
      <c r="B35" s="54"/>
      <c r="C35" s="55"/>
      <c r="D35" s="55"/>
      <c r="E35" s="55"/>
      <c r="F35" s="55"/>
      <c r="G35" s="55"/>
      <c r="H35" s="55"/>
      <c r="I35" s="55"/>
      <c r="J35" s="54"/>
      <c r="K35" s="54"/>
      <c r="L35" s="54"/>
      <c r="M35" s="54"/>
      <c r="Q35" s="313"/>
    </row>
    <row r="36" spans="1:17" ht="11.25" customHeight="1">
      <c r="A36" s="54"/>
      <c r="B36" s="54"/>
      <c r="C36" s="55"/>
      <c r="D36" s="55"/>
      <c r="E36" s="55"/>
      <c r="F36" s="55"/>
      <c r="G36" s="55"/>
      <c r="H36" s="55"/>
      <c r="I36" s="55"/>
      <c r="J36" s="54"/>
      <c r="K36" s="54"/>
      <c r="L36" s="54"/>
      <c r="M36" s="54"/>
      <c r="Q36" s="313"/>
    </row>
    <row r="37" spans="1:17" ht="11.25" customHeight="1">
      <c r="A37" s="54"/>
      <c r="B37" s="54"/>
      <c r="C37" s="55"/>
      <c r="D37" s="55"/>
      <c r="E37" s="55"/>
      <c r="F37" s="55"/>
      <c r="G37" s="55"/>
      <c r="H37" s="55"/>
      <c r="I37" s="55"/>
      <c r="J37" s="54"/>
      <c r="K37" s="54"/>
      <c r="L37" s="54"/>
      <c r="M37" s="54"/>
      <c r="N37" s="287"/>
      <c r="O37" s="313"/>
      <c r="P37" s="313"/>
      <c r="Q37" s="313"/>
    </row>
    <row r="38" spans="1:17" ht="11.25" customHeight="1">
      <c r="A38" s="54"/>
      <c r="B38" s="54"/>
      <c r="C38" s="55"/>
      <c r="D38" s="55"/>
      <c r="E38" s="55"/>
      <c r="F38" s="55"/>
      <c r="G38" s="55"/>
      <c r="H38" s="55"/>
      <c r="I38" s="55"/>
      <c r="J38" s="54"/>
      <c r="K38" s="54"/>
      <c r="L38" s="54"/>
      <c r="M38" s="54"/>
      <c r="N38" s="287"/>
      <c r="O38" s="313"/>
      <c r="P38" s="313"/>
      <c r="Q38" s="313"/>
    </row>
    <row r="39" spans="1:17" ht="11.25" customHeight="1">
      <c r="A39" s="54"/>
      <c r="B39" s="54"/>
      <c r="C39" s="55"/>
      <c r="D39" s="55"/>
      <c r="E39" s="55"/>
      <c r="F39" s="55"/>
      <c r="G39" s="55"/>
      <c r="H39" s="55"/>
      <c r="I39" s="55"/>
      <c r="J39" s="54"/>
      <c r="K39" s="54"/>
      <c r="L39" s="54"/>
      <c r="M39" s="54"/>
      <c r="N39" s="287"/>
      <c r="O39" s="313"/>
      <c r="P39" s="313"/>
      <c r="Q39" s="313"/>
    </row>
    <row r="40" spans="1:17" ht="11.25" customHeight="1">
      <c r="A40" s="54"/>
      <c r="B40" s="54"/>
      <c r="C40" s="55"/>
      <c r="D40" s="55"/>
      <c r="E40" s="55"/>
      <c r="F40" s="55"/>
      <c r="G40" s="55"/>
      <c r="H40" s="55"/>
      <c r="I40" s="55"/>
      <c r="J40" s="54"/>
      <c r="K40" s="54"/>
      <c r="L40" s="54"/>
      <c r="M40" s="54"/>
      <c r="N40" s="287"/>
      <c r="O40" s="313"/>
      <c r="P40" s="313"/>
      <c r="Q40" s="313"/>
    </row>
    <row r="41" spans="1:17" ht="11.25" customHeight="1">
      <c r="A41" s="54"/>
      <c r="B41" s="54"/>
      <c r="C41" s="54"/>
      <c r="D41" s="55"/>
      <c r="E41" s="55"/>
      <c r="F41" s="55"/>
      <c r="G41" s="55"/>
      <c r="H41" s="54"/>
      <c r="I41" s="54"/>
      <c r="J41" s="54"/>
      <c r="K41" s="54"/>
      <c r="L41" s="54"/>
      <c r="M41" s="54"/>
      <c r="N41" s="287"/>
      <c r="O41" s="313"/>
      <c r="P41" s="313"/>
      <c r="Q41" s="313"/>
    </row>
    <row r="42" spans="1:17" ht="11.25" customHeight="1">
      <c r="A42" s="54"/>
      <c r="B42" s="54"/>
      <c r="C42" s="55"/>
      <c r="D42" s="55"/>
      <c r="E42" s="55"/>
      <c r="F42" s="55"/>
      <c r="G42" s="55"/>
      <c r="H42" s="55"/>
      <c r="I42" s="55"/>
      <c r="J42" s="54"/>
      <c r="K42" s="54"/>
      <c r="L42" s="54"/>
      <c r="M42" s="54"/>
      <c r="N42" s="287"/>
      <c r="O42" s="313"/>
      <c r="P42" s="313"/>
      <c r="Q42" s="313"/>
    </row>
    <row r="43" spans="1:17" ht="11.25" customHeight="1">
      <c r="A43" s="54"/>
      <c r="B43" s="54"/>
      <c r="C43" s="55"/>
      <c r="D43" s="55"/>
      <c r="E43" s="55"/>
      <c r="F43" s="55"/>
      <c r="G43" s="55"/>
      <c r="H43" s="55"/>
      <c r="I43" s="55"/>
      <c r="J43" s="54"/>
      <c r="K43" s="54"/>
      <c r="L43" s="54"/>
      <c r="M43" s="54"/>
      <c r="N43" s="287"/>
      <c r="O43" s="313"/>
      <c r="P43" s="313"/>
      <c r="Q43" s="313"/>
    </row>
    <row r="44" spans="1:17" ht="11.25" customHeight="1">
      <c r="A44" s="54"/>
      <c r="B44" s="54"/>
      <c r="C44" s="55"/>
      <c r="D44" s="55"/>
      <c r="E44" s="55"/>
      <c r="F44" s="55"/>
      <c r="G44" s="55"/>
      <c r="H44" s="55"/>
      <c r="I44" s="55"/>
      <c r="J44" s="54"/>
      <c r="K44" s="54"/>
      <c r="L44" s="54"/>
      <c r="M44" s="54"/>
      <c r="N44" s="287"/>
      <c r="O44" s="313"/>
      <c r="P44" s="313"/>
      <c r="Q44" s="313"/>
    </row>
    <row r="45" spans="1:17" ht="11.25" customHeight="1">
      <c r="A45" s="54"/>
      <c r="B45" s="54"/>
      <c r="C45" s="55"/>
      <c r="D45" s="55"/>
      <c r="E45" s="55"/>
      <c r="F45" s="55"/>
      <c r="G45" s="55"/>
      <c r="H45" s="55"/>
      <c r="I45" s="55"/>
      <c r="J45" s="54"/>
      <c r="K45" s="54"/>
      <c r="L45" s="54"/>
      <c r="M45" s="54"/>
      <c r="N45" s="287"/>
      <c r="O45" s="313"/>
      <c r="P45" s="313"/>
      <c r="Q45" s="313"/>
    </row>
    <row r="46" spans="1:17" ht="11.25" customHeight="1">
      <c r="A46" s="54"/>
      <c r="B46" s="54"/>
      <c r="C46" s="54"/>
      <c r="D46" s="54"/>
      <c r="E46" s="54"/>
      <c r="F46" s="54"/>
      <c r="G46" s="54"/>
      <c r="H46" s="54"/>
      <c r="I46" s="54"/>
      <c r="J46" s="54"/>
      <c r="K46" s="54"/>
      <c r="L46" s="54"/>
      <c r="M46" s="54"/>
      <c r="N46" s="287"/>
      <c r="O46" s="313"/>
      <c r="P46" s="313"/>
      <c r="Q46" s="313"/>
    </row>
    <row r="47" spans="1:17" ht="16.5" customHeight="1">
      <c r="A47" s="54"/>
      <c r="B47" s="876" t="str">
        <f>"Total = "&amp;TEXT(ROUND(SUM(O23:O29),2),"0 000,00")&amp;" GWh"</f>
        <v>Total = 3 999,06 GWh</v>
      </c>
      <c r="C47" s="876"/>
      <c r="D47" s="876"/>
      <c r="E47" s="876"/>
      <c r="F47" s="54"/>
      <c r="G47" s="54"/>
      <c r="H47" s="875" t="str">
        <f>"Total = "&amp;TEXT(ROUND(SUM(P23:P29),2),"0 000,00")&amp;" GWh"</f>
        <v>Total = 4 589,86 GWh</v>
      </c>
      <c r="I47" s="875"/>
      <c r="J47" s="875"/>
      <c r="K47" s="875"/>
      <c r="L47" s="54"/>
      <c r="M47" s="54"/>
      <c r="N47" s="287"/>
      <c r="O47" s="313"/>
      <c r="P47" s="313"/>
      <c r="Q47" s="313"/>
    </row>
    <row r="48" spans="1:17" ht="11.25" customHeight="1">
      <c r="H48" s="54"/>
      <c r="I48" s="54"/>
      <c r="J48" s="54"/>
      <c r="K48" s="54"/>
      <c r="L48" s="54"/>
      <c r="M48" s="54"/>
      <c r="N48" s="287"/>
      <c r="O48" s="313"/>
      <c r="P48" s="313"/>
      <c r="Q48" s="313"/>
    </row>
    <row r="49" spans="1:17" ht="11.25" customHeight="1">
      <c r="B49" s="874" t="str">
        <f>"Gráfico 1: Comparación de producción mensual de electricidad en "&amp;Q4&amp;" por tipo de recurso energético."</f>
        <v>Gráfico 1: Comparación de producción mensual de electricidad en marzo por tipo de recurso energético.</v>
      </c>
      <c r="C49" s="874"/>
      <c r="D49" s="874"/>
      <c r="E49" s="874"/>
      <c r="F49" s="874"/>
      <c r="G49" s="874"/>
      <c r="H49" s="874"/>
      <c r="I49" s="874"/>
      <c r="J49" s="874"/>
      <c r="K49" s="874"/>
      <c r="L49" s="874"/>
      <c r="M49" s="236"/>
      <c r="N49" s="290"/>
      <c r="O49" s="313"/>
      <c r="P49" s="313"/>
      <c r="Q49" s="313"/>
    </row>
    <row r="50" spans="1:17" ht="11.25" customHeight="1">
      <c r="B50" s="823"/>
      <c r="C50" s="823"/>
      <c r="D50" s="823"/>
      <c r="E50" s="823"/>
      <c r="F50" s="823"/>
      <c r="G50" s="823"/>
      <c r="H50" s="823"/>
      <c r="I50" s="823"/>
      <c r="J50" s="823"/>
      <c r="K50" s="823"/>
      <c r="L50" s="823"/>
      <c r="M50" s="236"/>
      <c r="N50" s="290"/>
      <c r="O50" s="313"/>
      <c r="P50" s="313"/>
      <c r="Q50" s="313"/>
    </row>
    <row r="51" spans="1:17" ht="21.75" customHeight="1">
      <c r="B51" s="871"/>
      <c r="C51" s="872"/>
      <c r="D51" s="872"/>
      <c r="E51" s="872"/>
      <c r="F51" s="872"/>
      <c r="G51" s="872"/>
      <c r="H51" s="872"/>
      <c r="I51" s="872"/>
      <c r="J51" s="872"/>
      <c r="K51" s="872"/>
      <c r="L51" s="872"/>
      <c r="M51" s="872"/>
      <c r="N51" s="290"/>
      <c r="O51" s="313"/>
      <c r="P51" s="313"/>
      <c r="Q51" s="313"/>
    </row>
    <row r="52" spans="1:17" ht="11.25" customHeight="1">
      <c r="A52" s="54"/>
      <c r="B52" s="54"/>
      <c r="C52" s="45"/>
      <c r="D52" s="45"/>
      <c r="E52" s="54"/>
      <c r="F52" s="54"/>
      <c r="G52" s="54"/>
      <c r="H52" s="54"/>
      <c r="I52" s="54"/>
      <c r="J52" s="54"/>
      <c r="K52" s="54"/>
      <c r="L52" s="54"/>
      <c r="M52" s="54"/>
      <c r="N52" s="287"/>
      <c r="O52" s="313"/>
      <c r="P52" s="313"/>
      <c r="Q52" s="313"/>
    </row>
    <row r="53" spans="1:17" ht="11.25" customHeight="1">
      <c r="A53" s="54"/>
      <c r="B53" s="54"/>
      <c r="C53" s="54"/>
      <c r="D53" s="54"/>
      <c r="E53" s="54"/>
      <c r="F53" s="54"/>
      <c r="G53" s="54"/>
      <c r="H53" s="54"/>
      <c r="I53" s="54"/>
      <c r="J53" s="54"/>
      <c r="K53" s="54"/>
      <c r="L53" s="54"/>
      <c r="M53" s="54"/>
      <c r="N53" s="287"/>
      <c r="O53" s="313"/>
      <c r="P53" s="313"/>
      <c r="Q53" s="313"/>
    </row>
    <row r="54" spans="1:17" ht="11.25" customHeight="1">
      <c r="A54" s="54"/>
      <c r="B54" s="54"/>
      <c r="C54" s="54"/>
      <c r="D54" s="54"/>
      <c r="E54" s="54"/>
      <c r="F54" s="54"/>
      <c r="G54" s="54"/>
      <c r="H54" s="54"/>
      <c r="I54" s="54"/>
      <c r="J54" s="54"/>
      <c r="K54" s="54"/>
      <c r="L54" s="54"/>
      <c r="M54" s="54"/>
      <c r="N54" s="287"/>
      <c r="O54" s="313"/>
      <c r="P54" s="313"/>
      <c r="Q54" s="313"/>
    </row>
    <row r="55" spans="1:17" ht="11.25" customHeight="1">
      <c r="A55" s="54"/>
      <c r="B55" s="54"/>
      <c r="C55" s="54"/>
      <c r="D55" s="54"/>
      <c r="E55" s="54"/>
      <c r="F55" s="54"/>
      <c r="G55" s="54"/>
      <c r="H55" s="54"/>
      <c r="I55" s="54"/>
      <c r="J55" s="54"/>
      <c r="K55" s="54"/>
      <c r="L55" s="54"/>
      <c r="M55" s="54"/>
      <c r="N55" s="287"/>
      <c r="O55" s="313"/>
      <c r="P55" s="313"/>
      <c r="Q55" s="31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Mensual-Marzo 2020
INFSGI-MES-03-2020
14/04/2020
Versión: 01</oddHeader>
    <oddFooter>&amp;LCOES, 2020&amp;C1&amp;RDirección Ejecutiva
Sub Dirección de Gestión de Información</oddFooter>
  </headerFooter>
  <ignoredErrors>
    <ignoredError sqref="C47:G47 I47:K47"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15" zoomScaleNormal="100" zoomScaleSheetLayoutView="115" zoomScalePageLayoutView="140" workbookViewId="0">
      <selection activeCell="R40" sqref="R40"/>
    </sheetView>
  </sheetViews>
  <sheetFormatPr baseColWidth="10"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275</v>
      </c>
      <c r="B1" s="277"/>
      <c r="C1" s="277"/>
      <c r="D1" s="277"/>
      <c r="E1" s="277"/>
      <c r="F1" s="277"/>
      <c r="G1" s="277"/>
    </row>
    <row r="2" spans="1:8" ht="14.25" customHeight="1">
      <c r="A2" s="970" t="s">
        <v>250</v>
      </c>
      <c r="B2" s="973" t="s">
        <v>54</v>
      </c>
      <c r="C2" s="976" t="str">
        <f>"ENERGÍA PRODUCIDA "&amp;UPPER('1. Resumen'!Q4)&amp;" "&amp;'1. Resumen'!Q5</f>
        <v>ENERGÍA PRODUCIDA MARZO 2020</v>
      </c>
      <c r="D2" s="976"/>
      <c r="E2" s="976"/>
      <c r="F2" s="976"/>
      <c r="G2" s="638" t="s">
        <v>276</v>
      </c>
      <c r="H2" s="203"/>
    </row>
    <row r="3" spans="1:8" ht="11.25" customHeight="1">
      <c r="A3" s="971"/>
      <c r="B3" s="974"/>
      <c r="C3" s="977" t="s">
        <v>277</v>
      </c>
      <c r="D3" s="977"/>
      <c r="E3" s="977"/>
      <c r="F3" s="978" t="str">
        <f>"TOTAL 
"&amp;UPPER('1. Resumen'!Q4)</f>
        <v>TOTAL 
MARZO</v>
      </c>
      <c r="G3" s="639" t="s">
        <v>278</v>
      </c>
      <c r="H3" s="194"/>
    </row>
    <row r="4" spans="1:8" ht="12.75" customHeight="1">
      <c r="A4" s="971"/>
      <c r="B4" s="974"/>
      <c r="C4" s="630" t="s">
        <v>215</v>
      </c>
      <c r="D4" s="630" t="s">
        <v>216</v>
      </c>
      <c r="E4" s="630" t="s">
        <v>279</v>
      </c>
      <c r="F4" s="979"/>
      <c r="G4" s="639">
        <v>2020</v>
      </c>
      <c r="H4" s="196"/>
    </row>
    <row r="5" spans="1:8" ht="11.25" customHeight="1">
      <c r="A5" s="972"/>
      <c r="B5" s="975"/>
      <c r="C5" s="631" t="s">
        <v>280</v>
      </c>
      <c r="D5" s="631" t="s">
        <v>280</v>
      </c>
      <c r="E5" s="631" t="s">
        <v>280</v>
      </c>
      <c r="F5" s="631" t="s">
        <v>280</v>
      </c>
      <c r="G5" s="640" t="s">
        <v>208</v>
      </c>
      <c r="H5" s="196"/>
    </row>
    <row r="6" spans="1:8" ht="9.75" customHeight="1">
      <c r="A6" s="702" t="s">
        <v>121</v>
      </c>
      <c r="B6" s="441" t="s">
        <v>86</v>
      </c>
      <c r="C6" s="442"/>
      <c r="D6" s="442"/>
      <c r="E6" s="442">
        <v>0</v>
      </c>
      <c r="F6" s="442">
        <v>0</v>
      </c>
      <c r="G6" s="698">
        <v>0</v>
      </c>
      <c r="H6" s="196"/>
    </row>
    <row r="7" spans="1:8" ht="9.75" customHeight="1">
      <c r="A7" s="683" t="s">
        <v>624</v>
      </c>
      <c r="B7" s="518"/>
      <c r="C7" s="519"/>
      <c r="D7" s="519"/>
      <c r="E7" s="519">
        <v>0</v>
      </c>
      <c r="F7" s="519">
        <v>0</v>
      </c>
      <c r="G7" s="687">
        <v>0</v>
      </c>
      <c r="H7" s="196"/>
    </row>
    <row r="8" spans="1:8" ht="9.75" customHeight="1">
      <c r="A8" s="702" t="s">
        <v>120</v>
      </c>
      <c r="B8" s="441" t="s">
        <v>63</v>
      </c>
      <c r="C8" s="442"/>
      <c r="D8" s="442"/>
      <c r="E8" s="442">
        <v>14223.4413475</v>
      </c>
      <c r="F8" s="442">
        <v>14223.4413475</v>
      </c>
      <c r="G8" s="698">
        <v>40398.0093375</v>
      </c>
      <c r="H8" s="196"/>
    </row>
    <row r="9" spans="1:8" ht="9.75" customHeight="1">
      <c r="A9" s="683" t="s">
        <v>625</v>
      </c>
      <c r="B9" s="518"/>
      <c r="C9" s="519"/>
      <c r="D9" s="519"/>
      <c r="E9" s="519">
        <v>14223.4413475</v>
      </c>
      <c r="F9" s="519">
        <v>14223.4413475</v>
      </c>
      <c r="G9" s="687">
        <v>40398.0093375</v>
      </c>
      <c r="H9" s="196"/>
    </row>
    <row r="10" spans="1:8" ht="9.75" customHeight="1">
      <c r="A10" s="681" t="s">
        <v>106</v>
      </c>
      <c r="B10" s="633" t="s">
        <v>83</v>
      </c>
      <c r="C10" s="634"/>
      <c r="D10" s="634"/>
      <c r="E10" s="634">
        <v>6556.9284575000001</v>
      </c>
      <c r="F10" s="634">
        <v>6556.9284575000001</v>
      </c>
      <c r="G10" s="686">
        <v>19038.024657499998</v>
      </c>
      <c r="H10" s="196"/>
    </row>
    <row r="11" spans="1:8" ht="9.75" customHeight="1">
      <c r="A11" s="683" t="s">
        <v>626</v>
      </c>
      <c r="B11" s="518"/>
      <c r="C11" s="519"/>
      <c r="D11" s="519"/>
      <c r="E11" s="519">
        <v>6556.9284575000001</v>
      </c>
      <c r="F11" s="519">
        <v>6556.9284575000001</v>
      </c>
      <c r="G11" s="687">
        <v>19038.024657499998</v>
      </c>
      <c r="H11" s="196"/>
    </row>
    <row r="12" spans="1:8" ht="9.75" customHeight="1">
      <c r="A12" s="681" t="s">
        <v>422</v>
      </c>
      <c r="B12" s="633" t="s">
        <v>424</v>
      </c>
      <c r="C12" s="634"/>
      <c r="D12" s="634"/>
      <c r="E12" s="634">
        <v>11069.9511325</v>
      </c>
      <c r="F12" s="634">
        <v>11069.9511325</v>
      </c>
      <c r="G12" s="686">
        <v>29837.429517500001</v>
      </c>
      <c r="H12" s="196"/>
    </row>
    <row r="13" spans="1:8" ht="9.75" customHeight="1">
      <c r="A13" s="683" t="s">
        <v>627</v>
      </c>
      <c r="B13" s="518"/>
      <c r="C13" s="519"/>
      <c r="D13" s="519"/>
      <c r="E13" s="519">
        <v>11069.9511325</v>
      </c>
      <c r="F13" s="519">
        <v>11069.9511325</v>
      </c>
      <c r="G13" s="687">
        <v>29837.429517500001</v>
      </c>
      <c r="H13" s="196"/>
    </row>
    <row r="14" spans="1:8" s="741" customFormat="1" ht="9.75" customHeight="1">
      <c r="A14" s="681" t="s">
        <v>477</v>
      </c>
      <c r="B14" s="633" t="s">
        <v>485</v>
      </c>
      <c r="C14" s="634"/>
      <c r="D14" s="634"/>
      <c r="E14" s="634">
        <v>6087.7739999999994</v>
      </c>
      <c r="F14" s="634">
        <v>6087.7739999999994</v>
      </c>
      <c r="G14" s="686">
        <v>17941.695877499998</v>
      </c>
      <c r="H14" s="196"/>
    </row>
    <row r="15" spans="1:8" s="741" customFormat="1" ht="13.5" customHeight="1">
      <c r="A15" s="755" t="s">
        <v>628</v>
      </c>
      <c r="B15" s="518"/>
      <c r="C15" s="519"/>
      <c r="D15" s="519"/>
      <c r="E15" s="519">
        <v>6087.7739999999994</v>
      </c>
      <c r="F15" s="519">
        <v>6087.7739999999994</v>
      </c>
      <c r="G15" s="687">
        <v>17941.695877499998</v>
      </c>
      <c r="H15" s="196"/>
    </row>
    <row r="16" spans="1:8" ht="9.75" customHeight="1">
      <c r="A16" s="681" t="s">
        <v>94</v>
      </c>
      <c r="B16" s="633" t="s">
        <v>281</v>
      </c>
      <c r="C16" s="634">
        <v>148918.54442749999</v>
      </c>
      <c r="D16" s="634"/>
      <c r="E16" s="634"/>
      <c r="F16" s="634">
        <v>148918.54442749999</v>
      </c>
      <c r="G16" s="686">
        <v>432835.445725</v>
      </c>
      <c r="H16" s="196"/>
    </row>
    <row r="17" spans="1:8" ht="9.75" customHeight="1">
      <c r="A17" s="683" t="s">
        <v>629</v>
      </c>
      <c r="B17" s="518"/>
      <c r="C17" s="519">
        <v>148918.54442749999</v>
      </c>
      <c r="D17" s="519"/>
      <c r="E17" s="519"/>
      <c r="F17" s="519">
        <v>148918.54442749999</v>
      </c>
      <c r="G17" s="687">
        <v>432835.445725</v>
      </c>
      <c r="H17" s="196"/>
    </row>
    <row r="18" spans="1:8" ht="10.5" customHeight="1">
      <c r="A18" s="681" t="s">
        <v>236</v>
      </c>
      <c r="B18" s="633" t="s">
        <v>282</v>
      </c>
      <c r="C18" s="634"/>
      <c r="D18" s="634">
        <v>0</v>
      </c>
      <c r="E18" s="634"/>
      <c r="F18" s="634">
        <v>0</v>
      </c>
      <c r="G18" s="686">
        <v>378.28250250000002</v>
      </c>
      <c r="H18" s="196"/>
    </row>
    <row r="19" spans="1:8" ht="10.5" customHeight="1">
      <c r="A19" s="683" t="s">
        <v>630</v>
      </c>
      <c r="B19" s="518"/>
      <c r="C19" s="519"/>
      <c r="D19" s="519">
        <v>0</v>
      </c>
      <c r="E19" s="519"/>
      <c r="F19" s="519">
        <v>0</v>
      </c>
      <c r="G19" s="687">
        <v>378.28250250000002</v>
      </c>
      <c r="H19" s="196"/>
    </row>
    <row r="20" spans="1:8" ht="9.75" customHeight="1">
      <c r="A20" s="681" t="s">
        <v>93</v>
      </c>
      <c r="B20" s="633" t="s">
        <v>283</v>
      </c>
      <c r="C20" s="634">
        <v>91644.335622500003</v>
      </c>
      <c r="D20" s="634"/>
      <c r="E20" s="634"/>
      <c r="F20" s="634">
        <v>91644.335622500003</v>
      </c>
      <c r="G20" s="686">
        <v>287018.99472250004</v>
      </c>
      <c r="H20" s="196"/>
    </row>
    <row r="21" spans="1:8" ht="9.75" customHeight="1">
      <c r="A21" s="681"/>
      <c r="B21" s="633" t="s">
        <v>284</v>
      </c>
      <c r="C21" s="634">
        <v>29592.458577500001</v>
      </c>
      <c r="D21" s="634"/>
      <c r="E21" s="634"/>
      <c r="F21" s="634">
        <v>29592.458577500001</v>
      </c>
      <c r="G21" s="686">
        <v>84230.856267499999</v>
      </c>
      <c r="H21" s="196"/>
    </row>
    <row r="22" spans="1:8" ht="9.75" customHeight="1">
      <c r="A22" s="683" t="s">
        <v>631</v>
      </c>
      <c r="B22" s="518"/>
      <c r="C22" s="519">
        <v>121236.7942</v>
      </c>
      <c r="D22" s="519"/>
      <c r="E22" s="519"/>
      <c r="F22" s="519">
        <v>121236.7942</v>
      </c>
      <c r="G22" s="687">
        <v>371249.85099000006</v>
      </c>
      <c r="H22" s="196"/>
    </row>
    <row r="23" spans="1:8" ht="9.75" customHeight="1">
      <c r="A23" s="681" t="s">
        <v>91</v>
      </c>
      <c r="B23" s="633" t="s">
        <v>285</v>
      </c>
      <c r="C23" s="634">
        <v>1199.42713</v>
      </c>
      <c r="D23" s="634"/>
      <c r="E23" s="634"/>
      <c r="F23" s="634">
        <v>1199.42713</v>
      </c>
      <c r="G23" s="686">
        <v>3525.602535</v>
      </c>
      <c r="H23" s="196"/>
    </row>
    <row r="24" spans="1:8" ht="9.75" customHeight="1">
      <c r="A24" s="681"/>
      <c r="B24" s="633" t="s">
        <v>286</v>
      </c>
      <c r="C24" s="634">
        <v>409.99540750000006</v>
      </c>
      <c r="D24" s="634"/>
      <c r="E24" s="634"/>
      <c r="F24" s="634">
        <v>409.99540750000006</v>
      </c>
      <c r="G24" s="686">
        <v>1142.7683000000002</v>
      </c>
      <c r="H24" s="196"/>
    </row>
    <row r="25" spans="1:8" ht="9.75" customHeight="1">
      <c r="A25" s="681"/>
      <c r="B25" s="633" t="s">
        <v>287</v>
      </c>
      <c r="C25" s="634">
        <v>3495.4100374999998</v>
      </c>
      <c r="D25" s="634"/>
      <c r="E25" s="634"/>
      <c r="F25" s="634">
        <v>3495.4100374999998</v>
      </c>
      <c r="G25" s="686">
        <v>10127.200105</v>
      </c>
      <c r="H25" s="196"/>
    </row>
    <row r="26" spans="1:8" ht="9.75" customHeight="1">
      <c r="A26" s="681"/>
      <c r="B26" s="633" t="s">
        <v>288</v>
      </c>
      <c r="C26" s="634">
        <v>10412.7510275</v>
      </c>
      <c r="D26" s="634"/>
      <c r="E26" s="634"/>
      <c r="F26" s="634">
        <v>10412.7510275</v>
      </c>
      <c r="G26" s="686">
        <v>30281.045569999998</v>
      </c>
      <c r="H26" s="196"/>
    </row>
    <row r="27" spans="1:8" ht="9.75" customHeight="1">
      <c r="A27" s="681"/>
      <c r="B27" s="633" t="s">
        <v>289</v>
      </c>
      <c r="C27" s="634">
        <v>104794.89001999999</v>
      </c>
      <c r="D27" s="634"/>
      <c r="E27" s="634"/>
      <c r="F27" s="634">
        <v>104794.89001999999</v>
      </c>
      <c r="G27" s="686">
        <v>260070.82502749999</v>
      </c>
      <c r="H27" s="196"/>
    </row>
    <row r="28" spans="1:8" ht="9.75" customHeight="1">
      <c r="A28" s="681"/>
      <c r="B28" s="633" t="s">
        <v>290</v>
      </c>
      <c r="C28" s="634">
        <v>6466.5226000000002</v>
      </c>
      <c r="D28" s="634"/>
      <c r="E28" s="634"/>
      <c r="F28" s="634">
        <v>6466.5226000000002</v>
      </c>
      <c r="G28" s="686">
        <v>16910.395645000001</v>
      </c>
      <c r="H28" s="196"/>
    </row>
    <row r="29" spans="1:8" ht="9.75" customHeight="1">
      <c r="A29" s="681"/>
      <c r="B29" s="633" t="s">
        <v>291</v>
      </c>
      <c r="C29" s="634"/>
      <c r="D29" s="634">
        <v>0</v>
      </c>
      <c r="E29" s="634"/>
      <c r="F29" s="634">
        <v>0</v>
      </c>
      <c r="G29" s="686">
        <v>36.298725000000005</v>
      </c>
      <c r="H29" s="196"/>
    </row>
    <row r="30" spans="1:8" ht="9.75" customHeight="1">
      <c r="A30" s="681"/>
      <c r="B30" s="633" t="s">
        <v>292</v>
      </c>
      <c r="C30" s="634"/>
      <c r="D30" s="634">
        <v>0.93851499999999999</v>
      </c>
      <c r="E30" s="634"/>
      <c r="F30" s="634">
        <v>0.93851499999999999</v>
      </c>
      <c r="G30" s="686">
        <v>27.670629999999996</v>
      </c>
      <c r="H30" s="196"/>
    </row>
    <row r="31" spans="1:8" ht="9.75" customHeight="1">
      <c r="A31" s="681"/>
      <c r="B31" s="633" t="s">
        <v>293</v>
      </c>
      <c r="C31" s="634"/>
      <c r="D31" s="634">
        <v>0</v>
      </c>
      <c r="E31" s="634"/>
      <c r="F31" s="634">
        <v>0</v>
      </c>
      <c r="G31" s="686">
        <v>0</v>
      </c>
      <c r="H31" s="196"/>
    </row>
    <row r="32" spans="1:8" ht="9.75" customHeight="1">
      <c r="A32" s="683" t="s">
        <v>632</v>
      </c>
      <c r="B32" s="518"/>
      <c r="C32" s="519">
        <v>126778.99622249999</v>
      </c>
      <c r="D32" s="519">
        <v>0.93851499999999999</v>
      </c>
      <c r="E32" s="519"/>
      <c r="F32" s="519">
        <v>126779.93473749999</v>
      </c>
      <c r="G32" s="687">
        <v>322121.8065375</v>
      </c>
      <c r="H32" s="196"/>
    </row>
    <row r="33" spans="1:8" ht="9.75" customHeight="1">
      <c r="A33" s="681" t="s">
        <v>114</v>
      </c>
      <c r="B33" s="633" t="s">
        <v>70</v>
      </c>
      <c r="C33" s="634"/>
      <c r="D33" s="634"/>
      <c r="E33" s="634">
        <v>3593.1083225000002</v>
      </c>
      <c r="F33" s="634">
        <v>3593.1083225000002</v>
      </c>
      <c r="G33" s="686">
        <v>9461.8168775000013</v>
      </c>
      <c r="H33" s="196"/>
    </row>
    <row r="34" spans="1:8" ht="9.75" customHeight="1">
      <c r="A34" s="683" t="s">
        <v>633</v>
      </c>
      <c r="B34" s="518"/>
      <c r="C34" s="519"/>
      <c r="D34" s="519"/>
      <c r="E34" s="519">
        <v>3593.1083225000002</v>
      </c>
      <c r="F34" s="519">
        <v>3593.1083225000002</v>
      </c>
      <c r="G34" s="687">
        <v>9461.8168775000013</v>
      </c>
      <c r="H34" s="196"/>
    </row>
    <row r="35" spans="1:8" ht="9.75" customHeight="1">
      <c r="A35" s="681" t="s">
        <v>92</v>
      </c>
      <c r="B35" s="633" t="s">
        <v>294</v>
      </c>
      <c r="C35" s="634">
        <v>92068.668492500001</v>
      </c>
      <c r="D35" s="634"/>
      <c r="E35" s="634"/>
      <c r="F35" s="634">
        <v>92068.668492500001</v>
      </c>
      <c r="G35" s="686">
        <v>319946.12662</v>
      </c>
      <c r="H35" s="196"/>
    </row>
    <row r="36" spans="1:8" ht="9.75" customHeight="1">
      <c r="A36" s="683" t="s">
        <v>634</v>
      </c>
      <c r="B36" s="518"/>
      <c r="C36" s="519">
        <v>92068.668492500001</v>
      </c>
      <c r="D36" s="519"/>
      <c r="E36" s="519"/>
      <c r="F36" s="519">
        <v>92068.668492500001</v>
      </c>
      <c r="G36" s="687">
        <v>319946.12662</v>
      </c>
      <c r="H36" s="196"/>
    </row>
    <row r="37" spans="1:8" ht="9.75" customHeight="1">
      <c r="A37" s="681" t="s">
        <v>101</v>
      </c>
      <c r="B37" s="633" t="s">
        <v>295</v>
      </c>
      <c r="C37" s="634">
        <v>5541.9960000000001</v>
      </c>
      <c r="D37" s="634"/>
      <c r="E37" s="634"/>
      <c r="F37" s="634">
        <v>5541.9960000000001</v>
      </c>
      <c r="G37" s="686">
        <v>16015.313999999998</v>
      </c>
      <c r="H37" s="196"/>
    </row>
    <row r="38" spans="1:8" ht="9.75" customHeight="1">
      <c r="A38" s="681"/>
      <c r="B38" s="633" t="s">
        <v>296</v>
      </c>
      <c r="C38" s="634">
        <v>3422.7224999999999</v>
      </c>
      <c r="D38" s="634"/>
      <c r="E38" s="634"/>
      <c r="F38" s="634">
        <v>3422.7224999999999</v>
      </c>
      <c r="G38" s="686">
        <v>10187.001</v>
      </c>
      <c r="H38" s="196"/>
    </row>
    <row r="39" spans="1:8" ht="9.75" customHeight="1">
      <c r="A39" s="681"/>
      <c r="B39" s="633" t="s">
        <v>297</v>
      </c>
      <c r="C39" s="634"/>
      <c r="D39" s="634">
        <v>1471.864675</v>
      </c>
      <c r="E39" s="634"/>
      <c r="F39" s="634">
        <v>1471.864675</v>
      </c>
      <c r="G39" s="686">
        <v>8740.3592124999996</v>
      </c>
      <c r="H39" s="196"/>
    </row>
    <row r="40" spans="1:8" ht="9.75" customHeight="1">
      <c r="A40" s="683" t="s">
        <v>635</v>
      </c>
      <c r="B40" s="518"/>
      <c r="C40" s="519">
        <v>8964.718499999999</v>
      </c>
      <c r="D40" s="519">
        <v>1471.864675</v>
      </c>
      <c r="E40" s="519"/>
      <c r="F40" s="519">
        <v>10436.583175</v>
      </c>
      <c r="G40" s="687">
        <v>34942.674212500002</v>
      </c>
      <c r="H40" s="196"/>
    </row>
    <row r="41" spans="1:8" ht="19.5" customHeight="1">
      <c r="A41" s="695" t="s">
        <v>460</v>
      </c>
      <c r="B41" s="633" t="s">
        <v>75</v>
      </c>
      <c r="C41" s="634"/>
      <c r="D41" s="634"/>
      <c r="E41" s="634">
        <v>612.46642750000001</v>
      </c>
      <c r="F41" s="634">
        <v>612.46642750000001</v>
      </c>
      <c r="G41" s="686">
        <v>1411.7071249999999</v>
      </c>
      <c r="H41" s="196"/>
    </row>
    <row r="42" spans="1:8" ht="20.25" customHeight="1">
      <c r="A42" s="755" t="s">
        <v>636</v>
      </c>
      <c r="B42" s="518"/>
      <c r="C42" s="519"/>
      <c r="D42" s="519"/>
      <c r="E42" s="519">
        <v>612.46642750000001</v>
      </c>
      <c r="F42" s="519">
        <v>612.46642750000001</v>
      </c>
      <c r="G42" s="687">
        <v>1411.7071249999999</v>
      </c>
      <c r="H42" s="196"/>
    </row>
    <row r="43" spans="1:8" ht="9.75" customHeight="1">
      <c r="A43" s="681" t="s">
        <v>115</v>
      </c>
      <c r="B43" s="633" t="s">
        <v>73</v>
      </c>
      <c r="C43" s="634"/>
      <c r="D43" s="634"/>
      <c r="E43" s="634">
        <v>2640.3305500000001</v>
      </c>
      <c r="F43" s="634">
        <v>2640.3305500000001</v>
      </c>
      <c r="G43" s="686">
        <v>7598.2177950000005</v>
      </c>
      <c r="H43" s="196"/>
    </row>
    <row r="44" spans="1:8" ht="9.75" customHeight="1">
      <c r="A44" s="683" t="s">
        <v>637</v>
      </c>
      <c r="B44" s="518"/>
      <c r="C44" s="519"/>
      <c r="D44" s="519"/>
      <c r="E44" s="519">
        <v>2640.3305500000001</v>
      </c>
      <c r="F44" s="519">
        <v>2640.3305500000001</v>
      </c>
      <c r="G44" s="687">
        <v>7598.2177950000005</v>
      </c>
      <c r="H44" s="196"/>
    </row>
    <row r="45" spans="1:8" ht="9.75" customHeight="1">
      <c r="A45" s="681" t="s">
        <v>425</v>
      </c>
      <c r="B45" s="633" t="s">
        <v>428</v>
      </c>
      <c r="C45" s="634"/>
      <c r="D45" s="634"/>
      <c r="E45" s="634">
        <v>7229.9754350000003</v>
      </c>
      <c r="F45" s="634">
        <v>7229.9754350000003</v>
      </c>
      <c r="G45" s="686">
        <v>20534.360619999999</v>
      </c>
      <c r="H45" s="196"/>
    </row>
    <row r="46" spans="1:8" ht="9.75" customHeight="1">
      <c r="A46" s="683" t="s">
        <v>638</v>
      </c>
      <c r="B46" s="518"/>
      <c r="C46" s="519"/>
      <c r="D46" s="519"/>
      <c r="E46" s="519">
        <v>7229.9754350000003</v>
      </c>
      <c r="F46" s="519">
        <v>7229.9754350000003</v>
      </c>
      <c r="G46" s="687">
        <v>20534.360619999999</v>
      </c>
      <c r="H46" s="196"/>
    </row>
    <row r="47" spans="1:8" ht="9.75" customHeight="1">
      <c r="A47" s="681" t="s">
        <v>89</v>
      </c>
      <c r="B47" s="633" t="s">
        <v>298</v>
      </c>
      <c r="C47" s="634">
        <v>436447.5906</v>
      </c>
      <c r="D47" s="634"/>
      <c r="E47" s="634"/>
      <c r="F47" s="634">
        <v>436447.5906</v>
      </c>
      <c r="G47" s="686">
        <v>1320718.0704000001</v>
      </c>
      <c r="H47" s="196"/>
    </row>
    <row r="48" spans="1:8" ht="9.75" customHeight="1">
      <c r="A48" s="681"/>
      <c r="B48" s="633" t="s">
        <v>299</v>
      </c>
      <c r="C48" s="634">
        <v>141838.30992000003</v>
      </c>
      <c r="D48" s="634"/>
      <c r="E48" s="634"/>
      <c r="F48" s="634">
        <v>141838.30992000003</v>
      </c>
      <c r="G48" s="686">
        <v>427057.40544000006</v>
      </c>
      <c r="H48" s="196"/>
    </row>
    <row r="49" spans="1:8" ht="9.75" customHeight="1">
      <c r="A49" s="681"/>
      <c r="B49" s="633" t="s">
        <v>300</v>
      </c>
      <c r="C49" s="634"/>
      <c r="D49" s="634">
        <v>0</v>
      </c>
      <c r="E49" s="634"/>
      <c r="F49" s="634">
        <v>0</v>
      </c>
      <c r="G49" s="686">
        <v>0</v>
      </c>
      <c r="H49" s="196"/>
    </row>
    <row r="50" spans="1:8" ht="9.75" customHeight="1">
      <c r="A50" s="683" t="s">
        <v>639</v>
      </c>
      <c r="B50" s="518"/>
      <c r="C50" s="519">
        <v>578285.90052000002</v>
      </c>
      <c r="D50" s="519">
        <v>0</v>
      </c>
      <c r="E50" s="519"/>
      <c r="F50" s="519">
        <v>578285.90052000002</v>
      </c>
      <c r="G50" s="687">
        <v>1747775.4758400002</v>
      </c>
      <c r="H50" s="196"/>
    </row>
    <row r="51" spans="1:8" ht="9.75" customHeight="1">
      <c r="A51" s="681" t="s">
        <v>237</v>
      </c>
      <c r="B51" s="633" t="s">
        <v>301</v>
      </c>
      <c r="C51" s="634">
        <v>253541.73488250002</v>
      </c>
      <c r="D51" s="634"/>
      <c r="E51" s="634"/>
      <c r="F51" s="634">
        <v>253541.73488250002</v>
      </c>
      <c r="G51" s="686">
        <v>895443.55837249989</v>
      </c>
      <c r="H51" s="196"/>
    </row>
    <row r="52" spans="1:8" ht="9.75" customHeight="1">
      <c r="A52" s="681"/>
      <c r="B52" s="633" t="s">
        <v>302</v>
      </c>
      <c r="C52" s="634">
        <v>4511.7399400000004</v>
      </c>
      <c r="D52" s="634"/>
      <c r="E52" s="634"/>
      <c r="F52" s="634">
        <v>4511.7399400000004</v>
      </c>
      <c r="G52" s="686">
        <v>13728.9806025</v>
      </c>
      <c r="H52" s="196"/>
    </row>
    <row r="53" spans="1:8" ht="9.75" customHeight="1">
      <c r="A53" s="683" t="s">
        <v>640</v>
      </c>
      <c r="B53" s="518"/>
      <c r="C53" s="519">
        <v>258053.47482250002</v>
      </c>
      <c r="D53" s="519"/>
      <c r="E53" s="519"/>
      <c r="F53" s="519">
        <v>258053.47482250002</v>
      </c>
      <c r="G53" s="687">
        <v>909172.53897499992</v>
      </c>
      <c r="H53" s="196"/>
    </row>
    <row r="54" spans="1:8" ht="9.75" customHeight="1">
      <c r="A54" s="681" t="s">
        <v>238</v>
      </c>
      <c r="B54" s="633" t="s">
        <v>303</v>
      </c>
      <c r="C54" s="634">
        <v>33638.413860000001</v>
      </c>
      <c r="D54" s="634"/>
      <c r="E54" s="634"/>
      <c r="F54" s="634">
        <v>33638.413860000001</v>
      </c>
      <c r="G54" s="686">
        <v>91743.440537499991</v>
      </c>
      <c r="H54" s="196"/>
    </row>
    <row r="55" spans="1:8" ht="9.75" customHeight="1">
      <c r="A55" s="683" t="s">
        <v>641</v>
      </c>
      <c r="B55" s="518"/>
      <c r="C55" s="519">
        <v>33638.413860000001</v>
      </c>
      <c r="D55" s="519"/>
      <c r="E55" s="519"/>
      <c r="F55" s="519">
        <v>33638.413860000001</v>
      </c>
      <c r="G55" s="687">
        <v>91743.440537499991</v>
      </c>
      <c r="H55" s="111"/>
    </row>
    <row r="56" spans="1:8" ht="16.5">
      <c r="A56" s="685" t="s">
        <v>465</v>
      </c>
      <c r="B56" s="633" t="s">
        <v>65</v>
      </c>
      <c r="C56" s="634"/>
      <c r="D56" s="634"/>
      <c r="E56" s="634">
        <v>6955.0761924999997</v>
      </c>
      <c r="F56" s="634">
        <v>6955.0761924999997</v>
      </c>
      <c r="G56" s="686">
        <v>20437.250670000001</v>
      </c>
      <c r="H56" s="111"/>
    </row>
    <row r="57" spans="1:8" ht="9.75" customHeight="1">
      <c r="A57" s="681"/>
      <c r="B57" s="633" t="s">
        <v>64</v>
      </c>
      <c r="C57" s="634"/>
      <c r="D57" s="634"/>
      <c r="E57" s="634">
        <v>7153.9316175000004</v>
      </c>
      <c r="F57" s="634">
        <v>7153.9316175000004</v>
      </c>
      <c r="G57" s="686">
        <v>21033.76885</v>
      </c>
      <c r="H57" s="111"/>
    </row>
    <row r="58" spans="1:8" s="741" customFormat="1" ht="9.75" customHeight="1">
      <c r="A58" s="681"/>
      <c r="B58" s="633" t="s">
        <v>60</v>
      </c>
      <c r="C58" s="634"/>
      <c r="D58" s="634"/>
      <c r="E58" s="634">
        <v>13215.029607500001</v>
      </c>
      <c r="F58" s="634">
        <v>13215.029607500001</v>
      </c>
      <c r="G58" s="686">
        <v>38277.288102500002</v>
      </c>
      <c r="H58" s="111"/>
    </row>
    <row r="59" spans="1:8" s="741" customFormat="1" ht="9.75" customHeight="1">
      <c r="A59" s="681"/>
      <c r="B59" s="633" t="s">
        <v>57</v>
      </c>
      <c r="C59" s="634"/>
      <c r="D59" s="634"/>
      <c r="E59" s="634">
        <v>14848.510195000001</v>
      </c>
      <c r="F59" s="634">
        <v>14848.510195000001</v>
      </c>
      <c r="G59" s="686">
        <v>43526.069124999995</v>
      </c>
      <c r="H59" s="111"/>
    </row>
    <row r="60" spans="1:8" s="741" customFormat="1" ht="9.75" customHeight="1">
      <c r="A60" s="681"/>
      <c r="B60" s="633" t="s">
        <v>68</v>
      </c>
      <c r="C60" s="634"/>
      <c r="D60" s="634"/>
      <c r="E60" s="634">
        <v>3828.8731775000001</v>
      </c>
      <c r="F60" s="634">
        <v>3828.8731775000001</v>
      </c>
      <c r="G60" s="686">
        <v>11796.879134999999</v>
      </c>
      <c r="H60" s="111"/>
    </row>
    <row r="61" spans="1:8" s="741" customFormat="1" ht="9.75" customHeight="1">
      <c r="A61" s="681"/>
      <c r="B61" s="633" t="s">
        <v>67</v>
      </c>
      <c r="C61" s="634"/>
      <c r="D61" s="634"/>
      <c r="E61" s="634">
        <v>4151.8005224999997</v>
      </c>
      <c r="F61" s="634">
        <v>4151.8005224999997</v>
      </c>
      <c r="G61" s="686">
        <v>12965.2682375</v>
      </c>
      <c r="H61" s="111"/>
    </row>
    <row r="62" spans="1:8">
      <c r="A62" s="803" t="s">
        <v>642</v>
      </c>
      <c r="B62" s="518"/>
      <c r="C62" s="519"/>
      <c r="D62" s="519"/>
      <c r="E62" s="519">
        <v>50153.221312499998</v>
      </c>
      <c r="F62" s="519">
        <v>50153.221312499998</v>
      </c>
      <c r="G62" s="519">
        <v>148036.52412000002</v>
      </c>
      <c r="H62" s="111"/>
    </row>
    <row r="63" spans="1:8" ht="9.75" customHeight="1">
      <c r="A63" s="681" t="s">
        <v>88</v>
      </c>
      <c r="B63" s="633" t="s">
        <v>486</v>
      </c>
      <c r="C63" s="634">
        <v>57829.609527499997</v>
      </c>
      <c r="D63" s="634"/>
      <c r="E63" s="634"/>
      <c r="F63" s="634">
        <v>57829.609527499997</v>
      </c>
      <c r="G63" s="686">
        <v>166816.0726625</v>
      </c>
      <c r="H63" s="111"/>
    </row>
    <row r="64" spans="1:8" ht="9.75" customHeight="1">
      <c r="A64" s="681"/>
      <c r="B64" s="633" t="s">
        <v>304</v>
      </c>
      <c r="C64" s="634">
        <v>17834.3604925</v>
      </c>
      <c r="D64" s="634"/>
      <c r="E64" s="634"/>
      <c r="F64" s="634">
        <v>17834.3604925</v>
      </c>
      <c r="G64" s="686">
        <v>55838.600002500003</v>
      </c>
      <c r="H64" s="197"/>
    </row>
    <row r="65" spans="1:8" ht="9.75" customHeight="1">
      <c r="A65" s="681"/>
      <c r="B65" s="633" t="s">
        <v>305</v>
      </c>
      <c r="C65" s="634">
        <v>130183.635385</v>
      </c>
      <c r="D65" s="634"/>
      <c r="E65" s="634"/>
      <c r="F65" s="634">
        <v>130183.635385</v>
      </c>
      <c r="G65" s="686">
        <v>325459.77260250004</v>
      </c>
      <c r="H65" s="197"/>
    </row>
    <row r="66" spans="1:8" ht="9.75" customHeight="1">
      <c r="A66" s="681"/>
      <c r="B66" s="633" t="s">
        <v>306</v>
      </c>
      <c r="C66" s="634">
        <v>96021.992085000005</v>
      </c>
      <c r="D66" s="634"/>
      <c r="E66" s="634"/>
      <c r="F66" s="634">
        <v>96021.992085000005</v>
      </c>
      <c r="G66" s="686">
        <v>271787.97694249998</v>
      </c>
      <c r="H66" s="197"/>
    </row>
    <row r="67" spans="1:8" ht="9.75" customHeight="1">
      <c r="A67" s="681"/>
      <c r="B67" s="633" t="s">
        <v>307</v>
      </c>
      <c r="C67" s="634">
        <v>47408.546719999998</v>
      </c>
      <c r="D67" s="634"/>
      <c r="E67" s="634"/>
      <c r="F67" s="634">
        <v>47408.546719999998</v>
      </c>
      <c r="G67" s="686">
        <v>139226.86527750001</v>
      </c>
      <c r="H67" s="197"/>
    </row>
    <row r="68" spans="1:8" ht="9.75" customHeight="1">
      <c r="A68" s="681"/>
      <c r="B68" s="633" t="s">
        <v>308</v>
      </c>
      <c r="C68" s="634"/>
      <c r="D68" s="634">
        <v>420.3944075</v>
      </c>
      <c r="E68" s="634"/>
      <c r="F68" s="634">
        <v>420.3944075</v>
      </c>
      <c r="G68" s="686">
        <v>5969.6231074999996</v>
      </c>
      <c r="H68" s="197"/>
    </row>
    <row r="69" spans="1:8" ht="9.75" customHeight="1">
      <c r="A69" s="681"/>
      <c r="B69" s="633" t="s">
        <v>309</v>
      </c>
      <c r="C69" s="634"/>
      <c r="D69" s="634">
        <v>0</v>
      </c>
      <c r="E69" s="634"/>
      <c r="F69" s="634">
        <v>0</v>
      </c>
      <c r="G69" s="686">
        <v>19198.502402500002</v>
      </c>
      <c r="H69" s="197"/>
    </row>
    <row r="70" spans="1:8" ht="9.75" customHeight="1">
      <c r="A70" s="681"/>
      <c r="B70" s="633" t="s">
        <v>310</v>
      </c>
      <c r="C70" s="634"/>
      <c r="D70" s="634">
        <v>151021.0314825</v>
      </c>
      <c r="E70" s="634"/>
      <c r="F70" s="634">
        <v>151021.0314825</v>
      </c>
      <c r="G70" s="686">
        <v>511388.04518750001</v>
      </c>
    </row>
    <row r="71" spans="1:8" ht="9.75" customHeight="1">
      <c r="A71" s="681"/>
      <c r="B71" s="633" t="s">
        <v>420</v>
      </c>
      <c r="C71" s="634"/>
      <c r="D71" s="634"/>
      <c r="E71" s="634">
        <v>388.08044999999998</v>
      </c>
      <c r="F71" s="634">
        <v>388.08044999999998</v>
      </c>
      <c r="G71" s="686">
        <v>1232.1349475</v>
      </c>
    </row>
    <row r="72" spans="1:8" ht="9.75" customHeight="1">
      <c r="A72" s="683" t="s">
        <v>643</v>
      </c>
      <c r="B72" s="518"/>
      <c r="C72" s="519">
        <v>349278.14420999994</v>
      </c>
      <c r="D72" s="519">
        <v>151441.42588999998</v>
      </c>
      <c r="E72" s="519">
        <v>388.08044999999998</v>
      </c>
      <c r="F72" s="519">
        <v>501107.6505499999</v>
      </c>
      <c r="G72" s="687">
        <v>1496917.5931325001</v>
      </c>
    </row>
    <row r="73" spans="1:8" ht="9.75" customHeight="1">
      <c r="A73" s="681" t="s">
        <v>96</v>
      </c>
      <c r="B73" s="633" t="s">
        <v>311</v>
      </c>
      <c r="C73" s="634"/>
      <c r="D73" s="634">
        <v>0</v>
      </c>
      <c r="E73" s="634"/>
      <c r="F73" s="634">
        <v>0</v>
      </c>
      <c r="G73" s="686">
        <v>5742.4466949999996</v>
      </c>
    </row>
    <row r="74" spans="1:8" ht="9.75" customHeight="1">
      <c r="A74" s="681"/>
      <c r="B74" s="633" t="s">
        <v>312</v>
      </c>
      <c r="C74" s="634"/>
      <c r="D74" s="634">
        <v>27485.196057500001</v>
      </c>
      <c r="E74" s="634"/>
      <c r="F74" s="634">
        <v>27485.196057500001</v>
      </c>
      <c r="G74" s="686">
        <v>115564.649015</v>
      </c>
    </row>
    <row r="75" spans="1:8" ht="9.75" customHeight="1">
      <c r="A75" s="681"/>
      <c r="B75" s="633" t="s">
        <v>313</v>
      </c>
      <c r="C75" s="634"/>
      <c r="D75" s="634">
        <v>804.53206499999999</v>
      </c>
      <c r="E75" s="634"/>
      <c r="F75" s="634">
        <v>804.53206499999999</v>
      </c>
      <c r="G75" s="686">
        <v>8363.8601075000006</v>
      </c>
    </row>
    <row r="76" spans="1:8">
      <c r="A76" s="803" t="s">
        <v>644</v>
      </c>
      <c r="B76" s="518"/>
      <c r="C76" s="519"/>
      <c r="D76" s="519">
        <v>28289.728122500001</v>
      </c>
      <c r="E76" s="519"/>
      <c r="F76" s="519">
        <v>28289.728122500001</v>
      </c>
      <c r="G76" s="687">
        <v>129670.95581750001</v>
      </c>
    </row>
    <row r="77" spans="1:8" ht="9.75" customHeight="1">
      <c r="A77" s="681" t="s">
        <v>98</v>
      </c>
      <c r="B77" s="633" t="s">
        <v>432</v>
      </c>
      <c r="C77" s="634"/>
      <c r="D77" s="634"/>
      <c r="E77" s="634">
        <v>33764.511957499999</v>
      </c>
      <c r="F77" s="634">
        <v>33764.511957499999</v>
      </c>
      <c r="G77" s="686">
        <v>95751.556004999991</v>
      </c>
    </row>
    <row r="78" spans="1:8" ht="9.75" customHeight="1">
      <c r="A78" s="681"/>
      <c r="B78" s="633" t="s">
        <v>431</v>
      </c>
      <c r="C78" s="634"/>
      <c r="D78" s="634"/>
      <c r="E78" s="634">
        <v>42941.802405000002</v>
      </c>
      <c r="F78" s="634">
        <v>42941.802405000002</v>
      </c>
      <c r="G78" s="686">
        <v>121165.8223875</v>
      </c>
    </row>
    <row r="79" spans="1:8">
      <c r="A79" s="803" t="s">
        <v>645</v>
      </c>
      <c r="B79" s="518"/>
      <c r="C79" s="519"/>
      <c r="D79" s="519"/>
      <c r="E79" s="519">
        <v>76706.314362500008</v>
      </c>
      <c r="F79" s="519">
        <v>76706.314362500008</v>
      </c>
      <c r="G79" s="687">
        <v>216917.37839249999</v>
      </c>
    </row>
    <row r="80" spans="1:8" ht="9.75" customHeight="1">
      <c r="A80" s="681" t="s">
        <v>97</v>
      </c>
      <c r="B80" s="633" t="s">
        <v>77</v>
      </c>
      <c r="C80" s="634"/>
      <c r="D80" s="634"/>
      <c r="E80" s="634">
        <v>28078.673330000001</v>
      </c>
      <c r="F80" s="634">
        <v>28078.673330000001</v>
      </c>
      <c r="G80" s="686">
        <v>85459.196629999991</v>
      </c>
    </row>
    <row r="81" spans="1:7" ht="9.75" customHeight="1">
      <c r="A81" s="681"/>
      <c r="B81" s="633" t="s">
        <v>79</v>
      </c>
      <c r="C81" s="634"/>
      <c r="D81" s="634"/>
      <c r="E81" s="634">
        <v>5379.7554675000001</v>
      </c>
      <c r="F81" s="634">
        <v>5379.7554675000001</v>
      </c>
      <c r="G81" s="686">
        <v>22473.6734</v>
      </c>
    </row>
    <row r="82" spans="1:7" ht="9.75" customHeight="1">
      <c r="A82" s="700" t="s">
        <v>646</v>
      </c>
      <c r="B82" s="641"/>
      <c r="C82" s="642"/>
      <c r="D82" s="642"/>
      <c r="E82" s="642">
        <v>33458.428797500004</v>
      </c>
      <c r="F82" s="642">
        <v>33458.428797500004</v>
      </c>
      <c r="G82" s="701">
        <v>107932.87002999999</v>
      </c>
    </row>
    <row r="83" spans="1:7" ht="9.75" customHeight="1">
      <c r="A83" s="336"/>
      <c r="B83" s="336"/>
      <c r="C83" s="443"/>
      <c r="D83" s="443"/>
      <c r="E83" s="443"/>
      <c r="F83" s="336"/>
      <c r="G83" s="336"/>
    </row>
    <row r="84" spans="1:7" ht="9.75" customHeight="1">
      <c r="A84" s="336"/>
      <c r="B84" s="336"/>
      <c r="C84" s="443"/>
      <c r="D84" s="443"/>
      <c r="E84" s="443"/>
      <c r="F84" s="336"/>
      <c r="G84" s="336"/>
    </row>
    <row r="85" spans="1:7" ht="9.75" customHeight="1">
      <c r="A85" s="336"/>
      <c r="B85" s="336"/>
      <c r="C85" s="443"/>
      <c r="D85" s="443"/>
      <c r="E85" s="443"/>
      <c r="F85" s="336"/>
      <c r="G85" s="336"/>
    </row>
    <row r="86" spans="1:7" ht="9.75" customHeight="1">
      <c r="A86" s="336"/>
      <c r="B86" s="336"/>
      <c r="C86" s="443"/>
      <c r="D86" s="443"/>
      <c r="E86" s="443"/>
      <c r="F86" s="336"/>
      <c r="G86" s="336"/>
    </row>
    <row r="87" spans="1:7" ht="9.75" customHeight="1">
      <c r="A87" s="336"/>
      <c r="B87" s="336"/>
      <c r="C87" s="443"/>
      <c r="D87" s="443"/>
      <c r="E87" s="443"/>
      <c r="F87" s="336"/>
      <c r="G87" s="336"/>
    </row>
    <row r="88" spans="1:7" ht="9.75" customHeight="1">
      <c r="A88" s="336"/>
      <c r="B88" s="336"/>
      <c r="C88" s="443"/>
      <c r="D88" s="443"/>
      <c r="E88" s="443"/>
      <c r="F88" s="336"/>
      <c r="G88" s="336"/>
    </row>
    <row r="89" spans="1:7" ht="9.75" customHeight="1">
      <c r="A89" s="336"/>
      <c r="B89" s="336"/>
      <c r="C89" s="443"/>
      <c r="D89" s="443"/>
      <c r="E89" s="443"/>
      <c r="F89" s="336"/>
      <c r="G89" s="336"/>
    </row>
    <row r="90" spans="1:7" ht="9.75" customHeight="1">
      <c r="A90" s="336"/>
      <c r="B90" s="336"/>
      <c r="C90" s="443"/>
      <c r="D90" s="443"/>
      <c r="E90" s="443"/>
      <c r="F90" s="336"/>
      <c r="G90" s="336"/>
    </row>
    <row r="91" spans="1:7" ht="9.75" customHeight="1">
      <c r="A91" s="336"/>
      <c r="B91" s="336"/>
      <c r="C91" s="443"/>
      <c r="D91" s="443"/>
      <c r="E91" s="443"/>
      <c r="F91" s="336"/>
      <c r="G91" s="336"/>
    </row>
    <row r="92" spans="1:7" ht="9.75" customHeight="1">
      <c r="A92" s="336"/>
      <c r="B92" s="336"/>
      <c r="C92" s="443"/>
      <c r="D92" s="443"/>
      <c r="E92" s="443"/>
      <c r="F92" s="336"/>
      <c r="G92" s="336"/>
    </row>
    <row r="93" spans="1:7" ht="9.75" customHeight="1">
      <c r="A93" s="336"/>
      <c r="B93" s="336"/>
      <c r="C93" s="443"/>
      <c r="D93" s="443"/>
      <c r="E93" s="443"/>
      <c r="F93" s="336"/>
      <c r="G93" s="336"/>
    </row>
    <row r="94" spans="1:7" ht="9.75" customHeight="1">
      <c r="A94" s="336"/>
      <c r="B94" s="336"/>
      <c r="C94" s="443"/>
      <c r="D94" s="443"/>
      <c r="E94" s="443"/>
      <c r="F94" s="336"/>
      <c r="G94" s="336"/>
    </row>
    <row r="95" spans="1:7" ht="9.75" customHeight="1">
      <c r="A95" s="336"/>
      <c r="B95" s="336"/>
      <c r="C95" s="443"/>
      <c r="D95" s="443"/>
      <c r="E95" s="443"/>
      <c r="F95" s="336"/>
      <c r="G95" s="336"/>
    </row>
    <row r="96" spans="1:7" ht="9.75" customHeight="1">
      <c r="A96" s="336"/>
      <c r="B96" s="336"/>
      <c r="C96" s="443"/>
      <c r="D96" s="443"/>
      <c r="E96" s="443"/>
      <c r="F96" s="336"/>
      <c r="G96" s="336"/>
    </row>
    <row r="97" spans="1:7" ht="9.75" customHeight="1">
      <c r="A97" s="336"/>
      <c r="B97" s="336"/>
      <c r="C97" s="443"/>
      <c r="D97" s="443"/>
      <c r="E97" s="443"/>
      <c r="F97" s="336"/>
      <c r="G97" s="336"/>
    </row>
    <row r="98" spans="1:7" ht="9.75" customHeight="1">
      <c r="A98" s="336"/>
      <c r="B98" s="336"/>
      <c r="C98" s="443"/>
      <c r="D98" s="443"/>
      <c r="E98" s="443"/>
      <c r="F98" s="336"/>
      <c r="G98" s="336"/>
    </row>
    <row r="99" spans="1:7" ht="9.75" customHeight="1">
      <c r="A99" s="336"/>
      <c r="B99" s="336"/>
      <c r="C99" s="443"/>
      <c r="D99" s="443"/>
      <c r="E99" s="443"/>
      <c r="F99" s="336"/>
      <c r="G99" s="336"/>
    </row>
    <row r="100" spans="1:7" ht="9.75" customHeight="1">
      <c r="A100" s="336"/>
      <c r="B100" s="336"/>
      <c r="C100" s="443"/>
      <c r="D100" s="443"/>
      <c r="E100" s="443"/>
      <c r="F100" s="336"/>
      <c r="G100" s="336"/>
    </row>
    <row r="101" spans="1:7" ht="9.75" customHeight="1">
      <c r="A101" s="336"/>
      <c r="B101" s="336"/>
      <c r="C101" s="443"/>
      <c r="D101" s="443"/>
      <c r="E101" s="443"/>
      <c r="F101" s="336"/>
      <c r="G101" s="336"/>
    </row>
    <row r="102" spans="1:7" ht="9.75" customHeight="1">
      <c r="A102" s="336"/>
      <c r="B102" s="336"/>
      <c r="C102" s="443"/>
      <c r="D102" s="443"/>
      <c r="E102" s="443"/>
      <c r="F102" s="336"/>
      <c r="G102" s="336"/>
    </row>
    <row r="103" spans="1:7" ht="9.75" customHeight="1">
      <c r="A103" s="336"/>
      <c r="B103" s="336"/>
      <c r="C103" s="443"/>
      <c r="D103" s="443"/>
      <c r="E103" s="443"/>
      <c r="F103" s="336"/>
      <c r="G103" s="336"/>
    </row>
    <row r="104" spans="1:7" ht="9.75" customHeight="1">
      <c r="A104" s="336"/>
      <c r="B104" s="336"/>
      <c r="C104" s="443"/>
      <c r="D104" s="443"/>
      <c r="E104" s="443"/>
      <c r="F104" s="336"/>
      <c r="G104" s="336"/>
    </row>
    <row r="105" spans="1:7" ht="9.75" customHeight="1">
      <c r="A105" s="336"/>
      <c r="B105" s="336"/>
      <c r="C105" s="443"/>
      <c r="D105" s="443"/>
      <c r="E105" s="443"/>
      <c r="F105" s="336"/>
      <c r="G105" s="336"/>
    </row>
    <row r="106" spans="1:7" ht="9.75" customHeight="1">
      <c r="A106" s="336"/>
      <c r="B106" s="336"/>
      <c r="C106" s="443"/>
      <c r="D106" s="443"/>
      <c r="E106" s="443"/>
      <c r="F106" s="336"/>
      <c r="G106" s="336"/>
    </row>
    <row r="107" spans="1:7" ht="9.75" customHeight="1">
      <c r="A107" s="336"/>
      <c r="B107" s="336"/>
      <c r="C107" s="443"/>
      <c r="D107" s="443"/>
      <c r="E107" s="443"/>
      <c r="F107" s="336"/>
      <c r="G107" s="336"/>
    </row>
    <row r="108" spans="1:7" ht="9.75" customHeight="1">
      <c r="A108" s="336"/>
      <c r="B108" s="336"/>
      <c r="C108" s="443"/>
      <c r="D108" s="443"/>
      <c r="E108" s="443"/>
      <c r="F108" s="336"/>
      <c r="G108" s="336"/>
    </row>
    <row r="109" spans="1:7" ht="9.75" customHeight="1">
      <c r="A109" s="336"/>
      <c r="B109" s="336"/>
      <c r="C109" s="443"/>
      <c r="D109" s="443"/>
      <c r="E109" s="443"/>
      <c r="F109" s="336"/>
      <c r="G109" s="336"/>
    </row>
    <row r="110" spans="1:7" ht="9.75" customHeight="1">
      <c r="A110" s="336"/>
      <c r="B110" s="336"/>
      <c r="C110" s="443"/>
      <c r="D110" s="443"/>
      <c r="E110" s="443"/>
      <c r="F110" s="336"/>
      <c r="G110" s="336"/>
    </row>
    <row r="111" spans="1:7" ht="9.75" customHeight="1">
      <c r="A111" s="336"/>
      <c r="B111" s="336"/>
      <c r="C111" s="443"/>
      <c r="D111" s="443"/>
      <c r="E111" s="443"/>
      <c r="F111" s="336"/>
      <c r="G111" s="336"/>
    </row>
    <row r="112" spans="1:7" ht="9.75" customHeight="1">
      <c r="A112" s="336"/>
      <c r="B112" s="336"/>
      <c r="C112" s="443"/>
      <c r="D112" s="443"/>
      <c r="E112" s="443"/>
      <c r="F112" s="336"/>
      <c r="G112" s="336"/>
    </row>
    <row r="113" spans="1:7" ht="9.75" customHeight="1">
      <c r="A113" s="336"/>
      <c r="B113" s="336"/>
      <c r="C113" s="443"/>
      <c r="D113" s="443"/>
      <c r="E113" s="443"/>
      <c r="F113" s="336"/>
      <c r="G113" s="336"/>
    </row>
    <row r="114" spans="1:7" ht="9.75" customHeight="1">
      <c r="A114" s="336"/>
      <c r="B114" s="336"/>
      <c r="C114" s="443"/>
      <c r="D114" s="443"/>
      <c r="E114" s="443"/>
      <c r="F114" s="336"/>
      <c r="G114" s="336"/>
    </row>
    <row r="115" spans="1:7" ht="9.75" customHeight="1">
      <c r="A115" s="336"/>
      <c r="B115" s="336"/>
      <c r="C115" s="443"/>
      <c r="D115" s="443"/>
      <c r="E115" s="443"/>
      <c r="F115" s="336"/>
      <c r="G115" s="336"/>
    </row>
    <row r="116" spans="1:7" ht="9.75" customHeight="1">
      <c r="A116" s="336"/>
      <c r="B116" s="336"/>
      <c r="C116" s="443"/>
      <c r="D116" s="443"/>
      <c r="E116" s="443"/>
      <c r="F116" s="336"/>
      <c r="G116" s="336"/>
    </row>
    <row r="117" spans="1:7" ht="9.75" customHeight="1">
      <c r="A117" s="336"/>
      <c r="B117" s="336"/>
      <c r="C117" s="443"/>
      <c r="D117" s="443"/>
      <c r="E117" s="443"/>
      <c r="F117" s="336"/>
      <c r="G117" s="336"/>
    </row>
    <row r="118" spans="1:7" ht="9.75" customHeight="1">
      <c r="A118" s="336"/>
      <c r="B118" s="336"/>
      <c r="C118" s="443"/>
      <c r="D118" s="443"/>
      <c r="E118" s="443"/>
      <c r="F118" s="336"/>
      <c r="G118" s="336"/>
    </row>
    <row r="119" spans="1:7" ht="9.75" customHeight="1">
      <c r="A119" s="336"/>
      <c r="B119" s="336"/>
      <c r="C119" s="443"/>
      <c r="D119" s="443"/>
      <c r="E119" s="443"/>
      <c r="F119" s="336"/>
      <c r="G119" s="336"/>
    </row>
    <row r="120" spans="1:7" ht="9.75" customHeight="1">
      <c r="A120" s="336"/>
      <c r="B120" s="336"/>
      <c r="C120" s="443"/>
      <c r="D120" s="443"/>
      <c r="E120" s="443"/>
      <c r="F120" s="336"/>
      <c r="G120" s="336"/>
    </row>
    <row r="121" spans="1:7" ht="9.75" customHeight="1">
      <c r="A121" s="336"/>
      <c r="B121" s="336"/>
      <c r="C121" s="443"/>
      <c r="D121" s="443"/>
      <c r="E121" s="443"/>
      <c r="F121" s="336"/>
      <c r="G121" s="336"/>
    </row>
    <row r="122" spans="1:7" ht="9.75" customHeight="1">
      <c r="A122" s="336"/>
      <c r="B122" s="336"/>
      <c r="C122" s="443"/>
      <c r="D122" s="443"/>
      <c r="E122" s="443"/>
      <c r="F122" s="336"/>
      <c r="G122" s="336"/>
    </row>
    <row r="123" spans="1:7" ht="9.75" customHeight="1">
      <c r="A123" s="336"/>
      <c r="B123" s="336"/>
      <c r="C123" s="443"/>
      <c r="D123" s="443"/>
      <c r="E123" s="443"/>
      <c r="F123" s="336"/>
      <c r="G123" s="336"/>
    </row>
    <row r="124" spans="1:7" ht="9.75" customHeight="1">
      <c r="A124" s="336"/>
      <c r="B124" s="336"/>
      <c r="C124" s="443"/>
      <c r="D124" s="443"/>
      <c r="E124" s="443"/>
      <c r="F124" s="336"/>
      <c r="G124" s="336"/>
    </row>
    <row r="125" spans="1:7" ht="9.75" customHeight="1">
      <c r="A125" s="336"/>
      <c r="B125" s="336"/>
      <c r="C125" s="443"/>
      <c r="D125" s="443"/>
      <c r="E125" s="443"/>
      <c r="F125" s="336"/>
      <c r="G125" s="336"/>
    </row>
    <row r="126" spans="1:7" ht="9.75" customHeight="1">
      <c r="A126" s="336"/>
      <c r="B126" s="336"/>
      <c r="C126" s="443"/>
      <c r="D126" s="443"/>
      <c r="E126" s="443"/>
      <c r="F126" s="336"/>
      <c r="G126" s="336"/>
    </row>
    <row r="127" spans="1:7" ht="9.75" customHeight="1">
      <c r="A127" s="336"/>
      <c r="B127" s="336"/>
      <c r="C127" s="443"/>
      <c r="D127" s="443"/>
      <c r="E127" s="443"/>
      <c r="F127" s="336"/>
      <c r="G127" s="336"/>
    </row>
    <row r="128" spans="1:7" ht="9.75" customHeight="1">
      <c r="A128" s="336"/>
      <c r="B128" s="336"/>
      <c r="C128" s="443"/>
      <c r="D128" s="443"/>
      <c r="E128" s="443"/>
      <c r="F128" s="336"/>
      <c r="G128" s="336"/>
    </row>
    <row r="129" spans="1:7" ht="9.75" customHeight="1">
      <c r="A129" s="336"/>
      <c r="B129" s="336"/>
      <c r="C129" s="443"/>
      <c r="D129" s="443"/>
      <c r="E129" s="443"/>
      <c r="F129" s="336"/>
      <c r="G129" s="336"/>
    </row>
    <row r="130" spans="1:7" ht="9.75" customHeight="1">
      <c r="A130" s="336"/>
      <c r="B130" s="336"/>
      <c r="C130" s="443"/>
      <c r="D130" s="443"/>
      <c r="E130" s="443"/>
      <c r="F130" s="336"/>
      <c r="G130" s="336"/>
    </row>
    <row r="131" spans="1:7" ht="9.75" customHeight="1">
      <c r="A131" s="336"/>
      <c r="B131" s="336"/>
      <c r="C131" s="443"/>
      <c r="D131" s="443"/>
      <c r="E131" s="443"/>
      <c r="F131" s="336"/>
      <c r="G131" s="336"/>
    </row>
    <row r="132" spans="1:7" ht="9.75" customHeight="1">
      <c r="A132" s="336"/>
      <c r="B132" s="336"/>
      <c r="C132" s="443"/>
      <c r="D132" s="443"/>
      <c r="E132" s="443"/>
      <c r="F132" s="336"/>
      <c r="G132" s="336"/>
    </row>
    <row r="133" spans="1:7" ht="9.75" customHeight="1">
      <c r="A133" s="336"/>
      <c r="B133" s="336"/>
      <c r="C133" s="443"/>
      <c r="D133" s="443"/>
      <c r="E133" s="443"/>
      <c r="F133" s="336"/>
      <c r="G133" s="336"/>
    </row>
    <row r="134" spans="1:7" ht="9.75" customHeight="1">
      <c r="A134" s="336"/>
      <c r="B134" s="336"/>
      <c r="C134" s="443"/>
      <c r="D134" s="443"/>
      <c r="E134" s="443"/>
      <c r="F134" s="336"/>
      <c r="G134" s="336"/>
    </row>
    <row r="135" spans="1:7" ht="9.75" customHeight="1">
      <c r="A135" s="336"/>
      <c r="B135" s="336"/>
      <c r="C135" s="443"/>
      <c r="D135" s="443"/>
      <c r="E135" s="443"/>
      <c r="F135" s="336"/>
      <c r="G135" s="336"/>
    </row>
    <row r="136" spans="1:7" ht="9.75" customHeight="1">
      <c r="A136" s="336"/>
      <c r="B136" s="336"/>
      <c r="C136" s="443"/>
      <c r="D136" s="443"/>
      <c r="E136" s="443"/>
      <c r="F136" s="336"/>
      <c r="G136" s="336"/>
    </row>
    <row r="137" spans="1:7" ht="9.75" customHeight="1">
      <c r="A137" s="336"/>
      <c r="B137" s="336"/>
      <c r="C137" s="443"/>
      <c r="D137" s="443"/>
      <c r="E137" s="443"/>
      <c r="F137" s="336"/>
      <c r="G137" s="336"/>
    </row>
    <row r="138" spans="1:7" ht="9.75" customHeight="1">
      <c r="A138" s="336"/>
      <c r="B138" s="336"/>
      <c r="C138" s="443"/>
      <c r="D138" s="443"/>
      <c r="E138" s="443"/>
      <c r="F138" s="336"/>
      <c r="G138" s="336"/>
    </row>
    <row r="139" spans="1:7" ht="9.75" customHeight="1">
      <c r="A139" s="336"/>
      <c r="B139" s="336"/>
      <c r="C139" s="443"/>
      <c r="D139" s="443"/>
      <c r="E139" s="443"/>
      <c r="F139" s="336"/>
      <c r="G139" s="336"/>
    </row>
    <row r="140" spans="1:7" ht="9.75" customHeight="1">
      <c r="A140" s="336"/>
      <c r="B140" s="336"/>
      <c r="C140" s="443"/>
      <c r="D140" s="443"/>
      <c r="E140" s="443"/>
      <c r="F140" s="336"/>
      <c r="G140" s="336"/>
    </row>
    <row r="141" spans="1:7" ht="9.75" customHeight="1">
      <c r="A141" s="336"/>
      <c r="B141" s="336"/>
      <c r="C141" s="443"/>
      <c r="D141" s="443"/>
      <c r="E141" s="443"/>
      <c r="F141" s="336"/>
      <c r="G141" s="336"/>
    </row>
    <row r="142" spans="1:7" ht="9.75" customHeight="1">
      <c r="A142" s="336"/>
      <c r="B142" s="336"/>
      <c r="C142" s="443"/>
      <c r="D142" s="443"/>
      <c r="E142" s="443"/>
      <c r="F142" s="336"/>
      <c r="G142" s="336"/>
    </row>
    <row r="143" spans="1:7" ht="9.75" customHeight="1">
      <c r="A143" s="336"/>
      <c r="B143" s="336"/>
      <c r="C143" s="443"/>
      <c r="D143" s="443"/>
      <c r="E143" s="443"/>
      <c r="F143" s="336"/>
      <c r="G143" s="336"/>
    </row>
    <row r="144" spans="1:7" ht="9.75" customHeight="1">
      <c r="A144" s="336"/>
      <c r="B144" s="336"/>
      <c r="C144" s="443"/>
      <c r="D144" s="443"/>
      <c r="E144" s="443"/>
      <c r="F144" s="336"/>
      <c r="G144" s="336"/>
    </row>
    <row r="145" spans="1:7" ht="9.75" customHeight="1">
      <c r="A145" s="336"/>
      <c r="B145" s="336"/>
      <c r="C145" s="443"/>
      <c r="D145" s="443"/>
      <c r="E145" s="443"/>
      <c r="F145" s="336"/>
      <c r="G145" s="336"/>
    </row>
    <row r="146" spans="1:7" ht="9.75" customHeight="1">
      <c r="A146" s="336"/>
      <c r="B146" s="336"/>
      <c r="C146" s="443"/>
      <c r="D146" s="443"/>
      <c r="E146" s="443"/>
      <c r="F146" s="336"/>
      <c r="G146" s="336"/>
    </row>
    <row r="147" spans="1:7" ht="9.75" customHeight="1">
      <c r="A147" s="336"/>
      <c r="B147" s="336"/>
      <c r="C147" s="443"/>
      <c r="D147" s="443"/>
      <c r="E147" s="443"/>
      <c r="F147" s="336"/>
      <c r="G147" s="336"/>
    </row>
    <row r="148" spans="1:7" ht="9.75" customHeight="1">
      <c r="A148" s="336"/>
      <c r="B148" s="336"/>
      <c r="C148" s="443"/>
      <c r="D148" s="443"/>
      <c r="E148" s="443"/>
      <c r="F148" s="336"/>
      <c r="G148" s="336"/>
    </row>
    <row r="149" spans="1:7" ht="9.75" customHeight="1">
      <c r="A149" s="336"/>
      <c r="B149" s="336"/>
      <c r="C149" s="443"/>
      <c r="D149" s="443"/>
      <c r="E149" s="443"/>
      <c r="F149" s="336"/>
      <c r="G149" s="336"/>
    </row>
    <row r="150" spans="1:7" ht="9.75" customHeight="1">
      <c r="A150" s="336"/>
      <c r="B150" s="336"/>
      <c r="C150" s="443"/>
      <c r="D150" s="443"/>
      <c r="E150" s="443"/>
      <c r="F150" s="336"/>
      <c r="G150" s="336"/>
    </row>
    <row r="151" spans="1:7" ht="9.75" customHeight="1">
      <c r="A151" s="336"/>
      <c r="B151" s="336"/>
      <c r="C151" s="443"/>
      <c r="D151" s="443"/>
      <c r="E151" s="443"/>
      <c r="F151" s="336"/>
      <c r="G151" s="336"/>
    </row>
    <row r="152" spans="1:7" ht="9.75" customHeight="1">
      <c r="A152" s="336"/>
      <c r="B152" s="336"/>
      <c r="C152" s="443"/>
      <c r="D152" s="443"/>
      <c r="E152" s="443"/>
      <c r="F152" s="336"/>
      <c r="G152" s="336"/>
    </row>
    <row r="153" spans="1:7" ht="9.75" customHeight="1">
      <c r="A153" s="336"/>
      <c r="B153" s="336"/>
      <c r="C153" s="443"/>
      <c r="D153" s="443"/>
      <c r="E153" s="443"/>
      <c r="F153" s="336"/>
      <c r="G153" s="336"/>
    </row>
    <row r="154" spans="1:7" ht="9.75" customHeight="1">
      <c r="A154" s="336"/>
      <c r="B154" s="336"/>
      <c r="C154" s="443"/>
      <c r="D154" s="443"/>
      <c r="E154" s="443"/>
      <c r="F154" s="336"/>
      <c r="G154" s="336"/>
    </row>
    <row r="155" spans="1:7" ht="9.75" customHeight="1">
      <c r="A155" s="336"/>
      <c r="B155" s="336"/>
      <c r="C155" s="443"/>
      <c r="D155" s="443"/>
      <c r="E155" s="443"/>
      <c r="F155" s="336"/>
      <c r="G155" s="336"/>
    </row>
    <row r="156" spans="1:7" ht="9.75" customHeight="1">
      <c r="A156" s="336"/>
      <c r="B156" s="336"/>
      <c r="C156" s="443"/>
      <c r="D156" s="443"/>
      <c r="E156" s="443"/>
      <c r="F156" s="336"/>
      <c r="G156" s="336"/>
    </row>
    <row r="157" spans="1:7" ht="9.75" customHeight="1">
      <c r="A157" s="336"/>
      <c r="B157" s="336"/>
      <c r="C157" s="443"/>
      <c r="D157" s="443"/>
      <c r="E157" s="443"/>
      <c r="F157" s="336"/>
      <c r="G157" s="336"/>
    </row>
    <row r="158" spans="1:7" ht="9.75" customHeight="1">
      <c r="A158" s="336"/>
      <c r="B158" s="336"/>
      <c r="C158" s="443"/>
      <c r="D158" s="443"/>
      <c r="E158" s="443"/>
      <c r="F158" s="336"/>
      <c r="G158" s="336"/>
    </row>
    <row r="159" spans="1:7" ht="9.75" customHeight="1">
      <c r="A159" s="336"/>
      <c r="B159" s="336"/>
      <c r="C159" s="443"/>
      <c r="D159" s="443"/>
      <c r="E159" s="443"/>
      <c r="F159" s="336"/>
      <c r="G159" s="336"/>
    </row>
    <row r="160" spans="1:7" ht="9.75" customHeight="1">
      <c r="A160" s="336"/>
      <c r="B160" s="336"/>
      <c r="C160" s="443"/>
      <c r="D160" s="443"/>
      <c r="E160" s="443"/>
      <c r="F160" s="336"/>
      <c r="G160" s="336"/>
    </row>
    <row r="161" spans="1:7" ht="9.75" customHeight="1">
      <c r="A161" s="336"/>
      <c r="B161" s="336"/>
      <c r="C161" s="443"/>
      <c r="D161" s="443"/>
      <c r="E161" s="443"/>
      <c r="F161" s="336"/>
      <c r="G161" s="336"/>
    </row>
    <row r="162" spans="1:7" ht="9.75" customHeight="1">
      <c r="A162" s="336"/>
      <c r="B162" s="336"/>
      <c r="C162" s="443"/>
      <c r="D162" s="443"/>
      <c r="E162" s="443"/>
      <c r="F162" s="336"/>
      <c r="G162" s="336"/>
    </row>
    <row r="163" spans="1:7" ht="9.75" customHeight="1">
      <c r="A163" s="336"/>
      <c r="B163" s="336"/>
      <c r="C163" s="443"/>
      <c r="D163" s="443"/>
      <c r="E163" s="443"/>
      <c r="F163" s="336"/>
      <c r="G163" s="336"/>
    </row>
    <row r="164" spans="1:7" ht="9.75" customHeight="1">
      <c r="A164" s="336"/>
      <c r="B164" s="336"/>
      <c r="C164" s="443"/>
      <c r="D164" s="443"/>
      <c r="E164" s="443"/>
      <c r="F164" s="336"/>
      <c r="G164" s="336"/>
    </row>
    <row r="165" spans="1:7" ht="9.75" customHeight="1">
      <c r="A165" s="336"/>
      <c r="B165" s="336"/>
      <c r="C165" s="443"/>
      <c r="D165" s="443"/>
      <c r="E165" s="443"/>
      <c r="F165" s="336"/>
      <c r="G165" s="336"/>
    </row>
    <row r="166" spans="1:7" ht="9.75" customHeight="1">
      <c r="A166" s="336"/>
      <c r="B166" s="336"/>
      <c r="C166" s="443"/>
      <c r="D166" s="443"/>
      <c r="E166" s="443"/>
      <c r="F166" s="336"/>
      <c r="G166" s="336"/>
    </row>
    <row r="167" spans="1:7" ht="9.75" customHeight="1">
      <c r="A167" s="336"/>
      <c r="B167" s="336"/>
      <c r="C167" s="443"/>
      <c r="D167" s="443"/>
      <c r="E167" s="443"/>
      <c r="F167" s="336"/>
      <c r="G167" s="336"/>
    </row>
    <row r="168" spans="1:7" ht="9.75" customHeight="1">
      <c r="A168" s="336"/>
      <c r="B168" s="336"/>
      <c r="C168" s="443"/>
      <c r="D168" s="443"/>
      <c r="E168" s="443"/>
      <c r="F168" s="336"/>
      <c r="G168" s="336"/>
    </row>
    <row r="169" spans="1:7" ht="9.75" customHeight="1">
      <c r="A169" s="336"/>
      <c r="B169" s="336"/>
      <c r="C169" s="443"/>
      <c r="D169" s="443"/>
      <c r="E169" s="443"/>
      <c r="F169" s="336"/>
      <c r="G169" s="336"/>
    </row>
    <row r="170" spans="1:7" ht="9.75" customHeight="1">
      <c r="A170" s="336"/>
      <c r="B170" s="336"/>
      <c r="C170" s="443"/>
      <c r="D170" s="443"/>
      <c r="E170" s="443"/>
      <c r="F170" s="336"/>
      <c r="G170" s="336"/>
    </row>
    <row r="171" spans="1:7" ht="9.75" customHeight="1">
      <c r="A171" s="336"/>
      <c r="B171" s="336"/>
      <c r="C171" s="443"/>
      <c r="D171" s="443"/>
      <c r="E171" s="443"/>
      <c r="F171" s="336"/>
      <c r="G171" s="336"/>
    </row>
    <row r="172" spans="1:7" ht="9.75" customHeight="1">
      <c r="A172" s="336"/>
      <c r="B172" s="336"/>
      <c r="C172" s="336"/>
      <c r="D172" s="336"/>
      <c r="E172" s="336"/>
      <c r="F172" s="336"/>
      <c r="G172" s="336"/>
    </row>
    <row r="173" spans="1:7" ht="9.75" customHeight="1">
      <c r="A173" s="336"/>
      <c r="B173" s="336"/>
      <c r="C173" s="336"/>
      <c r="D173" s="336"/>
      <c r="E173" s="336"/>
      <c r="F173" s="336"/>
      <c r="G173" s="336"/>
    </row>
    <row r="174" spans="1:7" ht="9.75" customHeight="1">
      <c r="A174" s="336"/>
      <c r="B174" s="336"/>
      <c r="C174" s="336"/>
      <c r="D174" s="336"/>
      <c r="E174" s="336"/>
      <c r="F174" s="336"/>
      <c r="G174" s="336"/>
    </row>
    <row r="175" spans="1:7" ht="9.75" customHeight="1">
      <c r="A175" s="336"/>
      <c r="B175" s="336"/>
      <c r="C175" s="336"/>
      <c r="D175" s="336"/>
      <c r="E175" s="336"/>
      <c r="F175" s="336"/>
      <c r="G175" s="336"/>
    </row>
    <row r="176" spans="1:7" ht="9.75" customHeight="1">
      <c r="A176" s="336"/>
      <c r="B176" s="336"/>
      <c r="C176" s="336"/>
      <c r="D176" s="336"/>
      <c r="E176" s="336"/>
      <c r="F176" s="336"/>
      <c r="G176" s="336"/>
    </row>
    <row r="177" spans="1:7" ht="9.75" customHeight="1">
      <c r="A177" s="336"/>
      <c r="B177" s="336"/>
      <c r="C177" s="336"/>
      <c r="D177" s="336"/>
      <c r="E177" s="336"/>
      <c r="F177" s="336"/>
      <c r="G177" s="336"/>
    </row>
    <row r="178" spans="1:7" ht="9.75" customHeight="1">
      <c r="A178" s="336"/>
      <c r="B178" s="336"/>
      <c r="C178" s="336"/>
      <c r="D178" s="336"/>
      <c r="E178" s="336"/>
      <c r="F178" s="336"/>
      <c r="G178" s="336"/>
    </row>
    <row r="179" spans="1:7" ht="9.75" customHeight="1">
      <c r="A179" s="336"/>
      <c r="B179" s="336"/>
      <c r="C179" s="336"/>
      <c r="D179" s="336"/>
      <c r="E179" s="336"/>
      <c r="F179" s="336"/>
      <c r="G179" s="336"/>
    </row>
    <row r="180" spans="1:7" ht="9.75" customHeight="1">
      <c r="A180" s="336"/>
      <c r="B180" s="336"/>
      <c r="C180" s="336"/>
      <c r="D180" s="336"/>
      <c r="E180" s="336"/>
      <c r="F180" s="336"/>
      <c r="G180" s="336"/>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Mensual-Marzo 2020
INFSGI-MES-03-2020
14/04/2020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120" zoomScaleNormal="100" zoomScaleSheetLayoutView="120" zoomScalePageLayoutView="130" workbookViewId="0">
      <selection activeCell="R40" sqref="R40"/>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70" t="s">
        <v>250</v>
      </c>
      <c r="B1" s="973" t="s">
        <v>54</v>
      </c>
      <c r="C1" s="976" t="str">
        <f>+'18. ANEXOI-1'!C2:F2</f>
        <v>ENERGÍA PRODUCIDA MARZO 2020</v>
      </c>
      <c r="D1" s="976"/>
      <c r="E1" s="976"/>
      <c r="F1" s="976"/>
      <c r="G1" s="638" t="s">
        <v>276</v>
      </c>
      <c r="H1" s="203"/>
    </row>
    <row r="2" spans="1:8" ht="11.25" customHeight="1">
      <c r="A2" s="971"/>
      <c r="B2" s="974"/>
      <c r="C2" s="977" t="s">
        <v>277</v>
      </c>
      <c r="D2" s="977"/>
      <c r="E2" s="977"/>
      <c r="F2" s="978" t="str">
        <f>"TOTAL 
"&amp;UPPER('1. Resumen'!Q4)</f>
        <v>TOTAL 
MARZO</v>
      </c>
      <c r="G2" s="639" t="s">
        <v>278</v>
      </c>
      <c r="H2" s="194"/>
    </row>
    <row r="3" spans="1:8" ht="11.25" customHeight="1">
      <c r="A3" s="971"/>
      <c r="B3" s="974"/>
      <c r="C3" s="630" t="s">
        <v>215</v>
      </c>
      <c r="D3" s="630" t="s">
        <v>216</v>
      </c>
      <c r="E3" s="630" t="s">
        <v>279</v>
      </c>
      <c r="F3" s="979"/>
      <c r="G3" s="639">
        <v>2019</v>
      </c>
      <c r="H3" s="196"/>
    </row>
    <row r="4" spans="1:8" ht="11.25" customHeight="1">
      <c r="A4" s="980"/>
      <c r="B4" s="981"/>
      <c r="C4" s="631" t="s">
        <v>280</v>
      </c>
      <c r="D4" s="631" t="s">
        <v>280</v>
      </c>
      <c r="E4" s="631" t="s">
        <v>280</v>
      </c>
      <c r="F4" s="631" t="s">
        <v>280</v>
      </c>
      <c r="G4" s="640" t="s">
        <v>208</v>
      </c>
      <c r="H4" s="196"/>
    </row>
    <row r="5" spans="1:8" ht="10.5" customHeight="1">
      <c r="A5" s="681" t="s">
        <v>87</v>
      </c>
      <c r="B5" s="633" t="s">
        <v>314</v>
      </c>
      <c r="C5" s="634">
        <v>55407.736582500002</v>
      </c>
      <c r="D5" s="634"/>
      <c r="E5" s="634"/>
      <c r="F5" s="634">
        <v>55407.736582500002</v>
      </c>
      <c r="G5" s="686">
        <v>173588.58993000002</v>
      </c>
    </row>
    <row r="6" spans="1:8" ht="10.5" customHeight="1">
      <c r="A6" s="681"/>
      <c r="B6" s="633" t="s">
        <v>315</v>
      </c>
      <c r="C6" s="634">
        <v>93565.83474749999</v>
      </c>
      <c r="D6" s="634"/>
      <c r="E6" s="634"/>
      <c r="F6" s="634">
        <v>93565.83474749999</v>
      </c>
      <c r="G6" s="686">
        <v>279328.13985500002</v>
      </c>
    </row>
    <row r="7" spans="1:8" ht="10.5" customHeight="1">
      <c r="A7" s="681"/>
      <c r="B7" s="633" t="s">
        <v>316</v>
      </c>
      <c r="C7" s="634"/>
      <c r="D7" s="634">
        <v>230317.20283999998</v>
      </c>
      <c r="E7" s="634"/>
      <c r="F7" s="634">
        <v>230317.20283999998</v>
      </c>
      <c r="G7" s="686">
        <v>1039868.52594</v>
      </c>
    </row>
    <row r="8" spans="1:8" ht="10.5" customHeight="1">
      <c r="A8" s="681"/>
      <c r="B8" s="633" t="s">
        <v>317</v>
      </c>
      <c r="C8" s="634"/>
      <c r="D8" s="634">
        <v>3624.67938</v>
      </c>
      <c r="E8" s="634"/>
      <c r="F8" s="634">
        <v>3624.67938</v>
      </c>
      <c r="G8" s="686">
        <v>16548.241862499999</v>
      </c>
    </row>
    <row r="9" spans="1:8" ht="10.5" customHeight="1">
      <c r="A9" s="681"/>
      <c r="B9" s="633" t="s">
        <v>318</v>
      </c>
      <c r="C9" s="634"/>
      <c r="D9" s="634">
        <v>0</v>
      </c>
      <c r="E9" s="634"/>
      <c r="F9" s="634">
        <v>0</v>
      </c>
      <c r="G9" s="686">
        <v>0</v>
      </c>
    </row>
    <row r="10" spans="1:8" ht="10.5" customHeight="1">
      <c r="A10" s="681"/>
      <c r="B10" s="633" t="s">
        <v>319</v>
      </c>
      <c r="C10" s="634"/>
      <c r="D10" s="634">
        <v>466.30155250000001</v>
      </c>
      <c r="E10" s="634"/>
      <c r="F10" s="634">
        <v>466.30155250000001</v>
      </c>
      <c r="G10" s="686">
        <v>466.30155250000001</v>
      </c>
    </row>
    <row r="11" spans="1:8" ht="10.5" customHeight="1">
      <c r="A11" s="681"/>
      <c r="B11" s="633" t="s">
        <v>320</v>
      </c>
      <c r="C11" s="634"/>
      <c r="D11" s="634">
        <v>0</v>
      </c>
      <c r="E11" s="634"/>
      <c r="F11" s="634">
        <v>0</v>
      </c>
      <c r="G11" s="686">
        <v>359.81827500000003</v>
      </c>
    </row>
    <row r="12" spans="1:8" ht="10.5" customHeight="1">
      <c r="A12" s="681"/>
      <c r="B12" s="633" t="s">
        <v>433</v>
      </c>
      <c r="C12" s="634"/>
      <c r="D12" s="634"/>
      <c r="E12" s="634">
        <v>7608.5142249999999</v>
      </c>
      <c r="F12" s="634">
        <v>7608.5142249999999</v>
      </c>
      <c r="G12" s="686">
        <v>22167.2363</v>
      </c>
    </row>
    <row r="13" spans="1:8" ht="10.5" customHeight="1">
      <c r="A13" s="683" t="s">
        <v>647</v>
      </c>
      <c r="B13" s="518"/>
      <c r="C13" s="519">
        <v>148973.57133000001</v>
      </c>
      <c r="D13" s="519">
        <v>234408.18377249996</v>
      </c>
      <c r="E13" s="519">
        <v>7608.5142249999999</v>
      </c>
      <c r="F13" s="519">
        <v>390990.26932749996</v>
      </c>
      <c r="G13" s="687">
        <v>1532326.8537150002</v>
      </c>
    </row>
    <row r="14" spans="1:8" ht="10.5" customHeight="1">
      <c r="A14" s="681" t="s">
        <v>239</v>
      </c>
      <c r="B14" s="633" t="s">
        <v>321</v>
      </c>
      <c r="C14" s="634"/>
      <c r="D14" s="634">
        <v>106997.44278249999</v>
      </c>
      <c r="E14" s="634"/>
      <c r="F14" s="634">
        <v>106997.44278249999</v>
      </c>
      <c r="G14" s="686">
        <v>335886.31787000003</v>
      </c>
    </row>
    <row r="15" spans="1:8" ht="10.5" customHeight="1">
      <c r="A15" s="683" t="s">
        <v>648</v>
      </c>
      <c r="B15" s="518"/>
      <c r="C15" s="519"/>
      <c r="D15" s="519">
        <v>106997.44278249999</v>
      </c>
      <c r="E15" s="519"/>
      <c r="F15" s="519">
        <v>106997.44278249999</v>
      </c>
      <c r="G15" s="687">
        <v>335886.31787000003</v>
      </c>
    </row>
    <row r="16" spans="1:8" s="741" customFormat="1" ht="10.5" customHeight="1">
      <c r="A16" s="697" t="s">
        <v>478</v>
      </c>
      <c r="B16" s="441" t="s">
        <v>483</v>
      </c>
      <c r="C16" s="442"/>
      <c r="D16" s="442"/>
      <c r="E16" s="442">
        <v>11376.515069999999</v>
      </c>
      <c r="F16" s="442">
        <v>11376.515069999999</v>
      </c>
      <c r="G16" s="698">
        <v>28517.060992499995</v>
      </c>
    </row>
    <row r="17" spans="1:7" s="741" customFormat="1" ht="10.5" customHeight="1">
      <c r="A17" s="699"/>
      <c r="B17" s="633" t="s">
        <v>479</v>
      </c>
      <c r="C17" s="634"/>
      <c r="D17" s="634"/>
      <c r="E17" s="634">
        <v>0</v>
      </c>
      <c r="F17" s="634">
        <v>0</v>
      </c>
      <c r="G17" s="686">
        <v>9324.0761600000005</v>
      </c>
    </row>
    <row r="18" spans="1:7" s="741" customFormat="1" ht="10.5" customHeight="1">
      <c r="A18" s="683" t="s">
        <v>649</v>
      </c>
      <c r="B18" s="518"/>
      <c r="C18" s="519"/>
      <c r="D18" s="519"/>
      <c r="E18" s="519">
        <v>11376.515069999999</v>
      </c>
      <c r="F18" s="519">
        <v>11376.515069999999</v>
      </c>
      <c r="G18" s="687">
        <v>37841.1371525</v>
      </c>
    </row>
    <row r="19" spans="1:7" ht="10.5" customHeight="1">
      <c r="A19" s="681" t="s">
        <v>108</v>
      </c>
      <c r="B19" s="633" t="s">
        <v>66</v>
      </c>
      <c r="C19" s="634"/>
      <c r="D19" s="634"/>
      <c r="E19" s="634">
        <v>4142.8334999999997</v>
      </c>
      <c r="F19" s="634">
        <v>4142.8334999999997</v>
      </c>
      <c r="G19" s="686">
        <v>12114.100579999998</v>
      </c>
    </row>
    <row r="20" spans="1:7" ht="10.5" customHeight="1">
      <c r="A20" s="681"/>
      <c r="B20" s="633" t="s">
        <v>419</v>
      </c>
      <c r="C20" s="634"/>
      <c r="D20" s="634"/>
      <c r="E20" s="634">
        <v>14499.0965025</v>
      </c>
      <c r="F20" s="634">
        <v>14499.0965025</v>
      </c>
      <c r="G20" s="686">
        <v>43361.544699999999</v>
      </c>
    </row>
    <row r="21" spans="1:7" ht="10.5" customHeight="1">
      <c r="A21" s="681"/>
      <c r="B21" s="633" t="s">
        <v>417</v>
      </c>
      <c r="C21" s="634"/>
      <c r="D21" s="634"/>
      <c r="E21" s="634">
        <v>14102.105352499999</v>
      </c>
      <c r="F21" s="634">
        <v>14102.105352499999</v>
      </c>
      <c r="G21" s="686">
        <v>42898.801367499997</v>
      </c>
    </row>
    <row r="22" spans="1:7" ht="10.5" customHeight="1">
      <c r="A22" s="681"/>
      <c r="B22" s="633" t="s">
        <v>418</v>
      </c>
      <c r="C22" s="634"/>
      <c r="D22" s="634"/>
      <c r="E22" s="634">
        <v>13671.1418275</v>
      </c>
      <c r="F22" s="634">
        <v>13671.1418275</v>
      </c>
      <c r="G22" s="686">
        <v>41831.866150000002</v>
      </c>
    </row>
    <row r="23" spans="1:7" ht="10.5" customHeight="1">
      <c r="A23" s="683" t="s">
        <v>650</v>
      </c>
      <c r="B23" s="518"/>
      <c r="C23" s="519"/>
      <c r="D23" s="519"/>
      <c r="E23" s="519">
        <v>46415.177182500003</v>
      </c>
      <c r="F23" s="519">
        <v>46415.177182500003</v>
      </c>
      <c r="G23" s="687">
        <v>140206.3127975</v>
      </c>
    </row>
    <row r="24" spans="1:7" ht="10.5" customHeight="1">
      <c r="A24" s="681" t="s">
        <v>111</v>
      </c>
      <c r="B24" s="633" t="s">
        <v>233</v>
      </c>
      <c r="C24" s="634"/>
      <c r="D24" s="634"/>
      <c r="E24" s="634">
        <v>3742.1603</v>
      </c>
      <c r="F24" s="634">
        <v>3742.1603</v>
      </c>
      <c r="G24" s="686">
        <v>10234.0501</v>
      </c>
    </row>
    <row r="25" spans="1:7" ht="10.5" customHeight="1">
      <c r="A25" s="683" t="s">
        <v>651</v>
      </c>
      <c r="B25" s="518"/>
      <c r="C25" s="519"/>
      <c r="D25" s="519"/>
      <c r="E25" s="519">
        <v>3742.1603</v>
      </c>
      <c r="F25" s="519">
        <v>3742.1603</v>
      </c>
      <c r="G25" s="687">
        <v>10234.0501</v>
      </c>
    </row>
    <row r="26" spans="1:7" ht="10.5" customHeight="1">
      <c r="A26" s="681" t="s">
        <v>112</v>
      </c>
      <c r="B26" s="633" t="s">
        <v>82</v>
      </c>
      <c r="C26" s="634"/>
      <c r="D26" s="634"/>
      <c r="E26" s="634">
        <v>3460.6206225000001</v>
      </c>
      <c r="F26" s="634">
        <v>3460.6206225000001</v>
      </c>
      <c r="G26" s="686">
        <v>9600.8355924999996</v>
      </c>
    </row>
    <row r="27" spans="1:7" ht="10.5" customHeight="1">
      <c r="A27" s="683" t="s">
        <v>652</v>
      </c>
      <c r="B27" s="518"/>
      <c r="C27" s="519"/>
      <c r="D27" s="519"/>
      <c r="E27" s="519">
        <v>3460.6206225000001</v>
      </c>
      <c r="F27" s="519">
        <v>3460.6206225000001</v>
      </c>
      <c r="G27" s="687">
        <v>9600.8355924999996</v>
      </c>
    </row>
    <row r="28" spans="1:7" ht="10.5" customHeight="1">
      <c r="A28" s="681" t="s">
        <v>116</v>
      </c>
      <c r="B28" s="633" t="s">
        <v>74</v>
      </c>
      <c r="C28" s="634"/>
      <c r="D28" s="634"/>
      <c r="E28" s="634">
        <v>2582.1</v>
      </c>
      <c r="F28" s="634">
        <v>2582.1</v>
      </c>
      <c r="G28" s="686">
        <v>7387.7</v>
      </c>
    </row>
    <row r="29" spans="1:7" ht="10.5" customHeight="1">
      <c r="A29" s="683" t="s">
        <v>653</v>
      </c>
      <c r="B29" s="518"/>
      <c r="C29" s="519"/>
      <c r="D29" s="519"/>
      <c r="E29" s="519">
        <v>2582.1</v>
      </c>
      <c r="F29" s="519">
        <v>2582.1</v>
      </c>
      <c r="G29" s="687">
        <v>7387.7</v>
      </c>
    </row>
    <row r="30" spans="1:7" ht="20.25" customHeight="1">
      <c r="A30" s="685" t="s">
        <v>103</v>
      </c>
      <c r="B30" s="643" t="s">
        <v>322</v>
      </c>
      <c r="C30" s="644">
        <v>14451.628242499999</v>
      </c>
      <c r="D30" s="644"/>
      <c r="E30" s="644"/>
      <c r="F30" s="644">
        <v>14451.628242499999</v>
      </c>
      <c r="G30" s="696">
        <v>42342.649607500003</v>
      </c>
    </row>
    <row r="31" spans="1:7" ht="10.5" customHeight="1">
      <c r="A31" s="683" t="s">
        <v>654</v>
      </c>
      <c r="B31" s="518"/>
      <c r="C31" s="519">
        <v>14451.628242499999</v>
      </c>
      <c r="D31" s="519"/>
      <c r="E31" s="519"/>
      <c r="F31" s="519">
        <v>14451.628242499999</v>
      </c>
      <c r="G31" s="687">
        <v>42342.649607500003</v>
      </c>
    </row>
    <row r="32" spans="1:7" ht="17.25">
      <c r="A32" s="695" t="s">
        <v>429</v>
      </c>
      <c r="B32" s="643" t="s">
        <v>323</v>
      </c>
      <c r="C32" s="644">
        <v>14033.587904999998</v>
      </c>
      <c r="D32" s="644"/>
      <c r="E32" s="644"/>
      <c r="F32" s="644">
        <v>14033.587904999998</v>
      </c>
      <c r="G32" s="696">
        <v>41114.5288325</v>
      </c>
    </row>
    <row r="33" spans="1:7" ht="10.5" customHeight="1">
      <c r="A33" s="683" t="s">
        <v>655</v>
      </c>
      <c r="B33" s="518"/>
      <c r="C33" s="519">
        <v>14033.587904999998</v>
      </c>
      <c r="D33" s="519"/>
      <c r="E33" s="519"/>
      <c r="F33" s="519">
        <v>14033.587904999998</v>
      </c>
      <c r="G33" s="687">
        <v>41114.5288325</v>
      </c>
    </row>
    <row r="34" spans="1:7" ht="10.5" customHeight="1">
      <c r="A34" s="681" t="s">
        <v>240</v>
      </c>
      <c r="B34" s="633" t="s">
        <v>59</v>
      </c>
      <c r="C34" s="634"/>
      <c r="D34" s="634"/>
      <c r="E34" s="634">
        <v>11490.4932525</v>
      </c>
      <c r="F34" s="634">
        <v>11490.4932525</v>
      </c>
      <c r="G34" s="686">
        <v>35295.874702500005</v>
      </c>
    </row>
    <row r="35" spans="1:7" ht="10.5" customHeight="1">
      <c r="A35" s="683" t="s">
        <v>656</v>
      </c>
      <c r="B35" s="518"/>
      <c r="C35" s="519"/>
      <c r="D35" s="519"/>
      <c r="E35" s="519">
        <v>11490.4932525</v>
      </c>
      <c r="F35" s="519">
        <v>11490.4932525</v>
      </c>
      <c r="G35" s="687">
        <v>35295.874702500005</v>
      </c>
    </row>
    <row r="36" spans="1:7" ht="10.5" customHeight="1">
      <c r="A36" s="681" t="s">
        <v>416</v>
      </c>
      <c r="B36" s="633" t="s">
        <v>487</v>
      </c>
      <c r="C36" s="634">
        <v>198.399</v>
      </c>
      <c r="D36" s="634"/>
      <c r="E36" s="634"/>
      <c r="F36" s="634">
        <v>198.399</v>
      </c>
      <c r="G36" s="686">
        <v>1275.9739999999999</v>
      </c>
    </row>
    <row r="37" spans="1:7" ht="10.5" customHeight="1">
      <c r="A37" s="683" t="s">
        <v>657</v>
      </c>
      <c r="B37" s="518"/>
      <c r="C37" s="519">
        <v>198.399</v>
      </c>
      <c r="D37" s="519"/>
      <c r="E37" s="519"/>
      <c r="F37" s="519">
        <v>198.399</v>
      </c>
      <c r="G37" s="687">
        <v>1275.9739999999999</v>
      </c>
    </row>
    <row r="38" spans="1:7" ht="10.5" customHeight="1">
      <c r="A38" s="681" t="s">
        <v>435</v>
      </c>
      <c r="B38" s="633" t="s">
        <v>439</v>
      </c>
      <c r="C38" s="634">
        <v>51470.511979999996</v>
      </c>
      <c r="D38" s="634"/>
      <c r="E38" s="634"/>
      <c r="F38" s="634">
        <v>51470.511979999996</v>
      </c>
      <c r="G38" s="686">
        <v>174234.491075</v>
      </c>
    </row>
    <row r="39" spans="1:7" ht="10.5" customHeight="1">
      <c r="A39" s="683" t="s">
        <v>658</v>
      </c>
      <c r="B39" s="518"/>
      <c r="C39" s="519">
        <v>51470.511979999996</v>
      </c>
      <c r="D39" s="519"/>
      <c r="E39" s="519"/>
      <c r="F39" s="519">
        <v>51470.511979999996</v>
      </c>
      <c r="G39" s="687">
        <v>174234.491075</v>
      </c>
    </row>
    <row r="40" spans="1:7" s="46" customFormat="1" ht="20.25" customHeight="1">
      <c r="A40" s="685" t="s">
        <v>622</v>
      </c>
      <c r="B40" s="643" t="s">
        <v>659</v>
      </c>
      <c r="C40" s="644"/>
      <c r="D40" s="644"/>
      <c r="E40" s="644">
        <v>2541.3475275000001</v>
      </c>
      <c r="F40" s="644">
        <v>2541.3475275000001</v>
      </c>
      <c r="G40" s="696">
        <v>2541.3475275000001</v>
      </c>
    </row>
    <row r="41" spans="1:7" ht="12" customHeight="1">
      <c r="A41" s="683" t="s">
        <v>660</v>
      </c>
      <c r="B41" s="518"/>
      <c r="C41" s="519"/>
      <c r="D41" s="519"/>
      <c r="E41" s="519">
        <v>2541.3475275000001</v>
      </c>
      <c r="F41" s="519">
        <v>2541.3475275000001</v>
      </c>
      <c r="G41" s="687">
        <v>2541.3475275000001</v>
      </c>
    </row>
    <row r="42" spans="1:7" ht="10.5" customHeight="1">
      <c r="A42" s="685" t="s">
        <v>118</v>
      </c>
      <c r="B42" s="643" t="s">
        <v>324</v>
      </c>
      <c r="C42" s="644"/>
      <c r="D42" s="644">
        <v>322.73651999999998</v>
      </c>
      <c r="E42" s="644"/>
      <c r="F42" s="644">
        <v>322.73651999999998</v>
      </c>
      <c r="G42" s="696">
        <v>429.30785750000001</v>
      </c>
    </row>
    <row r="43" spans="1:7" ht="10.5" customHeight="1">
      <c r="A43" s="685"/>
      <c r="B43" s="643" t="s">
        <v>325</v>
      </c>
      <c r="C43" s="644"/>
      <c r="D43" s="644">
        <v>66.438622499999994</v>
      </c>
      <c r="E43" s="644"/>
      <c r="F43" s="644">
        <v>66.438622499999994</v>
      </c>
      <c r="G43" s="696">
        <v>198.30892999999998</v>
      </c>
    </row>
    <row r="44" spans="1:7" ht="10.5" customHeight="1">
      <c r="A44" s="683" t="s">
        <v>661</v>
      </c>
      <c r="B44" s="518"/>
      <c r="C44" s="519"/>
      <c r="D44" s="519">
        <v>389.17514249999999</v>
      </c>
      <c r="E44" s="519"/>
      <c r="F44" s="519">
        <v>389.17514249999999</v>
      </c>
      <c r="G44" s="687">
        <v>627.61678749999999</v>
      </c>
    </row>
    <row r="45" spans="1:7" ht="10.5" customHeight="1">
      <c r="A45" s="685" t="s">
        <v>413</v>
      </c>
      <c r="B45" s="643" t="s">
        <v>326</v>
      </c>
      <c r="C45" s="644"/>
      <c r="D45" s="644">
        <v>35134.795577500001</v>
      </c>
      <c r="E45" s="644"/>
      <c r="F45" s="644">
        <v>35134.795577500001</v>
      </c>
      <c r="G45" s="696">
        <v>409340.38181499997</v>
      </c>
    </row>
    <row r="46" spans="1:7" ht="10.5" customHeight="1">
      <c r="A46" s="685"/>
      <c r="B46" s="643" t="s">
        <v>327</v>
      </c>
      <c r="C46" s="644"/>
      <c r="D46" s="644">
        <v>23005.241985000001</v>
      </c>
      <c r="E46" s="644"/>
      <c r="F46" s="644">
        <v>23005.241985000001</v>
      </c>
      <c r="G46" s="696">
        <v>121520.82338000002</v>
      </c>
    </row>
    <row r="47" spans="1:7" ht="10.5" customHeight="1">
      <c r="A47" s="685"/>
      <c r="B47" s="643" t="s">
        <v>437</v>
      </c>
      <c r="C47" s="644">
        <v>340158.6902675</v>
      </c>
      <c r="D47" s="644"/>
      <c r="E47" s="644"/>
      <c r="F47" s="644">
        <v>340158.6902675</v>
      </c>
      <c r="G47" s="696">
        <v>1088765.758435</v>
      </c>
    </row>
    <row r="48" spans="1:7" ht="10.5" customHeight="1">
      <c r="A48" s="685"/>
      <c r="B48" s="643" t="s">
        <v>328</v>
      </c>
      <c r="C48" s="644">
        <v>7460.3045025000001</v>
      </c>
      <c r="D48" s="644"/>
      <c r="E48" s="644"/>
      <c r="F48" s="644">
        <v>7460.3045025000001</v>
      </c>
      <c r="G48" s="696">
        <v>21230.539220000002</v>
      </c>
    </row>
    <row r="49" spans="1:8" ht="10.5" customHeight="1">
      <c r="A49" s="683" t="s">
        <v>662</v>
      </c>
      <c r="B49" s="518"/>
      <c r="C49" s="519">
        <v>347618.99476999999</v>
      </c>
      <c r="D49" s="519">
        <v>58140.037562500002</v>
      </c>
      <c r="E49" s="519"/>
      <c r="F49" s="519">
        <v>405759.03233249998</v>
      </c>
      <c r="G49" s="687">
        <v>1640857.5028499998</v>
      </c>
    </row>
    <row r="50" spans="1:8" ht="10.5" customHeight="1">
      <c r="A50" s="685" t="s">
        <v>117</v>
      </c>
      <c r="B50" s="643" t="s">
        <v>72</v>
      </c>
      <c r="C50" s="644"/>
      <c r="D50" s="644"/>
      <c r="E50" s="644">
        <v>1929.3764824999998</v>
      </c>
      <c r="F50" s="644">
        <v>1929.3764824999998</v>
      </c>
      <c r="G50" s="696">
        <v>5901.2015650000003</v>
      </c>
    </row>
    <row r="51" spans="1:8" ht="10.5" customHeight="1">
      <c r="A51" s="683" t="s">
        <v>663</v>
      </c>
      <c r="B51" s="518"/>
      <c r="C51" s="519"/>
      <c r="D51" s="519"/>
      <c r="E51" s="519">
        <v>1929.3764824999998</v>
      </c>
      <c r="F51" s="519">
        <v>1929.3764824999998</v>
      </c>
      <c r="G51" s="687">
        <v>5901.2015650000003</v>
      </c>
      <c r="H51" s="366"/>
    </row>
    <row r="52" spans="1:8" ht="10.5" customHeight="1">
      <c r="A52" s="685" t="s">
        <v>110</v>
      </c>
      <c r="B52" s="643" t="s">
        <v>81</v>
      </c>
      <c r="C52" s="644"/>
      <c r="D52" s="644"/>
      <c r="E52" s="644">
        <v>3611.3244249999998</v>
      </c>
      <c r="F52" s="644">
        <v>3611.3244249999998</v>
      </c>
      <c r="G52" s="696">
        <v>10817.662212499999</v>
      </c>
    </row>
    <row r="53" spans="1:8" ht="10.5" customHeight="1">
      <c r="A53" s="683" t="s">
        <v>664</v>
      </c>
      <c r="B53" s="518"/>
      <c r="C53" s="519"/>
      <c r="D53" s="519"/>
      <c r="E53" s="519">
        <v>3611.3244249999998</v>
      </c>
      <c r="F53" s="519">
        <v>3611.3244249999998</v>
      </c>
      <c r="G53" s="687">
        <v>10817.662212499999</v>
      </c>
    </row>
    <row r="54" spans="1:8" ht="10.5" customHeight="1">
      <c r="A54" s="685" t="s">
        <v>241</v>
      </c>
      <c r="B54" s="643" t="s">
        <v>71</v>
      </c>
      <c r="C54" s="644"/>
      <c r="D54" s="644"/>
      <c r="E54" s="644">
        <v>3871.2544475</v>
      </c>
      <c r="F54" s="644">
        <v>3871.2544475</v>
      </c>
      <c r="G54" s="696">
        <v>10544.481905000001</v>
      </c>
    </row>
    <row r="55" spans="1:8" ht="10.5" customHeight="1">
      <c r="A55" s="685"/>
      <c r="B55" s="643" t="s">
        <v>329</v>
      </c>
      <c r="C55" s="644">
        <v>184064.44871999999</v>
      </c>
      <c r="D55" s="644"/>
      <c r="E55" s="644"/>
      <c r="F55" s="644">
        <v>184064.44871999999</v>
      </c>
      <c r="G55" s="696">
        <v>526770.53346000006</v>
      </c>
    </row>
    <row r="56" spans="1:8" ht="10.5" customHeight="1">
      <c r="A56" s="685"/>
      <c r="B56" s="643" t="s">
        <v>330</v>
      </c>
      <c r="C56" s="644">
        <v>62574.075335000001</v>
      </c>
      <c r="D56" s="644"/>
      <c r="E56" s="644"/>
      <c r="F56" s="644">
        <v>62574.075335000001</v>
      </c>
      <c r="G56" s="696">
        <v>161906.1954275</v>
      </c>
    </row>
    <row r="57" spans="1:8" ht="10.5" customHeight="1">
      <c r="A57" s="685"/>
      <c r="B57" s="643" t="s">
        <v>62</v>
      </c>
      <c r="C57" s="644"/>
      <c r="D57" s="644"/>
      <c r="E57" s="644">
        <v>7302.7550149999997</v>
      </c>
      <c r="F57" s="644">
        <v>7302.7550149999997</v>
      </c>
      <c r="G57" s="696">
        <v>21596.746449999999</v>
      </c>
    </row>
    <row r="58" spans="1:8" ht="10.5" customHeight="1">
      <c r="A58" s="683" t="s">
        <v>665</v>
      </c>
      <c r="B58" s="518"/>
      <c r="C58" s="519">
        <v>246638.52405499999</v>
      </c>
      <c r="D58" s="519"/>
      <c r="E58" s="519">
        <v>11174.0094625</v>
      </c>
      <c r="F58" s="519">
        <v>257812.53351749998</v>
      </c>
      <c r="G58" s="687">
        <v>720817.95724250004</v>
      </c>
    </row>
    <row r="59" spans="1:8" ht="10.5" customHeight="1">
      <c r="A59" s="685" t="s">
        <v>242</v>
      </c>
      <c r="B59" s="643" t="s">
        <v>78</v>
      </c>
      <c r="C59" s="644"/>
      <c r="D59" s="644"/>
      <c r="E59" s="644">
        <v>13818.5211275</v>
      </c>
      <c r="F59" s="644">
        <v>13818.5211275</v>
      </c>
      <c r="G59" s="696">
        <v>35887.843345000001</v>
      </c>
    </row>
    <row r="60" spans="1:8" ht="10.5" customHeight="1">
      <c r="A60" s="683" t="s">
        <v>666</v>
      </c>
      <c r="B60" s="518"/>
      <c r="C60" s="519"/>
      <c r="D60" s="519"/>
      <c r="E60" s="519">
        <v>13818.5211275</v>
      </c>
      <c r="F60" s="519">
        <v>13818.5211275</v>
      </c>
      <c r="G60" s="687">
        <v>35887.843345000001</v>
      </c>
    </row>
    <row r="61" spans="1:8" ht="10.5" customHeight="1">
      <c r="A61" s="685" t="s">
        <v>99</v>
      </c>
      <c r="B61" s="643" t="s">
        <v>76</v>
      </c>
      <c r="C61" s="644"/>
      <c r="D61" s="644"/>
      <c r="E61" s="644">
        <v>40093.562445000003</v>
      </c>
      <c r="F61" s="644">
        <v>40093.562445000003</v>
      </c>
      <c r="G61" s="696">
        <v>102341.43219749999</v>
      </c>
    </row>
    <row r="62" spans="1:8" ht="10.5" customHeight="1">
      <c r="A62" s="683" t="s">
        <v>667</v>
      </c>
      <c r="B62" s="518"/>
      <c r="C62" s="519"/>
      <c r="D62" s="519"/>
      <c r="E62" s="519">
        <v>40093.562445000003</v>
      </c>
      <c r="F62" s="519">
        <v>40093.562445000003</v>
      </c>
      <c r="G62" s="687">
        <v>102341.43219749999</v>
      </c>
    </row>
    <row r="63" spans="1:8" ht="10.5" customHeight="1">
      <c r="A63" s="685" t="s">
        <v>107</v>
      </c>
      <c r="B63" s="643" t="s">
        <v>232</v>
      </c>
      <c r="C63" s="644"/>
      <c r="D63" s="644"/>
      <c r="E63" s="644">
        <v>4016.6999925</v>
      </c>
      <c r="F63" s="644">
        <v>4016.6999925</v>
      </c>
      <c r="G63" s="696">
        <v>11754.530909999999</v>
      </c>
    </row>
    <row r="64" spans="1:8" ht="10.5" customHeight="1">
      <c r="A64" s="683" t="s">
        <v>668</v>
      </c>
      <c r="B64" s="518"/>
      <c r="C64" s="519"/>
      <c r="D64" s="519"/>
      <c r="E64" s="519">
        <v>4016.6999925</v>
      </c>
      <c r="F64" s="519">
        <v>4016.6999925</v>
      </c>
      <c r="G64" s="687">
        <v>11754.530909999999</v>
      </c>
    </row>
    <row r="65" spans="1:7" ht="10.5" customHeight="1">
      <c r="A65" s="685" t="s">
        <v>414</v>
      </c>
      <c r="B65" s="643" t="s">
        <v>85</v>
      </c>
      <c r="C65" s="644"/>
      <c r="D65" s="644"/>
      <c r="E65" s="644">
        <v>1615.7404750000001</v>
      </c>
      <c r="F65" s="644">
        <v>1615.7404750000001</v>
      </c>
      <c r="G65" s="696">
        <v>3967.658175</v>
      </c>
    </row>
    <row r="66" spans="1:7" ht="10.5" customHeight="1">
      <c r="A66" s="685"/>
      <c r="B66" s="643" t="s">
        <v>84</v>
      </c>
      <c r="C66" s="644"/>
      <c r="D66" s="644"/>
      <c r="E66" s="644">
        <v>1817.517875</v>
      </c>
      <c r="F66" s="644">
        <v>1817.517875</v>
      </c>
      <c r="G66" s="696">
        <v>6555.5051750000002</v>
      </c>
    </row>
    <row r="67" spans="1:7" ht="10.5" customHeight="1">
      <c r="A67" s="685"/>
      <c r="B67" s="643" t="s">
        <v>434</v>
      </c>
      <c r="C67" s="644"/>
      <c r="D67" s="644"/>
      <c r="E67" s="644">
        <v>1338.0397250000001</v>
      </c>
      <c r="F67" s="644">
        <v>1338.0397250000001</v>
      </c>
      <c r="G67" s="696">
        <v>4313.2212749999999</v>
      </c>
    </row>
    <row r="68" spans="1:7" ht="10.5" customHeight="1">
      <c r="A68" s="683" t="s">
        <v>669</v>
      </c>
      <c r="B68" s="518"/>
      <c r="C68" s="519"/>
      <c r="D68" s="519"/>
      <c r="E68" s="519">
        <v>4771.2980750000006</v>
      </c>
      <c r="F68" s="519">
        <v>4771.2980750000006</v>
      </c>
      <c r="G68" s="687">
        <v>14836.384625000001</v>
      </c>
    </row>
    <row r="69" spans="1:7" ht="10.5" customHeight="1">
      <c r="A69" s="685" t="s">
        <v>243</v>
      </c>
      <c r="B69" s="643" t="s">
        <v>331</v>
      </c>
      <c r="C69" s="644"/>
      <c r="D69" s="644">
        <v>580.10283249999998</v>
      </c>
      <c r="E69" s="644"/>
      <c r="F69" s="644">
        <v>580.10283249999998</v>
      </c>
      <c r="G69" s="696">
        <v>599.82860249999999</v>
      </c>
    </row>
    <row r="70" spans="1:7" ht="10.5" customHeight="1">
      <c r="A70" s="683" t="s">
        <v>670</v>
      </c>
      <c r="B70" s="518"/>
      <c r="C70" s="519"/>
      <c r="D70" s="519">
        <v>580.10283249999998</v>
      </c>
      <c r="E70" s="519"/>
      <c r="F70" s="519">
        <v>580.10283249999998</v>
      </c>
      <c r="G70" s="687">
        <v>599.82860249999999</v>
      </c>
    </row>
    <row r="71" spans="1:7" ht="10.5" customHeight="1">
      <c r="A71" s="685" t="s">
        <v>451</v>
      </c>
      <c r="B71" s="643" t="s">
        <v>480</v>
      </c>
      <c r="C71" s="644"/>
      <c r="D71" s="644"/>
      <c r="E71" s="644">
        <v>14782.1646225</v>
      </c>
      <c r="F71" s="644">
        <v>14782.1646225</v>
      </c>
      <c r="G71" s="696">
        <v>40661.667342500004</v>
      </c>
    </row>
    <row r="72" spans="1:7" ht="10.5" customHeight="1">
      <c r="A72" s="683" t="s">
        <v>671</v>
      </c>
      <c r="B72" s="518"/>
      <c r="C72" s="519"/>
      <c r="D72" s="519"/>
      <c r="E72" s="519">
        <v>14782.1646225</v>
      </c>
      <c r="F72" s="519">
        <v>14782.1646225</v>
      </c>
      <c r="G72" s="687">
        <v>40661.667342500004</v>
      </c>
    </row>
    <row r="73" spans="1:7" ht="10.5" customHeight="1">
      <c r="A73" s="336"/>
      <c r="B73" s="336"/>
      <c r="C73" s="336"/>
      <c r="D73" s="336"/>
      <c r="E73" s="336"/>
      <c r="F73" s="336"/>
      <c r="G73" s="336"/>
    </row>
    <row r="74" spans="1:7" ht="10.5" customHeight="1">
      <c r="A74" s="336"/>
      <c r="B74" s="336"/>
      <c r="C74" s="336"/>
      <c r="D74" s="336"/>
      <c r="E74" s="336"/>
      <c r="F74" s="336"/>
      <c r="G74" s="336"/>
    </row>
    <row r="75" spans="1:7" ht="10.5" customHeight="1">
      <c r="A75" s="336"/>
      <c r="B75" s="336"/>
      <c r="C75" s="336"/>
      <c r="D75" s="336"/>
      <c r="E75" s="336"/>
      <c r="F75" s="336"/>
      <c r="G75" s="336"/>
    </row>
    <row r="76" spans="1:7" ht="10.5" customHeight="1">
      <c r="A76" s="336"/>
      <c r="B76" s="336"/>
      <c r="C76" s="336"/>
      <c r="D76" s="336"/>
      <c r="E76" s="336"/>
      <c r="F76" s="336"/>
      <c r="G76" s="336"/>
    </row>
    <row r="77" spans="1:7" ht="10.5" customHeight="1">
      <c r="A77" s="336"/>
      <c r="B77" s="336"/>
      <c r="C77" s="336"/>
      <c r="D77" s="336"/>
      <c r="E77" s="336"/>
      <c r="F77" s="336"/>
      <c r="G77" s="336"/>
    </row>
    <row r="78" spans="1:7" ht="10.5" customHeight="1">
      <c r="A78" s="336"/>
      <c r="B78" s="336"/>
      <c r="C78" s="336"/>
      <c r="D78" s="336"/>
      <c r="E78" s="336"/>
      <c r="F78" s="336"/>
      <c r="G78" s="336"/>
    </row>
    <row r="79" spans="1:7" ht="10.5" customHeight="1">
      <c r="A79" s="336"/>
      <c r="B79" s="336"/>
      <c r="C79" s="336"/>
      <c r="D79" s="336"/>
      <c r="E79" s="336"/>
      <c r="F79" s="336"/>
      <c r="G79" s="336"/>
    </row>
    <row r="80" spans="1:7" ht="10.5" customHeight="1">
      <c r="A80" s="336"/>
      <c r="B80" s="336"/>
      <c r="C80" s="336"/>
      <c r="D80" s="336"/>
      <c r="E80" s="336"/>
      <c r="F80" s="336"/>
      <c r="G80" s="336"/>
    </row>
    <row r="81" spans="1:7" ht="10.5" customHeight="1">
      <c r="A81" s="336"/>
      <c r="B81" s="336"/>
      <c r="C81" s="336"/>
      <c r="D81" s="336"/>
      <c r="E81" s="336"/>
      <c r="F81" s="336"/>
      <c r="G81" s="336"/>
    </row>
    <row r="82" spans="1:7" ht="10.5" customHeight="1">
      <c r="A82" s="336"/>
      <c r="B82" s="336"/>
      <c r="C82" s="336"/>
      <c r="D82" s="336"/>
      <c r="E82" s="336"/>
      <c r="F82" s="336"/>
      <c r="G82" s="336"/>
    </row>
    <row r="83" spans="1:7" ht="10.5" customHeight="1">
      <c r="A83" s="336"/>
      <c r="B83" s="336"/>
      <c r="C83" s="336"/>
      <c r="D83" s="336"/>
      <c r="E83" s="336"/>
      <c r="F83" s="336"/>
      <c r="G83" s="336"/>
    </row>
    <row r="84" spans="1:7" ht="10.5" customHeight="1">
      <c r="A84" s="336"/>
      <c r="B84" s="336"/>
      <c r="C84" s="336"/>
      <c r="D84" s="336"/>
      <c r="E84" s="336"/>
      <c r="F84" s="336"/>
      <c r="G84" s="336"/>
    </row>
    <row r="85" spans="1:7" ht="10.5" customHeight="1">
      <c r="A85" s="336"/>
      <c r="B85" s="336"/>
      <c r="C85" s="336"/>
      <c r="D85" s="336"/>
      <c r="E85" s="336"/>
      <c r="F85" s="336"/>
      <c r="G85" s="336"/>
    </row>
    <row r="86" spans="1:7" ht="10.5" customHeight="1">
      <c r="A86" s="336"/>
      <c r="B86" s="336"/>
      <c r="C86" s="336"/>
      <c r="D86" s="336"/>
      <c r="E86" s="336"/>
      <c r="F86" s="336"/>
      <c r="G86" s="336"/>
    </row>
    <row r="87" spans="1:7" ht="10.5" customHeight="1">
      <c r="A87" s="336"/>
      <c r="B87" s="336"/>
      <c r="C87" s="336"/>
      <c r="D87" s="336"/>
      <c r="E87" s="336"/>
      <c r="F87" s="336"/>
      <c r="G87" s="336"/>
    </row>
    <row r="88" spans="1:7" ht="10.5" customHeight="1">
      <c r="A88" s="336"/>
      <c r="B88" s="336"/>
      <c r="C88" s="336"/>
      <c r="D88" s="336"/>
      <c r="E88" s="336"/>
      <c r="F88" s="336"/>
      <c r="G88" s="336"/>
    </row>
    <row r="89" spans="1:7" ht="10.5" customHeight="1">
      <c r="A89" s="336"/>
      <c r="B89" s="336"/>
      <c r="C89" s="336"/>
      <c r="D89" s="336"/>
      <c r="E89" s="336"/>
      <c r="F89" s="336"/>
      <c r="G89" s="336"/>
    </row>
    <row r="90" spans="1:7" ht="10.5" customHeight="1">
      <c r="A90" s="336"/>
      <c r="B90" s="336"/>
      <c r="C90" s="336"/>
      <c r="D90" s="336"/>
      <c r="E90" s="336"/>
      <c r="F90" s="336"/>
      <c r="G90" s="336"/>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145" zoomScaleNormal="100" zoomScaleSheetLayoutView="145" zoomScalePageLayoutView="160" workbookViewId="0">
      <selection activeCell="R40" sqref="R40"/>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70" t="s">
        <v>250</v>
      </c>
      <c r="B1" s="973" t="s">
        <v>54</v>
      </c>
      <c r="C1" s="976" t="str">
        <f>+'19. ANEXOI-2'!C1:F1</f>
        <v>ENERGÍA PRODUCIDA MARZO 2020</v>
      </c>
      <c r="D1" s="976"/>
      <c r="E1" s="976"/>
      <c r="F1" s="976"/>
      <c r="G1" s="638" t="s">
        <v>276</v>
      </c>
      <c r="H1" s="203"/>
    </row>
    <row r="2" spans="1:8" ht="11.25" customHeight="1">
      <c r="A2" s="971"/>
      <c r="B2" s="974"/>
      <c r="C2" s="977" t="s">
        <v>277</v>
      </c>
      <c r="D2" s="977"/>
      <c r="E2" s="977"/>
      <c r="F2" s="978" t="str">
        <f>"TOTAL 
"&amp;UPPER('1. Resumen'!Q4)</f>
        <v>TOTAL 
MARZO</v>
      </c>
      <c r="G2" s="639" t="s">
        <v>278</v>
      </c>
      <c r="H2" s="194"/>
    </row>
    <row r="3" spans="1:8" ht="11.25" customHeight="1">
      <c r="A3" s="971"/>
      <c r="B3" s="974"/>
      <c r="C3" s="630" t="s">
        <v>215</v>
      </c>
      <c r="D3" s="630" t="s">
        <v>216</v>
      </c>
      <c r="E3" s="630" t="s">
        <v>279</v>
      </c>
      <c r="F3" s="979"/>
      <c r="G3" s="639">
        <v>2019</v>
      </c>
      <c r="H3" s="196"/>
    </row>
    <row r="4" spans="1:8" ht="11.25" customHeight="1">
      <c r="A4" s="980"/>
      <c r="B4" s="981"/>
      <c r="C4" s="631" t="s">
        <v>280</v>
      </c>
      <c r="D4" s="631" t="s">
        <v>280</v>
      </c>
      <c r="E4" s="631" t="s">
        <v>280</v>
      </c>
      <c r="F4" s="631" t="s">
        <v>280</v>
      </c>
      <c r="G4" s="640" t="s">
        <v>208</v>
      </c>
      <c r="H4" s="196"/>
    </row>
    <row r="5" spans="1:8" s="336" customFormat="1" ht="9" customHeight="1">
      <c r="A5" s="681" t="s">
        <v>104</v>
      </c>
      <c r="B5" s="633" t="s">
        <v>61</v>
      </c>
      <c r="C5" s="634"/>
      <c r="D5" s="634"/>
      <c r="E5" s="634">
        <v>12334.004167499999</v>
      </c>
      <c r="F5" s="634">
        <v>12334.004167499999</v>
      </c>
      <c r="G5" s="686">
        <v>29261.537819999998</v>
      </c>
    </row>
    <row r="6" spans="1:8" s="336" customFormat="1" ht="9" customHeight="1">
      <c r="A6" s="683" t="s">
        <v>672</v>
      </c>
      <c r="B6" s="518"/>
      <c r="C6" s="519"/>
      <c r="D6" s="519"/>
      <c r="E6" s="519">
        <v>12334.004167499999</v>
      </c>
      <c r="F6" s="519">
        <v>12334.004167499999</v>
      </c>
      <c r="G6" s="687">
        <v>29261.537819999998</v>
      </c>
    </row>
    <row r="7" spans="1:8" s="336" customFormat="1" ht="9" customHeight="1">
      <c r="A7" s="681" t="s">
        <v>244</v>
      </c>
      <c r="B7" s="633" t="s">
        <v>332</v>
      </c>
      <c r="C7" s="634"/>
      <c r="D7" s="634">
        <v>0</v>
      </c>
      <c r="E7" s="634"/>
      <c r="F7" s="634">
        <v>0</v>
      </c>
      <c r="G7" s="686">
        <v>992.76196000000004</v>
      </c>
    </row>
    <row r="8" spans="1:8" s="336" customFormat="1" ht="9" customHeight="1">
      <c r="A8" s="683" t="s">
        <v>673</v>
      </c>
      <c r="B8" s="518"/>
      <c r="C8" s="519"/>
      <c r="D8" s="519">
        <v>0</v>
      </c>
      <c r="E8" s="519"/>
      <c r="F8" s="519">
        <v>0</v>
      </c>
      <c r="G8" s="687">
        <v>992.76196000000004</v>
      </c>
    </row>
    <row r="9" spans="1:8" s="336" customFormat="1" ht="9" customHeight="1">
      <c r="A9" s="681" t="s">
        <v>95</v>
      </c>
      <c r="B9" s="633" t="s">
        <v>333</v>
      </c>
      <c r="C9" s="634">
        <v>66232.919160000005</v>
      </c>
      <c r="D9" s="634"/>
      <c r="E9" s="634"/>
      <c r="F9" s="634">
        <v>66232.919160000005</v>
      </c>
      <c r="G9" s="686">
        <v>221566.50040750002</v>
      </c>
    </row>
    <row r="10" spans="1:8" s="336" customFormat="1" ht="9" customHeight="1">
      <c r="A10" s="683" t="s">
        <v>674</v>
      </c>
      <c r="B10" s="518"/>
      <c r="C10" s="519">
        <v>66232.919160000005</v>
      </c>
      <c r="D10" s="519"/>
      <c r="E10" s="519"/>
      <c r="F10" s="519">
        <v>66232.919160000005</v>
      </c>
      <c r="G10" s="687">
        <v>221566.50040750002</v>
      </c>
    </row>
    <row r="11" spans="1:8" s="336" customFormat="1" ht="9" customHeight="1">
      <c r="A11" s="681" t="s">
        <v>436</v>
      </c>
      <c r="B11" s="633" t="s">
        <v>488</v>
      </c>
      <c r="C11" s="634"/>
      <c r="D11" s="634"/>
      <c r="E11" s="634">
        <v>5795.3986249999998</v>
      </c>
      <c r="F11" s="634">
        <v>5795.3986249999998</v>
      </c>
      <c r="G11" s="686">
        <v>16078.229995000002</v>
      </c>
    </row>
    <row r="12" spans="1:8" s="336" customFormat="1" ht="9" customHeight="1">
      <c r="A12" s="683" t="s">
        <v>675</v>
      </c>
      <c r="B12" s="518"/>
      <c r="C12" s="519"/>
      <c r="D12" s="519"/>
      <c r="E12" s="519">
        <v>5795.3986249999998</v>
      </c>
      <c r="F12" s="519">
        <v>5795.3986249999998</v>
      </c>
      <c r="G12" s="687">
        <v>16078.229995000002</v>
      </c>
    </row>
    <row r="13" spans="1:8" s="336" customFormat="1" ht="9" customHeight="1">
      <c r="A13" s="681" t="s">
        <v>403</v>
      </c>
      <c r="B13" s="633" t="s">
        <v>409</v>
      </c>
      <c r="C13" s="634"/>
      <c r="D13" s="634"/>
      <c r="E13" s="634">
        <v>14935.345385000001</v>
      </c>
      <c r="F13" s="634">
        <v>14935.345385000001</v>
      </c>
      <c r="G13" s="686">
        <v>43220.6652025</v>
      </c>
    </row>
    <row r="14" spans="1:8" s="336" customFormat="1" ht="9" customHeight="1">
      <c r="A14" s="683" t="s">
        <v>676</v>
      </c>
      <c r="B14" s="518"/>
      <c r="C14" s="519"/>
      <c r="D14" s="519"/>
      <c r="E14" s="519">
        <v>14935.345385000001</v>
      </c>
      <c r="F14" s="519">
        <v>14935.345385000001</v>
      </c>
      <c r="G14" s="687">
        <v>43220.6652025</v>
      </c>
    </row>
    <row r="15" spans="1:8" s="336" customFormat="1" ht="9" customHeight="1">
      <c r="A15" s="681" t="s">
        <v>102</v>
      </c>
      <c r="B15" s="633" t="s">
        <v>334</v>
      </c>
      <c r="C15" s="634"/>
      <c r="D15" s="634">
        <v>10081.2877025</v>
      </c>
      <c r="E15" s="634"/>
      <c r="F15" s="634">
        <v>10081.2877025</v>
      </c>
      <c r="G15" s="686">
        <v>45912.861019999997</v>
      </c>
    </row>
    <row r="16" spans="1:8" s="336" customFormat="1" ht="9" customHeight="1">
      <c r="A16" s="683" t="s">
        <v>677</v>
      </c>
      <c r="B16" s="518"/>
      <c r="C16" s="519"/>
      <c r="D16" s="519">
        <v>10081.2877025</v>
      </c>
      <c r="E16" s="519"/>
      <c r="F16" s="519">
        <v>10081.2877025</v>
      </c>
      <c r="G16" s="687">
        <v>45912.861019999997</v>
      </c>
    </row>
    <row r="17" spans="1:7" s="336" customFormat="1" ht="9" customHeight="1">
      <c r="A17" s="681" t="s">
        <v>119</v>
      </c>
      <c r="B17" s="633" t="s">
        <v>335</v>
      </c>
      <c r="C17" s="634"/>
      <c r="D17" s="634">
        <v>838.15456749999998</v>
      </c>
      <c r="E17" s="634"/>
      <c r="F17" s="634">
        <v>838.15456749999998</v>
      </c>
      <c r="G17" s="686">
        <v>1239.638475</v>
      </c>
    </row>
    <row r="18" spans="1:7" s="336" customFormat="1" ht="9" customHeight="1">
      <c r="A18" s="683" t="s">
        <v>678</v>
      </c>
      <c r="B18" s="518"/>
      <c r="C18" s="519"/>
      <c r="D18" s="519">
        <v>838.15456749999998</v>
      </c>
      <c r="E18" s="519"/>
      <c r="F18" s="519">
        <v>838.15456749999998</v>
      </c>
      <c r="G18" s="687">
        <v>1239.638475</v>
      </c>
    </row>
    <row r="19" spans="1:7" s="336" customFormat="1" ht="9" customHeight="1">
      <c r="A19" s="681" t="s">
        <v>113</v>
      </c>
      <c r="B19" s="633" t="s">
        <v>481</v>
      </c>
      <c r="C19" s="634"/>
      <c r="D19" s="634"/>
      <c r="E19" s="634">
        <v>14782.588337500001</v>
      </c>
      <c r="F19" s="634">
        <v>14782.588337500001</v>
      </c>
      <c r="G19" s="686">
        <v>42477.851242500001</v>
      </c>
    </row>
    <row r="20" spans="1:7" s="336" customFormat="1" ht="9" customHeight="1">
      <c r="A20" s="681"/>
      <c r="B20" s="633" t="s">
        <v>69</v>
      </c>
      <c r="C20" s="634"/>
      <c r="D20" s="634"/>
      <c r="E20" s="634">
        <v>6496.6587300000001</v>
      </c>
      <c r="F20" s="634">
        <v>6496.6587300000001</v>
      </c>
      <c r="G20" s="686">
        <v>14282.277665</v>
      </c>
    </row>
    <row r="21" spans="1:7" s="336" customFormat="1" ht="9" customHeight="1">
      <c r="A21" s="683" t="s">
        <v>679</v>
      </c>
      <c r="B21" s="518"/>
      <c r="C21" s="519"/>
      <c r="D21" s="519"/>
      <c r="E21" s="519">
        <v>21279.2470675</v>
      </c>
      <c r="F21" s="519">
        <v>21279.2470675</v>
      </c>
      <c r="G21" s="687">
        <v>56760.128907500002</v>
      </c>
    </row>
    <row r="22" spans="1:7" s="336" customFormat="1" ht="9" customHeight="1">
      <c r="A22" s="681" t="s">
        <v>90</v>
      </c>
      <c r="B22" s="633" t="s">
        <v>336</v>
      </c>
      <c r="C22" s="634">
        <v>32680.3396125</v>
      </c>
      <c r="D22" s="634"/>
      <c r="E22" s="634"/>
      <c r="F22" s="634">
        <v>32680.3396125</v>
      </c>
      <c r="G22" s="686">
        <v>92813.439149999991</v>
      </c>
    </row>
    <row r="23" spans="1:7" s="336" customFormat="1" ht="9" customHeight="1">
      <c r="A23" s="681"/>
      <c r="B23" s="633" t="s">
        <v>337</v>
      </c>
      <c r="C23" s="634">
        <v>101761.816655</v>
      </c>
      <c r="D23" s="634"/>
      <c r="E23" s="634"/>
      <c r="F23" s="634">
        <v>101761.816655</v>
      </c>
      <c r="G23" s="686">
        <v>277142.41956750001</v>
      </c>
    </row>
    <row r="24" spans="1:7" s="336" customFormat="1" ht="9" customHeight="1">
      <c r="A24" s="681"/>
      <c r="B24" s="633" t="s">
        <v>338</v>
      </c>
      <c r="C24" s="634">
        <v>14041.558454999999</v>
      </c>
      <c r="D24" s="634"/>
      <c r="E24" s="634"/>
      <c r="F24" s="634">
        <v>14041.558454999999</v>
      </c>
      <c r="G24" s="686">
        <v>53339.511574999997</v>
      </c>
    </row>
    <row r="25" spans="1:7" s="336" customFormat="1" ht="9" customHeight="1">
      <c r="A25" s="681"/>
      <c r="B25" s="633" t="s">
        <v>339</v>
      </c>
      <c r="C25" s="634">
        <v>99.868385000000004</v>
      </c>
      <c r="D25" s="634"/>
      <c r="E25" s="634"/>
      <c r="F25" s="634">
        <v>99.868385000000004</v>
      </c>
      <c r="G25" s="686">
        <v>223.55612500000001</v>
      </c>
    </row>
    <row r="26" spans="1:7" s="336" customFormat="1" ht="9" customHeight="1">
      <c r="A26" s="681"/>
      <c r="B26" s="633" t="s">
        <v>340</v>
      </c>
      <c r="C26" s="634">
        <v>32865.397402499999</v>
      </c>
      <c r="D26" s="634"/>
      <c r="E26" s="634"/>
      <c r="F26" s="634">
        <v>32865.397402499999</v>
      </c>
      <c r="G26" s="686">
        <v>86527.9219725</v>
      </c>
    </row>
    <row r="27" spans="1:7" s="336" customFormat="1" ht="9" customHeight="1">
      <c r="A27" s="681"/>
      <c r="B27" s="633" t="s">
        <v>341</v>
      </c>
      <c r="C27" s="634">
        <v>2404.4378400000001</v>
      </c>
      <c r="D27" s="634"/>
      <c r="E27" s="634"/>
      <c r="F27" s="634">
        <v>2404.4378400000001</v>
      </c>
      <c r="G27" s="686">
        <v>7186.0917200000004</v>
      </c>
    </row>
    <row r="28" spans="1:7" s="336" customFormat="1" ht="9" customHeight="1">
      <c r="A28" s="681"/>
      <c r="B28" s="633" t="s">
        <v>342</v>
      </c>
      <c r="C28" s="634">
        <v>4495.9017599999997</v>
      </c>
      <c r="D28" s="634"/>
      <c r="E28" s="634"/>
      <c r="F28" s="634">
        <v>4495.9017599999997</v>
      </c>
      <c r="G28" s="686">
        <v>15550.810469999999</v>
      </c>
    </row>
    <row r="29" spans="1:7" s="336" customFormat="1" ht="8.25" customHeight="1">
      <c r="A29" s="681"/>
      <c r="B29" s="633" t="s">
        <v>343</v>
      </c>
      <c r="C29" s="634">
        <v>1103.64932</v>
      </c>
      <c r="D29" s="634"/>
      <c r="E29" s="634"/>
      <c r="F29" s="634">
        <v>1103.64932</v>
      </c>
      <c r="G29" s="686">
        <v>3144.0930699999999</v>
      </c>
    </row>
    <row r="30" spans="1:7" s="336" customFormat="1" ht="9" customHeight="1">
      <c r="A30" s="681"/>
      <c r="B30" s="633" t="s">
        <v>344</v>
      </c>
      <c r="C30" s="634">
        <v>1280.8801024999998</v>
      </c>
      <c r="D30" s="634"/>
      <c r="E30" s="634"/>
      <c r="F30" s="634">
        <v>1280.8801024999998</v>
      </c>
      <c r="G30" s="686">
        <v>4566.7864024999999</v>
      </c>
    </row>
    <row r="31" spans="1:7" s="336" customFormat="1" ht="9" customHeight="1">
      <c r="A31" s="681"/>
      <c r="B31" s="633" t="s">
        <v>345</v>
      </c>
      <c r="C31" s="634">
        <v>213.56652500000001</v>
      </c>
      <c r="D31" s="634"/>
      <c r="E31" s="634"/>
      <c r="F31" s="634">
        <v>213.56652500000001</v>
      </c>
      <c r="G31" s="686">
        <v>659.96167249999996</v>
      </c>
    </row>
    <row r="32" spans="1:7" s="336" customFormat="1" ht="9" customHeight="1">
      <c r="A32" s="681"/>
      <c r="B32" s="633" t="s">
        <v>346</v>
      </c>
      <c r="C32" s="634">
        <v>257.00441499999999</v>
      </c>
      <c r="D32" s="634"/>
      <c r="E32" s="634"/>
      <c r="F32" s="634">
        <v>257.00441499999999</v>
      </c>
      <c r="G32" s="686">
        <v>560.74037750000002</v>
      </c>
    </row>
    <row r="33" spans="1:8" s="336" customFormat="1" ht="9" customHeight="1">
      <c r="A33" s="681"/>
      <c r="B33" s="633" t="s">
        <v>347</v>
      </c>
      <c r="C33" s="634">
        <v>70477.307677500008</v>
      </c>
      <c r="D33" s="634"/>
      <c r="E33" s="634"/>
      <c r="F33" s="634">
        <v>70477.307677500008</v>
      </c>
      <c r="G33" s="686">
        <v>221286.97295750002</v>
      </c>
    </row>
    <row r="34" spans="1:8" s="336" customFormat="1" ht="9" customHeight="1">
      <c r="A34" s="683" t="s">
        <v>680</v>
      </c>
      <c r="B34" s="518"/>
      <c r="C34" s="519">
        <v>261681.72815000004</v>
      </c>
      <c r="D34" s="519"/>
      <c r="E34" s="519"/>
      <c r="F34" s="519">
        <v>261681.72815000004</v>
      </c>
      <c r="G34" s="687">
        <v>763002.30505999993</v>
      </c>
    </row>
    <row r="35" spans="1:8" s="336" customFormat="1" ht="9" customHeight="1">
      <c r="A35" s="681" t="s">
        <v>109</v>
      </c>
      <c r="B35" s="633" t="s">
        <v>231</v>
      </c>
      <c r="C35" s="634"/>
      <c r="D35" s="634"/>
      <c r="E35" s="634">
        <v>3918.3697999999999</v>
      </c>
      <c r="F35" s="634">
        <v>3918.3697999999999</v>
      </c>
      <c r="G35" s="686">
        <v>11736.489275</v>
      </c>
    </row>
    <row r="36" spans="1:8" s="336" customFormat="1" ht="9" customHeight="1">
      <c r="A36" s="683" t="s">
        <v>681</v>
      </c>
      <c r="B36" s="518"/>
      <c r="C36" s="519"/>
      <c r="D36" s="519"/>
      <c r="E36" s="519">
        <v>3918.3697999999999</v>
      </c>
      <c r="F36" s="519">
        <v>3918.3697999999999</v>
      </c>
      <c r="G36" s="687">
        <v>11736.489275</v>
      </c>
    </row>
    <row r="37" spans="1:8">
      <c r="A37" s="681" t="s">
        <v>100</v>
      </c>
      <c r="B37" s="633" t="s">
        <v>438</v>
      </c>
      <c r="C37" s="633"/>
      <c r="D37" s="633">
        <v>83499.016690000004</v>
      </c>
      <c r="E37" s="633"/>
      <c r="F37" s="633">
        <v>83499.016690000004</v>
      </c>
      <c r="G37" s="688">
        <v>363791.76494999998</v>
      </c>
    </row>
    <row r="38" spans="1:8">
      <c r="A38" s="683" t="s">
        <v>682</v>
      </c>
      <c r="B38" s="518"/>
      <c r="C38" s="519"/>
      <c r="D38" s="519">
        <v>83499.016690000004</v>
      </c>
      <c r="E38" s="519"/>
      <c r="F38" s="519">
        <v>83499.016690000004</v>
      </c>
      <c r="G38" s="687">
        <v>363791.76494999998</v>
      </c>
    </row>
    <row r="39" spans="1:8">
      <c r="A39" s="689" t="s">
        <v>105</v>
      </c>
      <c r="B39" s="645" t="s">
        <v>348</v>
      </c>
      <c r="C39" s="646"/>
      <c r="D39" s="646">
        <v>0</v>
      </c>
      <c r="E39" s="646"/>
      <c r="F39" s="646">
        <v>0</v>
      </c>
      <c r="G39" s="690">
        <v>15849.26288</v>
      </c>
    </row>
    <row r="40" spans="1:8">
      <c r="A40" s="691" t="s">
        <v>683</v>
      </c>
      <c r="B40" s="692"/>
      <c r="C40" s="693"/>
      <c r="D40" s="693">
        <v>0</v>
      </c>
      <c r="E40" s="693"/>
      <c r="F40" s="693">
        <v>0</v>
      </c>
      <c r="G40" s="694">
        <v>15849.26288</v>
      </c>
    </row>
    <row r="41" spans="1:8">
      <c r="A41" s="503" t="s">
        <v>426</v>
      </c>
      <c r="B41" s="503"/>
      <c r="C41" s="502">
        <v>2868523.5198474992</v>
      </c>
      <c r="D41" s="502">
        <v>676137.35825499985</v>
      </c>
      <c r="E41" s="502">
        <v>454396.27045249997</v>
      </c>
      <c r="F41" s="502">
        <v>3999057.1485549994</v>
      </c>
      <c r="G41" s="647">
        <v>13000666.071845002</v>
      </c>
    </row>
    <row r="42" spans="1:8">
      <c r="A42" s="503" t="s">
        <v>349</v>
      </c>
      <c r="B42" s="503"/>
      <c r="C42" s="504"/>
      <c r="D42" s="504"/>
      <c r="E42" s="540"/>
      <c r="F42" s="505">
        <f>+'3. Tipo Generación'!D14*1000</f>
        <v>0</v>
      </c>
      <c r="G42" s="648">
        <f>+'4. Tipo Recurso'!$G$21*1000</f>
        <v>0</v>
      </c>
    </row>
    <row r="43" spans="1:8">
      <c r="A43" s="649" t="s">
        <v>350</v>
      </c>
      <c r="B43" s="503"/>
      <c r="C43" s="504"/>
      <c r="D43" s="504"/>
      <c r="E43" s="540"/>
      <c r="F43" s="505"/>
      <c r="G43" s="648"/>
    </row>
    <row r="44" spans="1:8" ht="6.75" customHeight="1">
      <c r="A44" s="650"/>
      <c r="B44" s="650"/>
      <c r="C44" s="650"/>
      <c r="D44" s="650"/>
      <c r="E44" s="650"/>
      <c r="F44" s="650"/>
      <c r="G44" s="650"/>
    </row>
    <row r="45" spans="1:8" ht="23.25" customHeight="1">
      <c r="A45" s="983" t="s">
        <v>504</v>
      </c>
      <c r="B45" s="983"/>
      <c r="C45" s="983"/>
      <c r="D45" s="983"/>
      <c r="E45" s="983"/>
      <c r="F45" s="983"/>
      <c r="G45" s="983"/>
    </row>
    <row r="46" spans="1:8" ht="17.25" customHeight="1">
      <c r="A46" s="714"/>
      <c r="B46" s="714"/>
      <c r="C46" s="714"/>
      <c r="D46" s="714"/>
      <c r="E46" s="714"/>
      <c r="F46" s="714"/>
      <c r="G46" s="714"/>
      <c r="H46" s="46"/>
    </row>
    <row r="47" spans="1:8" ht="17.25" customHeight="1">
      <c r="A47" s="714"/>
      <c r="B47" s="714"/>
      <c r="C47" s="714"/>
      <c r="D47" s="714"/>
      <c r="E47" s="714"/>
      <c r="F47" s="714"/>
      <c r="G47" s="714"/>
      <c r="H47" s="46"/>
    </row>
    <row r="48" spans="1:8" s="417" customFormat="1" ht="17.25" customHeight="1">
      <c r="A48" s="714"/>
      <c r="B48" s="714"/>
      <c r="C48" s="714"/>
      <c r="D48" s="714"/>
      <c r="E48" s="714"/>
      <c r="F48" s="714"/>
      <c r="G48" s="714"/>
      <c r="H48" s="46"/>
    </row>
    <row r="49" spans="1:8" ht="17.25" customHeight="1">
      <c r="A49" s="714"/>
      <c r="B49" s="714"/>
      <c r="C49" s="714"/>
      <c r="D49" s="714"/>
      <c r="E49" s="714"/>
      <c r="F49" s="714"/>
      <c r="G49" s="714"/>
      <c r="H49" s="46"/>
    </row>
    <row r="50" spans="1:8" ht="17.25" customHeight="1">
      <c r="A50" s="714"/>
      <c r="B50" s="283"/>
      <c r="C50" s="283"/>
      <c r="D50" s="283"/>
      <c r="E50" s="283"/>
      <c r="F50" s="283"/>
      <c r="G50" s="46"/>
      <c r="H50" s="46"/>
    </row>
    <row r="51" spans="1:8" ht="17.25" customHeight="1">
      <c r="A51" s="714"/>
      <c r="B51" s="283"/>
      <c r="C51" s="283"/>
      <c r="D51" s="283"/>
      <c r="E51" s="283"/>
      <c r="F51" s="283"/>
      <c r="G51" s="46"/>
      <c r="H51" s="46"/>
    </row>
    <row r="52" spans="1:8" ht="22.5" customHeight="1">
      <c r="A52" s="982"/>
      <c r="B52" s="982"/>
      <c r="C52" s="982"/>
      <c r="D52" s="982"/>
      <c r="E52" s="982"/>
      <c r="F52" s="982"/>
      <c r="G52" s="982"/>
    </row>
    <row r="53" spans="1:8" ht="16.5" customHeight="1">
      <c r="A53" s="714"/>
      <c r="B53" s="279"/>
      <c r="C53" s="279"/>
      <c r="D53" s="279"/>
      <c r="E53" s="279"/>
      <c r="F53" s="279"/>
    </row>
    <row r="54" spans="1:8" s="741" customFormat="1" ht="16.5" customHeight="1">
      <c r="A54" s="714"/>
      <c r="B54" s="279"/>
      <c r="C54" s="279"/>
      <c r="D54" s="279"/>
      <c r="E54" s="279"/>
      <c r="F54" s="279"/>
    </row>
    <row r="55" spans="1:8" s="741" customFormat="1" ht="16.5" customHeight="1">
      <c r="A55" s="714"/>
      <c r="B55" s="279"/>
      <c r="C55" s="279"/>
      <c r="D55" s="279"/>
      <c r="E55" s="279"/>
      <c r="F55" s="279"/>
    </row>
    <row r="56" spans="1:8">
      <c r="A56" s="336"/>
      <c r="B56" s="279"/>
      <c r="C56" s="279"/>
      <c r="D56" s="279"/>
      <c r="E56" s="279"/>
      <c r="F56" s="279"/>
    </row>
    <row r="57" spans="1:8">
      <c r="A57" s="336"/>
      <c r="B57" s="279"/>
      <c r="C57" s="279"/>
      <c r="D57" s="279"/>
      <c r="E57" s="279"/>
      <c r="F57" s="279"/>
    </row>
    <row r="58" spans="1:8">
      <c r="A58" s="336"/>
      <c r="B58" s="279"/>
      <c r="C58" s="279"/>
      <c r="D58" s="279"/>
      <c r="E58" s="279"/>
      <c r="F58" s="279"/>
    </row>
    <row r="59" spans="1:8">
      <c r="A59" s="336"/>
      <c r="B59" s="279"/>
      <c r="C59" s="279"/>
      <c r="D59" s="279"/>
      <c r="E59" s="279"/>
      <c r="F59" s="279"/>
    </row>
    <row r="60" spans="1:8">
      <c r="A60" s="336"/>
      <c r="B60" s="279"/>
      <c r="C60" s="279"/>
      <c r="D60" s="279"/>
      <c r="E60" s="279"/>
      <c r="F60" s="279"/>
    </row>
    <row r="61" spans="1:8">
      <c r="A61" s="336"/>
    </row>
    <row r="62" spans="1:8">
      <c r="A62" s="336"/>
    </row>
    <row r="63" spans="1:8">
      <c r="A63" s="336"/>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30" zoomScaleNormal="100" zoomScaleSheetLayoutView="130" zoomScalePageLayoutView="160" workbookViewId="0">
      <selection activeCell="R40" sqref="R40"/>
    </sheetView>
  </sheetViews>
  <sheetFormatPr baseColWidth="10"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59" t="s">
        <v>353</v>
      </c>
      <c r="B1" s="660"/>
      <c r="C1" s="660"/>
      <c r="D1" s="660"/>
      <c r="E1" s="660"/>
      <c r="F1" s="660"/>
    </row>
    <row r="2" spans="1:12" s="336" customFormat="1" ht="11.25" customHeight="1">
      <c r="A2" s="984" t="s">
        <v>250</v>
      </c>
      <c r="B2" s="987" t="s">
        <v>54</v>
      </c>
      <c r="C2" s="987" t="s">
        <v>354</v>
      </c>
      <c r="D2" s="987"/>
      <c r="E2" s="987"/>
      <c r="F2" s="990"/>
      <c r="G2" s="444"/>
      <c r="H2" s="444"/>
      <c r="I2" s="444"/>
      <c r="J2" s="444"/>
      <c r="K2" s="444"/>
    </row>
    <row r="3" spans="1:12" s="336" customFormat="1" ht="11.25" customHeight="1">
      <c r="A3" s="985"/>
      <c r="B3" s="988"/>
      <c r="C3" s="506" t="str">
        <f>UPPER('1. Resumen'!Q4)&amp;" "&amp;'1. Resumen'!Q5</f>
        <v>MARZO 2020</v>
      </c>
      <c r="D3" s="507" t="str">
        <f>UPPER('1. Resumen'!Q4)&amp;" "&amp;'1. Resumen'!Q5-1</f>
        <v>MARZO 2019</v>
      </c>
      <c r="E3" s="507">
        <v>2020</v>
      </c>
      <c r="F3" s="651" t="s">
        <v>503</v>
      </c>
      <c r="G3" s="445"/>
      <c r="H3" s="445"/>
      <c r="I3" s="445"/>
      <c r="J3" s="445"/>
      <c r="K3" s="445"/>
      <c r="L3" s="444"/>
    </row>
    <row r="4" spans="1:12" s="336" customFormat="1" ht="11.25" customHeight="1">
      <c r="A4" s="985"/>
      <c r="B4" s="988"/>
      <c r="C4" s="509">
        <f>+'8. Max Potencia'!D8</f>
        <v>43899.822916666664</v>
      </c>
      <c r="D4" s="509">
        <f>+'8. Max Potencia'!E8</f>
        <v>43549.791666666664</v>
      </c>
      <c r="E4" s="509">
        <f>+'8. Max Potencia'!G8</f>
        <v>43886.8125</v>
      </c>
      <c r="F4" s="652" t="s">
        <v>351</v>
      </c>
      <c r="G4" s="446"/>
      <c r="H4" s="446"/>
      <c r="I4" s="447"/>
      <c r="J4" s="447"/>
      <c r="K4" s="447"/>
      <c r="L4" s="444"/>
    </row>
    <row r="5" spans="1:12" s="336" customFormat="1" ht="11.25" customHeight="1">
      <c r="A5" s="986"/>
      <c r="B5" s="989"/>
      <c r="C5" s="654">
        <f>+'8. Max Potencia'!D9</f>
        <v>43899.822916666664</v>
      </c>
      <c r="D5" s="654">
        <f>+'8. Max Potencia'!E9</f>
        <v>43549.791666666664</v>
      </c>
      <c r="E5" s="654">
        <f>+'8. Max Potencia'!G9</f>
        <v>43886.8125</v>
      </c>
      <c r="F5" s="655" t="s">
        <v>352</v>
      </c>
      <c r="G5" s="446"/>
      <c r="H5" s="446"/>
      <c r="I5" s="446"/>
      <c r="J5" s="446"/>
      <c r="K5" s="446"/>
      <c r="L5" s="448"/>
    </row>
    <row r="6" spans="1:12" s="336" customFormat="1" ht="9" customHeight="1">
      <c r="A6" s="702" t="s">
        <v>121</v>
      </c>
      <c r="B6" s="441" t="s">
        <v>86</v>
      </c>
      <c r="C6" s="449">
        <v>0</v>
      </c>
      <c r="D6" s="804">
        <v>3.87323</v>
      </c>
      <c r="E6" s="807">
        <v>0</v>
      </c>
      <c r="F6" s="707">
        <f>+IF(D6=0,"",C6/D6-1)</f>
        <v>-1</v>
      </c>
      <c r="G6" s="446"/>
      <c r="H6" s="765"/>
      <c r="I6" s="765"/>
      <c r="J6" s="446"/>
      <c r="K6" s="446"/>
      <c r="L6" s="450"/>
    </row>
    <row r="7" spans="1:12" s="336" customFormat="1" ht="9" customHeight="1">
      <c r="A7" s="683" t="s">
        <v>624</v>
      </c>
      <c r="B7" s="518"/>
      <c r="C7" s="520">
        <v>0</v>
      </c>
      <c r="D7" s="805">
        <v>3.87323</v>
      </c>
      <c r="E7" s="808">
        <v>0</v>
      </c>
      <c r="F7" s="684">
        <f t="shared" ref="F7:F70" si="0">+IF(D7=0,"",C7/D7-1)</f>
        <v>-1</v>
      </c>
      <c r="G7" s="446"/>
      <c r="H7" s="765"/>
      <c r="I7" s="765"/>
      <c r="J7" s="446"/>
      <c r="K7" s="446"/>
      <c r="L7" s="451"/>
    </row>
    <row r="8" spans="1:12" s="336" customFormat="1" ht="9" customHeight="1">
      <c r="A8" s="702" t="s">
        <v>120</v>
      </c>
      <c r="B8" s="441" t="s">
        <v>63</v>
      </c>
      <c r="C8" s="449">
        <v>18.959669999999999</v>
      </c>
      <c r="D8" s="804">
        <v>17.510750000000002</v>
      </c>
      <c r="E8" s="807">
        <v>12.31569</v>
      </c>
      <c r="F8" s="708">
        <f t="shared" si="0"/>
        <v>8.2744599745870229E-2</v>
      </c>
      <c r="G8" s="446"/>
      <c r="H8" s="765"/>
      <c r="I8" s="765"/>
      <c r="J8" s="446"/>
      <c r="K8" s="446"/>
      <c r="L8" s="452"/>
    </row>
    <row r="9" spans="1:12" s="336" customFormat="1" ht="9" customHeight="1">
      <c r="A9" s="683" t="s">
        <v>625</v>
      </c>
      <c r="B9" s="518"/>
      <c r="C9" s="520">
        <v>18.959669999999999</v>
      </c>
      <c r="D9" s="805">
        <v>17.510750000000002</v>
      </c>
      <c r="E9" s="808">
        <v>12.31569</v>
      </c>
      <c r="F9" s="684">
        <f t="shared" si="0"/>
        <v>8.2744599745870229E-2</v>
      </c>
      <c r="G9" s="446"/>
      <c r="H9" s="765"/>
      <c r="I9" s="765"/>
      <c r="J9" s="446"/>
      <c r="K9" s="446"/>
      <c r="L9" s="451"/>
    </row>
    <row r="10" spans="1:12" s="336" customFormat="1" ht="9" customHeight="1">
      <c r="A10" s="681" t="s">
        <v>106</v>
      </c>
      <c r="B10" s="633" t="s">
        <v>83</v>
      </c>
      <c r="C10" s="635">
        <v>0</v>
      </c>
      <c r="D10" s="806">
        <v>2.2650199999999998</v>
      </c>
      <c r="E10" s="809">
        <v>0</v>
      </c>
      <c r="F10" s="682">
        <f t="shared" si="0"/>
        <v>-1</v>
      </c>
      <c r="G10" s="446"/>
      <c r="H10" s="765"/>
      <c r="I10" s="765"/>
      <c r="J10" s="446"/>
      <c r="K10" s="446"/>
      <c r="L10" s="451"/>
    </row>
    <row r="11" spans="1:12" s="336" customFormat="1" ht="9" customHeight="1">
      <c r="A11" s="683" t="s">
        <v>626</v>
      </c>
      <c r="B11" s="518"/>
      <c r="C11" s="520">
        <v>0</v>
      </c>
      <c r="D11" s="805">
        <v>2.2650199999999998</v>
      </c>
      <c r="E11" s="808">
        <v>0</v>
      </c>
      <c r="F11" s="684">
        <f t="shared" si="0"/>
        <v>-1</v>
      </c>
      <c r="G11" s="446"/>
      <c r="H11" s="765"/>
      <c r="I11" s="765"/>
      <c r="J11" s="446"/>
      <c r="K11" s="446"/>
      <c r="L11" s="451"/>
    </row>
    <row r="12" spans="1:12" s="336" customFormat="1" ht="9" customHeight="1">
      <c r="A12" s="681" t="s">
        <v>422</v>
      </c>
      <c r="B12" s="633" t="s">
        <v>424</v>
      </c>
      <c r="C12" s="635">
        <v>20.756149999999998</v>
      </c>
      <c r="D12" s="806">
        <v>20.481760000000001</v>
      </c>
      <c r="E12" s="809">
        <v>20.564639999999997</v>
      </c>
      <c r="F12" s="682">
        <f t="shared" si="0"/>
        <v>1.3396797931427562E-2</v>
      </c>
      <c r="G12" s="446"/>
      <c r="H12" s="765"/>
      <c r="I12" s="765"/>
      <c r="J12" s="446"/>
      <c r="K12" s="446"/>
      <c r="L12" s="451"/>
    </row>
    <row r="13" spans="1:12" s="336" customFormat="1" ht="9" customHeight="1">
      <c r="A13" s="683" t="s">
        <v>627</v>
      </c>
      <c r="B13" s="518"/>
      <c r="C13" s="520">
        <v>20.756149999999998</v>
      </c>
      <c r="D13" s="805">
        <v>20.481760000000001</v>
      </c>
      <c r="E13" s="808">
        <v>20.564639999999997</v>
      </c>
      <c r="F13" s="684">
        <f t="shared" si="0"/>
        <v>1.3396797931427562E-2</v>
      </c>
      <c r="G13" s="446"/>
      <c r="H13" s="765"/>
      <c r="I13" s="765"/>
      <c r="J13" s="446"/>
      <c r="K13" s="446"/>
      <c r="L13" s="451"/>
    </row>
    <row r="14" spans="1:12" s="336" customFormat="1" ht="9" customHeight="1">
      <c r="A14" s="681" t="s">
        <v>477</v>
      </c>
      <c r="B14" s="633" t="s">
        <v>485</v>
      </c>
      <c r="C14" s="635">
        <v>8.4280000000000008</v>
      </c>
      <c r="D14" s="806"/>
      <c r="E14" s="809">
        <v>9.125</v>
      </c>
      <c r="F14" s="682" t="str">
        <f t="shared" si="0"/>
        <v/>
      </c>
      <c r="G14" s="446"/>
      <c r="H14" s="765"/>
      <c r="I14" s="765"/>
      <c r="J14" s="446"/>
      <c r="K14" s="446"/>
      <c r="L14" s="451"/>
    </row>
    <row r="15" spans="1:12" s="336" customFormat="1" ht="9" customHeight="1">
      <c r="A15" s="683" t="s">
        <v>628</v>
      </c>
      <c r="B15" s="518"/>
      <c r="C15" s="520">
        <v>8.4280000000000008</v>
      </c>
      <c r="D15" s="805"/>
      <c r="E15" s="808">
        <v>9.125</v>
      </c>
      <c r="F15" s="684" t="str">
        <f t="shared" si="0"/>
        <v/>
      </c>
      <c r="G15" s="446"/>
      <c r="H15" s="765"/>
      <c r="I15" s="765"/>
      <c r="J15" s="446"/>
      <c r="K15" s="446"/>
      <c r="L15" s="451"/>
    </row>
    <row r="16" spans="1:12" s="336" customFormat="1" ht="9" customHeight="1">
      <c r="A16" s="681" t="s">
        <v>94</v>
      </c>
      <c r="B16" s="633" t="s">
        <v>281</v>
      </c>
      <c r="C16" s="635">
        <v>213.68581</v>
      </c>
      <c r="D16" s="806">
        <v>213.95783</v>
      </c>
      <c r="E16" s="809">
        <v>209.33445999999998</v>
      </c>
      <c r="F16" s="682">
        <f t="shared" si="0"/>
        <v>-1.2713720269083018E-3</v>
      </c>
      <c r="G16" s="446"/>
      <c r="H16" s="765"/>
      <c r="I16" s="765"/>
      <c r="J16" s="446"/>
      <c r="K16" s="446"/>
      <c r="L16" s="451"/>
    </row>
    <row r="17" spans="1:16" s="336" customFormat="1" ht="9" customHeight="1">
      <c r="A17" s="683" t="s">
        <v>629</v>
      </c>
      <c r="B17" s="518"/>
      <c r="C17" s="520">
        <v>213.68581</v>
      </c>
      <c r="D17" s="805">
        <v>213.95783</v>
      </c>
      <c r="E17" s="808">
        <v>209.33445999999998</v>
      </c>
      <c r="F17" s="684">
        <f t="shared" si="0"/>
        <v>-1.2713720269083018E-3</v>
      </c>
      <c r="G17" s="446"/>
      <c r="H17" s="765"/>
      <c r="I17" s="765"/>
      <c r="J17" s="446"/>
      <c r="K17" s="446"/>
      <c r="L17" s="452"/>
    </row>
    <row r="18" spans="1:16" s="336" customFormat="1" ht="9" customHeight="1">
      <c r="A18" s="681" t="s">
        <v>236</v>
      </c>
      <c r="B18" s="633" t="s">
        <v>282</v>
      </c>
      <c r="C18" s="635">
        <v>0</v>
      </c>
      <c r="D18" s="806">
        <v>0</v>
      </c>
      <c r="E18" s="809">
        <v>0</v>
      </c>
      <c r="F18" s="682" t="str">
        <f t="shared" si="0"/>
        <v/>
      </c>
      <c r="G18" s="446"/>
      <c r="H18" s="765"/>
      <c r="I18" s="765"/>
      <c r="J18" s="446"/>
      <c r="K18" s="446"/>
      <c r="L18" s="452"/>
    </row>
    <row r="19" spans="1:16" s="336" customFormat="1" ht="9" customHeight="1">
      <c r="A19" s="683" t="s">
        <v>630</v>
      </c>
      <c r="B19" s="518"/>
      <c r="C19" s="520">
        <v>0</v>
      </c>
      <c r="D19" s="805">
        <v>0</v>
      </c>
      <c r="E19" s="808">
        <v>0</v>
      </c>
      <c r="F19" s="684" t="str">
        <f t="shared" si="0"/>
        <v/>
      </c>
      <c r="G19" s="446"/>
      <c r="H19" s="765"/>
      <c r="I19" s="765"/>
      <c r="J19" s="446"/>
      <c r="K19" s="446"/>
      <c r="L19" s="452"/>
    </row>
    <row r="20" spans="1:16" s="336" customFormat="1" ht="9" customHeight="1">
      <c r="A20" s="681" t="s">
        <v>93</v>
      </c>
      <c r="B20" s="633" t="s">
        <v>283</v>
      </c>
      <c r="C20" s="635">
        <v>153.31</v>
      </c>
      <c r="D20" s="806">
        <v>152.70364999999998</v>
      </c>
      <c r="E20" s="809">
        <v>152.27247</v>
      </c>
      <c r="F20" s="682">
        <f t="shared" si="0"/>
        <v>3.9707629778333864E-3</v>
      </c>
      <c r="G20" s="446"/>
      <c r="H20" s="765"/>
      <c r="I20" s="765"/>
      <c r="J20" s="446"/>
      <c r="K20" s="446"/>
      <c r="L20" s="446"/>
      <c r="M20" s="446"/>
      <c r="N20" s="446"/>
      <c r="O20" s="446"/>
      <c r="P20" s="446"/>
    </row>
    <row r="21" spans="1:16" s="336" customFormat="1" ht="9" customHeight="1">
      <c r="A21" s="681"/>
      <c r="B21" s="633" t="s">
        <v>284</v>
      </c>
      <c r="C21" s="635">
        <v>42.650129999999997</v>
      </c>
      <c r="D21" s="806">
        <v>42.554600000000001</v>
      </c>
      <c r="E21" s="809">
        <v>42.53781</v>
      </c>
      <c r="F21" s="682">
        <f t="shared" si="0"/>
        <v>2.2448806944488364E-3</v>
      </c>
      <c r="G21" s="446"/>
      <c r="H21" s="765"/>
      <c r="I21" s="765"/>
      <c r="J21" s="446"/>
      <c r="K21" s="446"/>
      <c r="L21" s="446"/>
      <c r="M21" s="446"/>
      <c r="N21" s="446"/>
      <c r="O21" s="446"/>
      <c r="P21" s="446"/>
    </row>
    <row r="22" spans="1:16" s="336" customFormat="1" ht="9" customHeight="1">
      <c r="A22" s="683" t="s">
        <v>631</v>
      </c>
      <c r="B22" s="518"/>
      <c r="C22" s="520">
        <v>195.96012999999999</v>
      </c>
      <c r="D22" s="805">
        <v>195.25824999999998</v>
      </c>
      <c r="E22" s="808">
        <v>194.81028000000001</v>
      </c>
      <c r="F22" s="684">
        <f t="shared" si="0"/>
        <v>3.5946240427742193E-3</v>
      </c>
      <c r="G22" s="446"/>
      <c r="H22" s="765"/>
      <c r="I22" s="765"/>
      <c r="J22" s="446"/>
      <c r="K22" s="446"/>
      <c r="L22" s="451"/>
    </row>
    <row r="23" spans="1:16" s="336" customFormat="1" ht="9" customHeight="1">
      <c r="A23" s="681" t="s">
        <v>91</v>
      </c>
      <c r="B23" s="633" t="s">
        <v>285</v>
      </c>
      <c r="C23" s="635">
        <v>1.6455199999999999</v>
      </c>
      <c r="D23" s="806">
        <v>1.7029999999999998</v>
      </c>
      <c r="E23" s="809">
        <v>1.5918999999999999</v>
      </c>
      <c r="F23" s="682">
        <f t="shared" si="0"/>
        <v>-3.3752201996476772E-2</v>
      </c>
      <c r="G23" s="446"/>
      <c r="H23" s="765"/>
      <c r="I23" s="765"/>
      <c r="J23" s="446"/>
      <c r="K23" s="446"/>
      <c r="L23" s="451"/>
    </row>
    <row r="24" spans="1:16" s="336" customFormat="1" ht="9" customHeight="1">
      <c r="A24" s="681"/>
      <c r="B24" s="633" t="s">
        <v>286</v>
      </c>
      <c r="C24" s="635">
        <v>0.56581000000000004</v>
      </c>
      <c r="D24" s="806">
        <v>0.55594999999999994</v>
      </c>
      <c r="E24" s="809">
        <v>0.38527999999999996</v>
      </c>
      <c r="F24" s="682">
        <f t="shared" si="0"/>
        <v>1.7735407860419272E-2</v>
      </c>
      <c r="G24" s="446"/>
      <c r="H24" s="765"/>
      <c r="I24" s="765"/>
      <c r="J24" s="446"/>
      <c r="K24" s="446"/>
      <c r="L24" s="451"/>
    </row>
    <row r="25" spans="1:16" s="336" customFormat="1" ht="9" customHeight="1">
      <c r="A25" s="681"/>
      <c r="B25" s="633" t="s">
        <v>287</v>
      </c>
      <c r="C25" s="635">
        <v>4.7140399999999998</v>
      </c>
      <c r="D25" s="806">
        <v>4.5600799999999992</v>
      </c>
      <c r="E25" s="809">
        <v>4.6962299999999999</v>
      </c>
      <c r="F25" s="682">
        <f t="shared" si="0"/>
        <v>3.3762565569025238E-2</v>
      </c>
      <c r="G25" s="446"/>
      <c r="H25" s="765"/>
      <c r="I25" s="765"/>
      <c r="J25" s="446"/>
      <c r="K25" s="446"/>
      <c r="L25" s="451"/>
    </row>
    <row r="26" spans="1:16" s="336" customFormat="1" ht="9" customHeight="1">
      <c r="A26" s="681"/>
      <c r="B26" s="633" t="s">
        <v>288</v>
      </c>
      <c r="C26" s="635">
        <v>12.067299999999999</v>
      </c>
      <c r="D26" s="806">
        <v>6.9864699999999988</v>
      </c>
      <c r="E26" s="809">
        <v>15.07926</v>
      </c>
      <c r="F26" s="682">
        <f t="shared" si="0"/>
        <v>0.72723850528235312</v>
      </c>
      <c r="G26" s="446"/>
      <c r="H26" s="765"/>
      <c r="I26" s="765"/>
      <c r="J26" s="446"/>
      <c r="K26" s="446"/>
      <c r="L26" s="451"/>
    </row>
    <row r="27" spans="1:16" s="336" customFormat="1" ht="9" customHeight="1">
      <c r="A27" s="681"/>
      <c r="B27" s="633" t="s">
        <v>289</v>
      </c>
      <c r="C27" s="635">
        <v>141.83158</v>
      </c>
      <c r="D27" s="806">
        <v>117.55519</v>
      </c>
      <c r="E27" s="809">
        <v>141.92739999999998</v>
      </c>
      <c r="F27" s="682">
        <f t="shared" si="0"/>
        <v>0.20651057601114853</v>
      </c>
      <c r="G27" s="446"/>
      <c r="H27" s="765"/>
      <c r="I27" s="765"/>
      <c r="J27" s="446"/>
      <c r="K27" s="446"/>
      <c r="L27" s="451"/>
    </row>
    <row r="28" spans="1:16" s="336" customFormat="1" ht="9" customHeight="1">
      <c r="A28" s="681"/>
      <c r="B28" s="633" t="s">
        <v>290</v>
      </c>
      <c r="C28" s="635">
        <v>8.8281899999999993</v>
      </c>
      <c r="D28" s="806">
        <v>6.6043200000000004</v>
      </c>
      <c r="E28" s="809">
        <v>7.5733499999999996</v>
      </c>
      <c r="F28" s="682">
        <f t="shared" si="0"/>
        <v>0.33672959517406764</v>
      </c>
      <c r="G28" s="446"/>
      <c r="H28" s="765"/>
      <c r="I28" s="765"/>
      <c r="J28" s="446"/>
      <c r="K28" s="446"/>
      <c r="L28" s="451"/>
    </row>
    <row r="29" spans="1:16" s="336" customFormat="1" ht="9" customHeight="1">
      <c r="A29" s="681"/>
      <c r="B29" s="633" t="s">
        <v>291</v>
      </c>
      <c r="C29" s="635">
        <v>0</v>
      </c>
      <c r="D29" s="806">
        <v>0</v>
      </c>
      <c r="E29" s="809">
        <v>0</v>
      </c>
      <c r="F29" s="682" t="str">
        <f t="shared" si="0"/>
        <v/>
      </c>
      <c r="G29" s="446"/>
      <c r="H29" s="765"/>
      <c r="I29" s="765"/>
      <c r="J29" s="446"/>
      <c r="K29" s="446"/>
      <c r="L29" s="453"/>
    </row>
    <row r="30" spans="1:16" s="336" customFormat="1" ht="9" customHeight="1">
      <c r="A30" s="681"/>
      <c r="B30" s="633" t="s">
        <v>292</v>
      </c>
      <c r="C30" s="635">
        <v>0</v>
      </c>
      <c r="D30" s="806">
        <v>0</v>
      </c>
      <c r="E30" s="809">
        <v>0</v>
      </c>
      <c r="F30" s="682" t="str">
        <f t="shared" si="0"/>
        <v/>
      </c>
      <c r="G30" s="446"/>
      <c r="H30" s="765"/>
      <c r="I30" s="765"/>
      <c r="J30" s="446"/>
      <c r="K30" s="446"/>
      <c r="L30" s="451"/>
    </row>
    <row r="31" spans="1:16" s="336" customFormat="1" ht="9" customHeight="1">
      <c r="A31" s="681"/>
      <c r="B31" s="633" t="s">
        <v>293</v>
      </c>
      <c r="C31" s="635">
        <v>0</v>
      </c>
      <c r="D31" s="806">
        <v>0</v>
      </c>
      <c r="E31" s="809">
        <v>0</v>
      </c>
      <c r="F31" s="682" t="str">
        <f t="shared" si="0"/>
        <v/>
      </c>
      <c r="G31" s="446"/>
      <c r="H31" s="765"/>
      <c r="I31" s="765"/>
      <c r="J31" s="446"/>
      <c r="K31" s="446"/>
      <c r="L31" s="451"/>
    </row>
    <row r="32" spans="1:16" s="336" customFormat="1" ht="9" customHeight="1">
      <c r="A32" s="683" t="s">
        <v>632</v>
      </c>
      <c r="B32" s="518"/>
      <c r="C32" s="520">
        <v>169.65244000000001</v>
      </c>
      <c r="D32" s="805">
        <v>137.96501000000001</v>
      </c>
      <c r="E32" s="808">
        <v>171.25341999999998</v>
      </c>
      <c r="F32" s="684">
        <f t="shared" si="0"/>
        <v>0.22967729281504057</v>
      </c>
      <c r="G32" s="446"/>
      <c r="H32" s="765"/>
      <c r="I32" s="765"/>
      <c r="J32" s="446"/>
      <c r="K32" s="446"/>
      <c r="L32" s="451"/>
    </row>
    <row r="33" spans="1:12" s="336" customFormat="1" ht="9" customHeight="1">
      <c r="A33" s="681" t="s">
        <v>114</v>
      </c>
      <c r="B33" s="633" t="s">
        <v>70</v>
      </c>
      <c r="C33" s="635">
        <v>4.7992600000000003</v>
      </c>
      <c r="D33" s="806">
        <v>2.4666000000000001</v>
      </c>
      <c r="E33" s="809">
        <v>5.0030000000000001</v>
      </c>
      <c r="F33" s="682">
        <f t="shared" si="0"/>
        <v>0.94569853239276735</v>
      </c>
      <c r="G33" s="446"/>
      <c r="H33" s="765"/>
      <c r="I33" s="765"/>
      <c r="J33" s="446"/>
      <c r="K33" s="446"/>
      <c r="L33" s="453"/>
    </row>
    <row r="34" spans="1:12" s="336" customFormat="1" ht="9" customHeight="1">
      <c r="A34" s="683" t="s">
        <v>633</v>
      </c>
      <c r="B34" s="518"/>
      <c r="C34" s="520">
        <v>4.7992600000000003</v>
      </c>
      <c r="D34" s="805">
        <v>2.4666000000000001</v>
      </c>
      <c r="E34" s="808">
        <v>5.0030000000000001</v>
      </c>
      <c r="F34" s="684">
        <f t="shared" si="0"/>
        <v>0.94569853239276735</v>
      </c>
      <c r="G34" s="446"/>
      <c r="H34" s="765"/>
      <c r="I34" s="765"/>
      <c r="J34" s="446"/>
      <c r="K34" s="446"/>
      <c r="L34" s="451"/>
    </row>
    <row r="35" spans="1:12" s="336" customFormat="1" ht="9" customHeight="1">
      <c r="A35" s="681" t="s">
        <v>92</v>
      </c>
      <c r="B35" s="633" t="s">
        <v>294</v>
      </c>
      <c r="C35" s="635">
        <v>163.44571999999999</v>
      </c>
      <c r="D35" s="806">
        <v>165.76339000000002</v>
      </c>
      <c r="E35" s="809">
        <v>163.44429</v>
      </c>
      <c r="F35" s="682">
        <f t="shared" si="0"/>
        <v>-1.3981796583672823E-2</v>
      </c>
      <c r="G35" s="446"/>
      <c r="H35" s="765"/>
      <c r="I35" s="765"/>
      <c r="J35" s="446"/>
      <c r="K35" s="446"/>
      <c r="L35" s="451"/>
    </row>
    <row r="36" spans="1:12" s="336" customFormat="1" ht="9" customHeight="1">
      <c r="A36" s="683" t="s">
        <v>634</v>
      </c>
      <c r="B36" s="518"/>
      <c r="C36" s="520">
        <v>163.44571999999999</v>
      </c>
      <c r="D36" s="805">
        <v>165.76339000000002</v>
      </c>
      <c r="E36" s="808">
        <v>163.44429</v>
      </c>
      <c r="F36" s="684">
        <f t="shared" si="0"/>
        <v>-1.3981796583672823E-2</v>
      </c>
      <c r="G36" s="446"/>
      <c r="H36" s="765"/>
      <c r="I36" s="765"/>
      <c r="J36" s="446"/>
      <c r="K36" s="446"/>
      <c r="L36" s="451"/>
    </row>
    <row r="37" spans="1:12" s="336" customFormat="1" ht="9" customHeight="1">
      <c r="A37" s="681" t="s">
        <v>101</v>
      </c>
      <c r="B37" s="633" t="s">
        <v>295</v>
      </c>
      <c r="C37" s="635">
        <v>7.6199999999999992</v>
      </c>
      <c r="D37" s="806">
        <v>0</v>
      </c>
      <c r="E37" s="809">
        <v>7.4160000000000004</v>
      </c>
      <c r="F37" s="682" t="str">
        <f t="shared" si="0"/>
        <v/>
      </c>
      <c r="G37" s="446"/>
      <c r="H37" s="765"/>
      <c r="I37" s="765"/>
      <c r="J37" s="446"/>
      <c r="K37" s="446"/>
      <c r="L37" s="451"/>
    </row>
    <row r="38" spans="1:12" s="336" customFormat="1" ht="9" customHeight="1">
      <c r="A38" s="681"/>
      <c r="B38" s="633" t="s">
        <v>296</v>
      </c>
      <c r="C38" s="635">
        <v>4.2359999999999998</v>
      </c>
      <c r="D38" s="806">
        <v>2.2919999999999998</v>
      </c>
      <c r="E38" s="809">
        <v>4.2300000000000004</v>
      </c>
      <c r="F38" s="682">
        <f t="shared" si="0"/>
        <v>0.84816753926701582</v>
      </c>
      <c r="G38" s="446"/>
      <c r="H38" s="765"/>
      <c r="I38" s="765"/>
      <c r="J38" s="446"/>
      <c r="K38" s="446"/>
      <c r="L38" s="451"/>
    </row>
    <row r="39" spans="1:12" s="336" customFormat="1" ht="9" customHeight="1">
      <c r="A39" s="681"/>
      <c r="B39" s="633" t="s">
        <v>297</v>
      </c>
      <c r="C39" s="635">
        <v>0</v>
      </c>
      <c r="D39" s="806">
        <v>20.294280000000001</v>
      </c>
      <c r="E39" s="809">
        <v>0</v>
      </c>
      <c r="F39" s="682">
        <f t="shared" si="0"/>
        <v>-1</v>
      </c>
      <c r="G39" s="446"/>
      <c r="H39" s="765"/>
      <c r="I39" s="765"/>
      <c r="J39" s="446"/>
      <c r="K39" s="446"/>
      <c r="L39" s="451"/>
    </row>
    <row r="40" spans="1:12" s="336" customFormat="1" ht="9" customHeight="1">
      <c r="A40" s="683" t="s">
        <v>635</v>
      </c>
      <c r="B40" s="518"/>
      <c r="C40" s="520">
        <v>11.855999999999998</v>
      </c>
      <c r="D40" s="805">
        <v>22.586280000000002</v>
      </c>
      <c r="E40" s="808">
        <v>11.646000000000001</v>
      </c>
      <c r="F40" s="684">
        <f t="shared" si="0"/>
        <v>-0.47507956157454889</v>
      </c>
      <c r="G40" s="446"/>
      <c r="H40" s="765"/>
      <c r="I40" s="765"/>
      <c r="J40" s="446"/>
      <c r="K40" s="446"/>
      <c r="L40" s="451"/>
    </row>
    <row r="41" spans="1:12" s="336" customFormat="1" ht="18" customHeight="1">
      <c r="A41" s="685" t="s">
        <v>460</v>
      </c>
      <c r="B41" s="643" t="s">
        <v>75</v>
      </c>
      <c r="C41" s="811">
        <v>0.69538</v>
      </c>
      <c r="D41" s="812">
        <v>0</v>
      </c>
      <c r="E41" s="813">
        <v>0.71074000000000004</v>
      </c>
      <c r="F41" s="814" t="str">
        <f t="shared" si="0"/>
        <v/>
      </c>
      <c r="G41" s="446"/>
      <c r="H41" s="765"/>
      <c r="I41" s="765"/>
      <c r="J41" s="446"/>
      <c r="K41" s="446"/>
      <c r="L41" s="451"/>
    </row>
    <row r="42" spans="1:12" s="336" customFormat="1" ht="9" customHeight="1">
      <c r="A42" s="815" t="s">
        <v>636</v>
      </c>
      <c r="B42" s="816"/>
      <c r="C42" s="817">
        <v>0.69538</v>
      </c>
      <c r="D42" s="818">
        <v>0</v>
      </c>
      <c r="E42" s="819">
        <v>0.71074000000000004</v>
      </c>
      <c r="F42" s="820" t="str">
        <f t="shared" si="0"/>
        <v/>
      </c>
      <c r="G42" s="446"/>
      <c r="H42" s="765"/>
      <c r="I42" s="765"/>
      <c r="J42" s="446"/>
      <c r="K42" s="446"/>
      <c r="L42" s="451"/>
    </row>
    <row r="43" spans="1:12" s="336" customFormat="1" ht="9" customHeight="1">
      <c r="A43" s="810" t="s">
        <v>115</v>
      </c>
      <c r="B43" s="643" t="s">
        <v>73</v>
      </c>
      <c r="C43" s="811">
        <v>3.7952700000000004</v>
      </c>
      <c r="D43" s="812">
        <v>3.2374700000000001</v>
      </c>
      <c r="E43" s="813">
        <v>3.7634700000000003</v>
      </c>
      <c r="F43" s="814">
        <f t="shared" si="0"/>
        <v>0.17229503284972525</v>
      </c>
      <c r="G43" s="446"/>
      <c r="H43" s="765"/>
      <c r="I43" s="765"/>
      <c r="J43" s="446"/>
      <c r="K43" s="446"/>
      <c r="L43" s="451"/>
    </row>
    <row r="44" spans="1:12" s="336" customFormat="1" ht="9" customHeight="1">
      <c r="A44" s="815" t="s">
        <v>637</v>
      </c>
      <c r="B44" s="816"/>
      <c r="C44" s="817">
        <v>3.7952700000000004</v>
      </c>
      <c r="D44" s="818">
        <v>3.2374700000000001</v>
      </c>
      <c r="E44" s="819">
        <v>3.7634700000000003</v>
      </c>
      <c r="F44" s="820">
        <f t="shared" si="0"/>
        <v>0.17229503284972525</v>
      </c>
      <c r="G44" s="446"/>
      <c r="H44" s="765"/>
      <c r="I44" s="765"/>
      <c r="J44" s="446"/>
      <c r="K44" s="446"/>
      <c r="L44" s="451"/>
    </row>
    <row r="45" spans="1:12" s="336" customFormat="1" ht="9" customHeight="1">
      <c r="A45" s="681" t="s">
        <v>425</v>
      </c>
      <c r="B45" s="633" t="s">
        <v>428</v>
      </c>
      <c r="C45" s="635">
        <v>0</v>
      </c>
      <c r="D45" s="806">
        <v>15.1591</v>
      </c>
      <c r="E45" s="809">
        <v>6.8089000000000004</v>
      </c>
      <c r="F45" s="682">
        <f t="shared" si="0"/>
        <v>-1</v>
      </c>
      <c r="G45" s="446"/>
      <c r="H45" s="765"/>
      <c r="I45" s="765"/>
      <c r="J45" s="446"/>
      <c r="K45" s="446"/>
      <c r="L45" s="451"/>
    </row>
    <row r="46" spans="1:12" s="336" customFormat="1" ht="9" customHeight="1">
      <c r="A46" s="683" t="s">
        <v>638</v>
      </c>
      <c r="B46" s="518"/>
      <c r="C46" s="520">
        <v>0</v>
      </c>
      <c r="D46" s="805">
        <v>15.1591</v>
      </c>
      <c r="E46" s="808">
        <v>6.8089000000000004</v>
      </c>
      <c r="F46" s="684">
        <f t="shared" si="0"/>
        <v>-1</v>
      </c>
      <c r="G46" s="446"/>
      <c r="H46" s="765"/>
      <c r="I46" s="765"/>
      <c r="J46" s="446"/>
      <c r="K46" s="446"/>
      <c r="L46" s="454"/>
    </row>
    <row r="47" spans="1:12" s="336" customFormat="1" ht="9" customHeight="1">
      <c r="A47" s="681" t="s">
        <v>89</v>
      </c>
      <c r="B47" s="633" t="s">
        <v>298</v>
      </c>
      <c r="C47" s="635">
        <v>608.4144</v>
      </c>
      <c r="D47" s="806">
        <v>646.28160000000003</v>
      </c>
      <c r="E47" s="809">
        <v>608.46960000000001</v>
      </c>
      <c r="F47" s="682">
        <f t="shared" si="0"/>
        <v>-5.8592415442432544E-2</v>
      </c>
      <c r="G47" s="446"/>
      <c r="H47" s="765"/>
      <c r="I47" s="765"/>
      <c r="J47" s="446"/>
      <c r="K47" s="446"/>
      <c r="L47" s="451"/>
    </row>
    <row r="48" spans="1:12" s="336" customFormat="1" ht="9" customHeight="1">
      <c r="A48" s="681"/>
      <c r="B48" s="633" t="s">
        <v>299</v>
      </c>
      <c r="C48" s="635">
        <v>200.83968000000004</v>
      </c>
      <c r="D48" s="806">
        <v>208.74432000000002</v>
      </c>
      <c r="E48" s="809">
        <v>199.33823999999998</v>
      </c>
      <c r="F48" s="682">
        <f t="shared" si="0"/>
        <v>-3.7867569282843072E-2</v>
      </c>
      <c r="G48" s="446"/>
      <c r="H48" s="765"/>
      <c r="I48" s="765"/>
      <c r="J48" s="446"/>
      <c r="K48" s="446"/>
      <c r="L48" s="451"/>
    </row>
    <row r="49" spans="1:12" s="336" customFormat="1" ht="9" customHeight="1">
      <c r="A49" s="681"/>
      <c r="B49" s="633" t="s">
        <v>300</v>
      </c>
      <c r="C49" s="635">
        <v>0</v>
      </c>
      <c r="D49" s="806">
        <v>0</v>
      </c>
      <c r="E49" s="809">
        <v>0</v>
      </c>
      <c r="F49" s="682" t="str">
        <f t="shared" si="0"/>
        <v/>
      </c>
      <c r="G49" s="446"/>
      <c r="H49" s="765"/>
      <c r="I49" s="765"/>
      <c r="J49" s="446"/>
      <c r="K49" s="446"/>
      <c r="L49" s="451"/>
    </row>
    <row r="50" spans="1:12" s="336" customFormat="1" ht="9" customHeight="1">
      <c r="A50" s="683" t="s">
        <v>639</v>
      </c>
      <c r="B50" s="518"/>
      <c r="C50" s="520">
        <v>809.25408000000004</v>
      </c>
      <c r="D50" s="805">
        <v>855.02592000000004</v>
      </c>
      <c r="E50" s="808">
        <v>807.80783999999994</v>
      </c>
      <c r="F50" s="684">
        <f t="shared" si="0"/>
        <v>-5.3532692903625612E-2</v>
      </c>
      <c r="G50" s="446"/>
      <c r="H50" s="765"/>
      <c r="I50" s="765"/>
      <c r="J50" s="446"/>
      <c r="K50" s="446"/>
      <c r="L50" s="451"/>
    </row>
    <row r="51" spans="1:12" s="336" customFormat="1" ht="9" customHeight="1">
      <c r="A51" s="681" t="s">
        <v>237</v>
      </c>
      <c r="B51" s="633" t="s">
        <v>301</v>
      </c>
      <c r="C51" s="635">
        <v>457.01614000000001</v>
      </c>
      <c r="D51" s="806">
        <v>454.46145999999999</v>
      </c>
      <c r="E51" s="809">
        <v>456.96001999999999</v>
      </c>
      <c r="F51" s="682">
        <f t="shared" si="0"/>
        <v>5.6213347552067638E-3</v>
      </c>
      <c r="G51" s="446"/>
      <c r="H51" s="765"/>
      <c r="I51" s="765"/>
      <c r="J51" s="446"/>
      <c r="K51" s="446"/>
      <c r="L51" s="451"/>
    </row>
    <row r="52" spans="1:12" s="336" customFormat="1" ht="9" customHeight="1">
      <c r="A52" s="681"/>
      <c r="B52" s="633" t="s">
        <v>302</v>
      </c>
      <c r="C52" s="635">
        <v>6.4310900000000002</v>
      </c>
      <c r="D52" s="806">
        <v>6.4182699999999997</v>
      </c>
      <c r="E52" s="809">
        <v>6.4402600000000003</v>
      </c>
      <c r="F52" s="682">
        <f t="shared" si="0"/>
        <v>1.9974229815824529E-3</v>
      </c>
      <c r="G52" s="446"/>
      <c r="H52" s="765"/>
      <c r="I52" s="765"/>
      <c r="J52" s="446"/>
      <c r="K52" s="446"/>
      <c r="L52" s="451"/>
    </row>
    <row r="53" spans="1:12" s="336" customFormat="1" ht="9" customHeight="1">
      <c r="A53" s="683" t="s">
        <v>640</v>
      </c>
      <c r="B53" s="518"/>
      <c r="C53" s="520">
        <v>463.44722999999999</v>
      </c>
      <c r="D53" s="805">
        <v>460.87973</v>
      </c>
      <c r="E53" s="808">
        <v>463.40028000000001</v>
      </c>
      <c r="F53" s="684">
        <f t="shared" si="0"/>
        <v>5.5708676968717619E-3</v>
      </c>
      <c r="G53" s="446"/>
      <c r="H53" s="765"/>
      <c r="I53" s="765"/>
      <c r="J53" s="446"/>
      <c r="K53" s="446"/>
      <c r="L53" s="451"/>
    </row>
    <row r="54" spans="1:12" s="336" customFormat="1" ht="9" customHeight="1">
      <c r="A54" s="681" t="s">
        <v>238</v>
      </c>
      <c r="B54" s="633" t="s">
        <v>303</v>
      </c>
      <c r="C54" s="635">
        <v>81.957740000000001</v>
      </c>
      <c r="D54" s="806">
        <v>47.526940000000003</v>
      </c>
      <c r="E54" s="809">
        <v>82.054190000000006</v>
      </c>
      <c r="F54" s="682">
        <f t="shared" si="0"/>
        <v>0.72444807092566865</v>
      </c>
      <c r="G54" s="446"/>
      <c r="H54" s="765"/>
      <c r="I54" s="765"/>
      <c r="J54" s="446"/>
      <c r="K54" s="446"/>
      <c r="L54" s="451"/>
    </row>
    <row r="55" spans="1:12" s="336" customFormat="1" ht="9" customHeight="1">
      <c r="A55" s="683" t="s">
        <v>641</v>
      </c>
      <c r="B55" s="518"/>
      <c r="C55" s="520">
        <v>81.957740000000001</v>
      </c>
      <c r="D55" s="805">
        <v>47.526940000000003</v>
      </c>
      <c r="E55" s="808">
        <v>82.054190000000006</v>
      </c>
      <c r="F55" s="684">
        <f t="shared" si="0"/>
        <v>0.72444807092566865</v>
      </c>
      <c r="G55" s="446"/>
      <c r="H55" s="765"/>
      <c r="I55" s="765"/>
      <c r="J55" s="446"/>
      <c r="K55" s="446"/>
    </row>
    <row r="56" spans="1:12" s="336" customFormat="1" ht="9" customHeight="1">
      <c r="A56" s="681" t="s">
        <v>465</v>
      </c>
      <c r="B56" s="633" t="s">
        <v>65</v>
      </c>
      <c r="C56" s="635">
        <v>9.5524000000000004</v>
      </c>
      <c r="D56" s="806">
        <v>9.5734100000000009</v>
      </c>
      <c r="E56" s="809">
        <v>9.5708000000000002</v>
      </c>
      <c r="F56" s="682">
        <f t="shared" si="0"/>
        <v>-2.1946203077064519E-3</v>
      </c>
      <c r="G56" s="446"/>
      <c r="H56" s="765"/>
      <c r="I56" s="765"/>
      <c r="J56" s="446"/>
      <c r="K56" s="446"/>
    </row>
    <row r="57" spans="1:12" s="336" customFormat="1" ht="9" customHeight="1">
      <c r="A57" s="681"/>
      <c r="B57" s="633" t="s">
        <v>64</v>
      </c>
      <c r="C57" s="635">
        <v>9.8303399999999996</v>
      </c>
      <c r="D57" s="806">
        <v>9.9032900000000001</v>
      </c>
      <c r="E57" s="809">
        <v>9.8802299999999992</v>
      </c>
      <c r="F57" s="682">
        <f t="shared" si="0"/>
        <v>-7.3662388963667835E-3</v>
      </c>
      <c r="G57" s="446"/>
      <c r="H57" s="765"/>
      <c r="I57" s="765"/>
      <c r="J57" s="446"/>
      <c r="K57" s="446"/>
    </row>
    <row r="58" spans="1:12" s="336" customFormat="1" ht="9" customHeight="1">
      <c r="A58" s="681"/>
      <c r="B58" s="633" t="s">
        <v>60</v>
      </c>
      <c r="C58" s="635">
        <v>17.809280000000001</v>
      </c>
      <c r="D58" s="806">
        <v>17.728339999999999</v>
      </c>
      <c r="E58" s="809">
        <v>17.778849999999998</v>
      </c>
      <c r="F58" s="682">
        <f t="shared" si="0"/>
        <v>4.5655712830419137E-3</v>
      </c>
      <c r="G58" s="446"/>
      <c r="H58" s="765"/>
      <c r="I58" s="765"/>
      <c r="J58" s="446"/>
      <c r="K58" s="446"/>
    </row>
    <row r="59" spans="1:12" s="336" customFormat="1" ht="9" customHeight="1">
      <c r="A59" s="681"/>
      <c r="B59" s="633" t="s">
        <v>57</v>
      </c>
      <c r="C59" s="635">
        <v>19.962969999999999</v>
      </c>
      <c r="D59" s="806">
        <v>19.798580000000001</v>
      </c>
      <c r="E59" s="809">
        <v>19.972989999999999</v>
      </c>
      <c r="F59" s="682">
        <f t="shared" si="0"/>
        <v>8.3031207288601916E-3</v>
      </c>
      <c r="G59" s="446"/>
      <c r="H59" s="765"/>
      <c r="I59" s="765"/>
      <c r="J59" s="446"/>
      <c r="K59" s="446"/>
    </row>
    <row r="60" spans="1:12" s="336" customFormat="1" ht="9" customHeight="1">
      <c r="A60" s="681"/>
      <c r="B60" s="633" t="s">
        <v>68</v>
      </c>
      <c r="C60" s="635">
        <v>6.1900300000000001</v>
      </c>
      <c r="D60" s="806">
        <v>6.54582</v>
      </c>
      <c r="E60" s="809">
        <v>5.2609300000000001</v>
      </c>
      <c r="F60" s="682">
        <f t="shared" si="0"/>
        <v>-5.4353770803352353E-2</v>
      </c>
      <c r="G60" s="446"/>
      <c r="H60" s="765"/>
      <c r="I60" s="765"/>
      <c r="J60" s="446"/>
      <c r="K60" s="446"/>
    </row>
    <row r="61" spans="1:12" s="336" customFormat="1" ht="9" customHeight="1">
      <c r="A61" s="681"/>
      <c r="B61" s="633" t="s">
        <v>67</v>
      </c>
      <c r="C61" s="635">
        <v>6.6755599999999999</v>
      </c>
      <c r="D61" s="806">
        <v>6.6250099999999996</v>
      </c>
      <c r="E61" s="809">
        <v>6.0351100000000004</v>
      </c>
      <c r="F61" s="682">
        <f t="shared" si="0"/>
        <v>7.6301771619968761E-3</v>
      </c>
      <c r="G61" s="446"/>
      <c r="H61" s="765"/>
      <c r="I61" s="765"/>
      <c r="J61" s="446"/>
      <c r="K61" s="446"/>
    </row>
    <row r="62" spans="1:12" s="336" customFormat="1" ht="9" customHeight="1">
      <c r="A62" s="683" t="s">
        <v>642</v>
      </c>
      <c r="B62" s="518"/>
      <c r="C62" s="520">
        <v>70.020579999999995</v>
      </c>
      <c r="D62" s="805">
        <v>70.174449999999993</v>
      </c>
      <c r="E62" s="808">
        <v>68.498909999999995</v>
      </c>
      <c r="F62" s="684">
        <f t="shared" si="0"/>
        <v>-2.1926783893567725E-3</v>
      </c>
      <c r="G62" s="446"/>
      <c r="H62" s="765"/>
      <c r="I62" s="765"/>
      <c r="J62" s="446"/>
      <c r="K62" s="446"/>
    </row>
    <row r="63" spans="1:12" s="336" customFormat="1" ht="9" customHeight="1">
      <c r="A63" s="681" t="s">
        <v>88</v>
      </c>
      <c r="B63" s="633" t="s">
        <v>486</v>
      </c>
      <c r="C63" s="635">
        <v>79.758789999999991</v>
      </c>
      <c r="D63" s="806">
        <v>77.605760000000004</v>
      </c>
      <c r="E63" s="809">
        <v>77.121329999999986</v>
      </c>
      <c r="F63" s="682">
        <f t="shared" si="0"/>
        <v>2.7743172671718996E-2</v>
      </c>
      <c r="G63" s="446"/>
      <c r="H63" s="765"/>
      <c r="I63" s="765"/>
      <c r="J63" s="446"/>
      <c r="K63" s="446"/>
    </row>
    <row r="64" spans="1:12" s="336" customFormat="1" ht="9" customHeight="1">
      <c r="A64" s="681"/>
      <c r="B64" s="633" t="s">
        <v>304</v>
      </c>
      <c r="C64" s="635">
        <v>28.741700000000002</v>
      </c>
      <c r="D64" s="806">
        <v>22.107889999999998</v>
      </c>
      <c r="E64" s="809">
        <v>29.280889999999999</v>
      </c>
      <c r="F64" s="682">
        <f t="shared" si="0"/>
        <v>0.30006527081508017</v>
      </c>
      <c r="G64" s="446"/>
      <c r="H64" s="765"/>
      <c r="I64" s="765"/>
      <c r="J64" s="446"/>
      <c r="K64" s="446"/>
    </row>
    <row r="65" spans="1:11" s="336" customFormat="1" ht="9" customHeight="1">
      <c r="A65" s="681"/>
      <c r="B65" s="633" t="s">
        <v>305</v>
      </c>
      <c r="C65" s="635">
        <v>267.95538999999997</v>
      </c>
      <c r="D65" s="806">
        <v>266.45137999999997</v>
      </c>
      <c r="E65" s="809">
        <v>143.52339000000001</v>
      </c>
      <c r="F65" s="682">
        <f t="shared" si="0"/>
        <v>5.6445945222727278E-3</v>
      </c>
      <c r="G65" s="446"/>
      <c r="H65" s="765"/>
      <c r="I65" s="765"/>
      <c r="J65" s="446"/>
      <c r="K65" s="446"/>
    </row>
    <row r="66" spans="1:11" s="336" customFormat="1" ht="9" customHeight="1">
      <c r="A66" s="681"/>
      <c r="B66" s="633" t="s">
        <v>306</v>
      </c>
      <c r="C66" s="635">
        <v>128.56220000000002</v>
      </c>
      <c r="D66" s="806">
        <v>132.20440000000002</v>
      </c>
      <c r="E66" s="809">
        <v>129.2527</v>
      </c>
      <c r="F66" s="682">
        <f t="shared" si="0"/>
        <v>-2.7549763850522435E-2</v>
      </c>
      <c r="G66" s="446"/>
      <c r="H66" s="766"/>
      <c r="I66" s="765"/>
      <c r="J66" s="446"/>
      <c r="K66" s="446"/>
    </row>
    <row r="67" spans="1:11" s="336" customFormat="1" ht="9" customHeight="1">
      <c r="A67" s="681"/>
      <c r="B67" s="633" t="s">
        <v>307</v>
      </c>
      <c r="C67" s="635">
        <v>64.911640000000006</v>
      </c>
      <c r="D67" s="806">
        <v>65.012510000000006</v>
      </c>
      <c r="E67" s="809">
        <v>65.20911000000001</v>
      </c>
      <c r="F67" s="682">
        <f t="shared" si="0"/>
        <v>-1.5515475406194801E-3</v>
      </c>
      <c r="G67" s="446"/>
      <c r="H67" s="766"/>
      <c r="I67" s="765"/>
      <c r="J67" s="446"/>
      <c r="K67" s="446"/>
    </row>
    <row r="68" spans="1:11" s="336" customFormat="1" ht="9" customHeight="1">
      <c r="A68" s="681"/>
      <c r="B68" s="633" t="s">
        <v>308</v>
      </c>
      <c r="C68" s="635">
        <v>0</v>
      </c>
      <c r="D68" s="806">
        <v>0</v>
      </c>
      <c r="E68" s="809">
        <v>0</v>
      </c>
      <c r="F68" s="682" t="str">
        <f t="shared" si="0"/>
        <v/>
      </c>
      <c r="G68" s="455"/>
      <c r="H68" s="766"/>
      <c r="I68" s="765"/>
      <c r="J68" s="446"/>
      <c r="K68" s="446"/>
    </row>
    <row r="69" spans="1:11" s="336" customFormat="1" ht="9" customHeight="1">
      <c r="A69" s="681"/>
      <c r="B69" s="633" t="s">
        <v>309</v>
      </c>
      <c r="C69" s="635">
        <v>0</v>
      </c>
      <c r="D69" s="806">
        <v>0</v>
      </c>
      <c r="E69" s="809">
        <v>0</v>
      </c>
      <c r="F69" s="682" t="str">
        <f t="shared" si="0"/>
        <v/>
      </c>
      <c r="G69" s="455"/>
      <c r="H69" s="766"/>
      <c r="I69" s="765"/>
      <c r="J69" s="446"/>
      <c r="K69" s="446"/>
    </row>
    <row r="70" spans="1:11" s="336" customFormat="1" ht="9" customHeight="1">
      <c r="A70" s="681"/>
      <c r="B70" s="633" t="s">
        <v>310</v>
      </c>
      <c r="C70" s="635">
        <v>418.96374000000003</v>
      </c>
      <c r="D70" s="806">
        <v>424.04921999999999</v>
      </c>
      <c r="E70" s="809">
        <v>206.59643</v>
      </c>
      <c r="F70" s="682">
        <f t="shared" si="0"/>
        <v>-1.1992664436453748E-2</v>
      </c>
      <c r="G70" s="455"/>
      <c r="H70" s="766"/>
      <c r="I70" s="765"/>
      <c r="J70" s="446"/>
      <c r="K70" s="446"/>
    </row>
    <row r="71" spans="1:11" s="336" customFormat="1" ht="9" customHeight="1">
      <c r="A71" s="681"/>
      <c r="B71" s="633" t="s">
        <v>420</v>
      </c>
      <c r="C71" s="635">
        <v>0.62578</v>
      </c>
      <c r="D71" s="806">
        <v>0</v>
      </c>
      <c r="E71" s="809">
        <v>0.64692000000000005</v>
      </c>
      <c r="F71" s="682" t="str">
        <f t="shared" ref="F71:F79" si="1">+IF(D71=0,"",C71/D71-1)</f>
        <v/>
      </c>
      <c r="G71" s="455"/>
      <c r="H71" s="765"/>
      <c r="I71" s="765"/>
      <c r="J71" s="446"/>
      <c r="K71" s="446"/>
    </row>
    <row r="72" spans="1:11" s="336" customFormat="1" ht="9" customHeight="1">
      <c r="A72" s="683" t="s">
        <v>643</v>
      </c>
      <c r="B72" s="518"/>
      <c r="C72" s="520">
        <v>989.51923999999997</v>
      </c>
      <c r="D72" s="805">
        <v>987.43115999999998</v>
      </c>
      <c r="E72" s="808">
        <v>651.6307700000001</v>
      </c>
      <c r="F72" s="684">
        <f t="shared" si="1"/>
        <v>2.1146588082150419E-3</v>
      </c>
      <c r="G72" s="455"/>
      <c r="H72" s="765"/>
      <c r="I72" s="765"/>
      <c r="J72" s="446"/>
      <c r="K72" s="446"/>
    </row>
    <row r="73" spans="1:11" s="336" customFormat="1" ht="9" customHeight="1">
      <c r="A73" s="681" t="s">
        <v>96</v>
      </c>
      <c r="B73" s="633" t="s">
        <v>311</v>
      </c>
      <c r="C73" s="635">
        <v>0</v>
      </c>
      <c r="D73" s="806">
        <v>0</v>
      </c>
      <c r="E73" s="809">
        <v>0</v>
      </c>
      <c r="F73" s="682" t="str">
        <f t="shared" si="1"/>
        <v/>
      </c>
      <c r="G73" s="446"/>
      <c r="H73" s="765"/>
      <c r="I73" s="765"/>
      <c r="J73" s="446"/>
      <c r="K73" s="446"/>
    </row>
    <row r="74" spans="1:11" s="336" customFormat="1" ht="9" customHeight="1">
      <c r="A74" s="681"/>
      <c r="B74" s="633" t="s">
        <v>312</v>
      </c>
      <c r="C74" s="635">
        <v>89.058170000000004</v>
      </c>
      <c r="D74" s="806">
        <v>88.675340000000006</v>
      </c>
      <c r="E74" s="809">
        <v>0</v>
      </c>
      <c r="F74" s="682">
        <f t="shared" si="1"/>
        <v>4.317209271484046E-3</v>
      </c>
      <c r="G74" s="446"/>
      <c r="H74" s="765"/>
      <c r="I74" s="765"/>
      <c r="J74" s="446"/>
      <c r="K74" s="446"/>
    </row>
    <row r="75" spans="1:11" s="336" customFormat="1" ht="9" customHeight="1">
      <c r="A75" s="681"/>
      <c r="B75" s="633" t="s">
        <v>313</v>
      </c>
      <c r="C75" s="635">
        <v>0</v>
      </c>
      <c r="D75" s="806">
        <v>0</v>
      </c>
      <c r="E75" s="809">
        <v>85.36421</v>
      </c>
      <c r="F75" s="682" t="str">
        <f t="shared" si="1"/>
        <v/>
      </c>
      <c r="G75" s="446"/>
      <c r="H75" s="765"/>
      <c r="I75" s="765"/>
      <c r="J75" s="446"/>
      <c r="K75" s="446"/>
    </row>
    <row r="76" spans="1:11" s="336" customFormat="1" ht="9" customHeight="1">
      <c r="A76" s="683" t="s">
        <v>644</v>
      </c>
      <c r="B76" s="518"/>
      <c r="C76" s="520">
        <v>89.058170000000004</v>
      </c>
      <c r="D76" s="805">
        <v>88.675340000000006</v>
      </c>
      <c r="E76" s="808">
        <v>85.36421</v>
      </c>
      <c r="F76" s="684">
        <f t="shared" si="1"/>
        <v>4.317209271484046E-3</v>
      </c>
      <c r="G76" s="456"/>
      <c r="H76" s="765"/>
      <c r="I76" s="765"/>
      <c r="J76" s="446"/>
      <c r="K76" s="446"/>
    </row>
    <row r="77" spans="1:11" s="336" customFormat="1" ht="9" customHeight="1">
      <c r="A77" s="681" t="s">
        <v>98</v>
      </c>
      <c r="B77" s="633" t="s">
        <v>432</v>
      </c>
      <c r="C77" s="635">
        <v>0</v>
      </c>
      <c r="D77" s="806">
        <v>0</v>
      </c>
      <c r="E77" s="809">
        <v>0</v>
      </c>
      <c r="F77" s="682" t="str">
        <f t="shared" si="1"/>
        <v/>
      </c>
      <c r="G77" s="456"/>
      <c r="H77" s="279"/>
      <c r="I77" s="765"/>
      <c r="J77" s="446"/>
      <c r="K77" s="446"/>
    </row>
    <row r="78" spans="1:11" s="336" customFormat="1" ht="9" customHeight="1">
      <c r="A78" s="681"/>
      <c r="B78" s="633" t="s">
        <v>431</v>
      </c>
      <c r="C78" s="635">
        <v>56.180860000000003</v>
      </c>
      <c r="D78" s="806">
        <v>130.04687999999999</v>
      </c>
      <c r="E78" s="809">
        <v>117.34313</v>
      </c>
      <c r="F78" s="682">
        <f t="shared" si="1"/>
        <v>-0.56799532599321101</v>
      </c>
      <c r="G78" s="456"/>
      <c r="H78" s="279"/>
      <c r="I78" s="765"/>
      <c r="J78" s="446"/>
      <c r="K78" s="446"/>
    </row>
    <row r="79" spans="1:11" s="336" customFormat="1" ht="9" customHeight="1">
      <c r="A79" s="683" t="s">
        <v>645</v>
      </c>
      <c r="B79" s="518"/>
      <c r="C79" s="520">
        <v>56.180860000000003</v>
      </c>
      <c r="D79" s="805">
        <v>130.04687999999999</v>
      </c>
      <c r="E79" s="808">
        <v>117.34313</v>
      </c>
      <c r="F79" s="684">
        <f t="shared" si="1"/>
        <v>-0.56799532599321101</v>
      </c>
      <c r="H79" s="279"/>
      <c r="I79" s="765"/>
      <c r="J79" s="446"/>
      <c r="K79" s="446"/>
    </row>
    <row r="80" spans="1:11" s="336" customFormat="1" ht="10.5" customHeight="1"/>
    <row r="81" s="336" customFormat="1" ht="10.5" customHeight="1"/>
    <row r="82" s="336" customFormat="1" ht="10.5" customHeight="1"/>
    <row r="83" s="336" customFormat="1" ht="10.5" customHeight="1"/>
    <row r="84" s="336" customFormat="1" ht="10.5" customHeight="1"/>
    <row r="85" s="336" customFormat="1" ht="10.5" customHeight="1"/>
    <row r="86" s="336" customFormat="1" ht="10.5" customHeight="1"/>
    <row r="87" s="336" customFormat="1" ht="10.5" customHeight="1"/>
    <row r="88" s="336" customFormat="1" ht="10.5" customHeight="1"/>
    <row r="89" s="336" customFormat="1" ht="10.5" customHeight="1"/>
    <row r="90" s="336" customFormat="1" ht="10.5" customHeight="1"/>
    <row r="91" s="336" customFormat="1" ht="10.5" customHeight="1"/>
    <row r="92" s="336" customFormat="1" ht="10.5" customHeight="1"/>
    <row r="93" s="336" customFormat="1" ht="10.5" customHeight="1"/>
    <row r="94" s="336" customFormat="1" ht="10.5" customHeight="1"/>
    <row r="95" s="336" customFormat="1" ht="10.5" customHeight="1"/>
    <row r="96" s="336" customFormat="1" ht="10.5" customHeight="1"/>
    <row r="97" s="336" customFormat="1" ht="10.5" customHeight="1"/>
    <row r="98" s="336" customFormat="1" ht="10.5" customHeight="1"/>
    <row r="99" s="336" customFormat="1" ht="10.5" customHeight="1"/>
    <row r="100" s="336" customFormat="1" ht="10.5" customHeight="1"/>
    <row r="101" s="336" customFormat="1" ht="10.5" customHeight="1"/>
    <row r="102" s="336" customFormat="1" ht="10.5" customHeight="1"/>
    <row r="103" s="336" customFormat="1" ht="10.5" customHeight="1"/>
    <row r="104" s="336" customFormat="1" ht="10.5" customHeight="1"/>
    <row r="105" s="336" customFormat="1" ht="10.5" customHeight="1"/>
    <row r="106" s="336" customFormat="1" ht="10.5" customHeight="1"/>
    <row r="107" s="336" customFormat="1" ht="10.5" customHeight="1"/>
    <row r="108" s="336" customFormat="1" ht="10.5" customHeight="1"/>
    <row r="109" s="336" customFormat="1" ht="10.5" customHeight="1"/>
    <row r="110" s="336" customFormat="1" ht="10.5" customHeight="1"/>
    <row r="111" s="336" customFormat="1" ht="10.5" customHeight="1"/>
    <row r="112" s="336" customFormat="1" ht="10.5" customHeight="1"/>
    <row r="113" s="336" customFormat="1" ht="10.5" customHeight="1"/>
    <row r="114" s="336" customFormat="1" ht="10.5" customHeight="1"/>
    <row r="115" s="336" customFormat="1" ht="10.5" customHeight="1"/>
    <row r="116" s="336" customFormat="1" ht="10.5" customHeight="1"/>
    <row r="117" s="336" customFormat="1" ht="10.5" customHeight="1"/>
    <row r="118" s="336" customFormat="1" ht="10.5" customHeight="1"/>
    <row r="119" s="336" customFormat="1" ht="10.5" customHeight="1"/>
    <row r="120" s="336" customFormat="1" ht="10.5" customHeight="1"/>
    <row r="121" s="336" customFormat="1" ht="10.5" customHeight="1"/>
    <row r="122" s="336" customFormat="1" ht="10.5" customHeight="1"/>
    <row r="123" s="336" customFormat="1" ht="10.5" customHeight="1"/>
    <row r="124" s="336" customFormat="1" ht="10.5" customHeight="1"/>
    <row r="125" s="336" customFormat="1" ht="10.5" customHeight="1"/>
    <row r="126" s="336" customFormat="1" ht="10.5" customHeight="1"/>
    <row r="127" s="336" customFormat="1" ht="10.5" customHeight="1"/>
    <row r="128" s="336" customFormat="1" ht="10.5" customHeight="1"/>
    <row r="129" s="336" customFormat="1" ht="10.5" customHeight="1"/>
    <row r="130" s="336" customFormat="1" ht="10.5" customHeight="1"/>
    <row r="131" s="336" customFormat="1" ht="10.5" customHeight="1"/>
    <row r="132" s="336" customFormat="1" ht="10.5" customHeight="1"/>
    <row r="133" s="336" customFormat="1" ht="10.5" customHeight="1"/>
    <row r="134" s="336" customFormat="1" ht="10.5" customHeight="1"/>
    <row r="135" s="336" customFormat="1" ht="10.5" customHeight="1"/>
    <row r="136" s="336" customFormat="1" ht="10.5" customHeight="1"/>
    <row r="137" s="336" customFormat="1" ht="10.5" customHeight="1"/>
    <row r="138" s="336" customFormat="1" ht="10.5" customHeight="1"/>
    <row r="139" s="336" customFormat="1" ht="10.5" customHeight="1"/>
    <row r="140" s="336" customFormat="1" ht="10.5" customHeight="1"/>
    <row r="141" s="336" customFormat="1" ht="10.5" customHeight="1"/>
    <row r="142" s="336" customFormat="1" ht="10.5" customHeight="1"/>
    <row r="143" s="336" customFormat="1" ht="10.5" customHeight="1"/>
    <row r="144" s="336" customFormat="1" ht="10.5" customHeight="1"/>
    <row r="145" s="336" customFormat="1" ht="10.5" customHeight="1"/>
    <row r="146" s="336" customFormat="1" ht="10.5" customHeight="1"/>
    <row r="147" s="336" customFormat="1" ht="10.5" customHeight="1"/>
    <row r="148" s="336" customFormat="1" ht="10.5" customHeight="1"/>
    <row r="149" s="336" customFormat="1" ht="10.5" customHeight="1"/>
    <row r="150" s="336" customFormat="1" ht="10.5" customHeight="1"/>
    <row r="151" s="336" customFormat="1" ht="10.5" customHeight="1"/>
    <row r="152" s="336" customFormat="1" ht="10.5" customHeight="1"/>
    <row r="153" s="336" customFormat="1" ht="10.5" customHeight="1"/>
    <row r="154" s="336" customFormat="1" ht="10.5" customHeight="1"/>
    <row r="155" s="336" customFormat="1" ht="10.5" customHeight="1"/>
    <row r="156" s="336" customFormat="1" ht="10.5" customHeight="1"/>
    <row r="157" s="336" customFormat="1" ht="10.5" customHeight="1"/>
    <row r="158" s="336" customFormat="1" ht="10.5" customHeight="1"/>
    <row r="159" s="336" customFormat="1" ht="10.5" customHeight="1"/>
    <row r="160" s="336" customFormat="1" ht="10.5" customHeight="1"/>
    <row r="161" s="336" customFormat="1" ht="10.5" customHeight="1"/>
    <row r="162" s="336" customFormat="1" ht="10.5" customHeight="1"/>
    <row r="163" s="336" customFormat="1" ht="10.5" customHeight="1"/>
    <row r="164" s="336" customFormat="1" ht="10.5" customHeight="1"/>
    <row r="165" s="336" customFormat="1" ht="10.5" customHeight="1"/>
    <row r="166" s="336" customFormat="1" ht="10.5" customHeight="1"/>
    <row r="167" s="336" customFormat="1" ht="10.5" customHeight="1"/>
    <row r="168" s="336" customFormat="1" ht="10.5" customHeight="1"/>
    <row r="169" s="336" customFormat="1" ht="8.25"/>
    <row r="170" s="336" customFormat="1" ht="8.25"/>
    <row r="171" s="336" customFormat="1" ht="8.25"/>
    <row r="172" s="336" customFormat="1" ht="8.25"/>
    <row r="173" s="336" customFormat="1" ht="8.25"/>
    <row r="174" s="336" customFormat="1" ht="8.25"/>
    <row r="175" s="336" customFormat="1" ht="8.25"/>
    <row r="176" s="336" customFormat="1" ht="8.25"/>
    <row r="177" s="336" customFormat="1" ht="8.25"/>
    <row r="178" s="336" customFormat="1" ht="8.25"/>
    <row r="179" s="336" customFormat="1" ht="8.25"/>
    <row r="180" s="336" customFormat="1" ht="8.25"/>
    <row r="181" s="336" customFormat="1" ht="8.25"/>
    <row r="182" s="336" customFormat="1" ht="8.25"/>
    <row r="183" s="336" customFormat="1" ht="8.25"/>
    <row r="184" s="336" customFormat="1" ht="8.25"/>
    <row r="185" s="336" customFormat="1" ht="8.25"/>
    <row r="186" s="336" customFormat="1" ht="8.25"/>
    <row r="187" s="336" customFormat="1" ht="8.25"/>
    <row r="188" s="336" customFormat="1" ht="8.25"/>
    <row r="189" s="336"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Mensual-Marzo 2020
INFSGI-MES-03-2020
14/04/2020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120" zoomScaleNormal="100" zoomScaleSheetLayoutView="120" zoomScalePageLayoutView="160" workbookViewId="0">
      <selection activeCell="R40" sqref="R40"/>
    </sheetView>
  </sheetViews>
  <sheetFormatPr baseColWidth="10"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36" customFormat="1" ht="11.25" customHeight="1">
      <c r="A1" s="991" t="s">
        <v>250</v>
      </c>
      <c r="B1" s="993" t="s">
        <v>54</v>
      </c>
      <c r="C1" s="993" t="s">
        <v>354</v>
      </c>
      <c r="D1" s="993"/>
      <c r="E1" s="993"/>
      <c r="F1" s="995"/>
      <c r="G1" s="444"/>
    </row>
    <row r="2" spans="1:11" s="336" customFormat="1" ht="11.25" customHeight="1">
      <c r="A2" s="985"/>
      <c r="B2" s="988"/>
      <c r="C2" s="506" t="str">
        <f>UPPER('1. Resumen'!Q4)&amp;" "&amp;'1. Resumen'!Q5</f>
        <v>MARZO 2020</v>
      </c>
      <c r="D2" s="507" t="str">
        <f>UPPER('1. Resumen'!Q4)&amp;" "&amp;'1. Resumen'!Q5-1</f>
        <v>MARZO 2019</v>
      </c>
      <c r="E2" s="508" t="str">
        <f>UPPER('1. Resumen'!Q4)&amp;" "&amp;'1. Resumen'!Q5</f>
        <v>MARZO 2020</v>
      </c>
      <c r="F2" s="651" t="s">
        <v>503</v>
      </c>
      <c r="G2" s="445"/>
      <c r="H2" s="444"/>
    </row>
    <row r="3" spans="1:11" s="336" customFormat="1" ht="11.25" customHeight="1">
      <c r="A3" s="985"/>
      <c r="B3" s="988"/>
      <c r="C3" s="509">
        <f>'21. ANEXOII-1'!C4</f>
        <v>43899.822916666664</v>
      </c>
      <c r="D3" s="509">
        <f>'21. ANEXOII-1'!D4</f>
        <v>43549.791666666664</v>
      </c>
      <c r="E3" s="509">
        <f>'21. ANEXOII-1'!E4</f>
        <v>43886.8125</v>
      </c>
      <c r="F3" s="652" t="s">
        <v>351</v>
      </c>
      <c r="G3" s="446"/>
      <c r="H3" s="444"/>
    </row>
    <row r="4" spans="1:11" s="336" customFormat="1" ht="9" customHeight="1">
      <c r="A4" s="992"/>
      <c r="B4" s="994"/>
      <c r="C4" s="510">
        <f>+'8. Max Potencia'!D9</f>
        <v>43899.822916666664</v>
      </c>
      <c r="D4" s="510">
        <f>+'8. Max Potencia'!E9</f>
        <v>43549.791666666664</v>
      </c>
      <c r="E4" s="510">
        <f>+'21. ANEXOII-1'!E5</f>
        <v>43886.8125</v>
      </c>
      <c r="F4" s="653" t="s">
        <v>352</v>
      </c>
      <c r="G4" s="446"/>
      <c r="H4" s="448"/>
    </row>
    <row r="5" spans="1:11" s="336" customFormat="1" ht="9" customHeight="1">
      <c r="A5" s="681" t="s">
        <v>97</v>
      </c>
      <c r="B5" s="633" t="s">
        <v>77</v>
      </c>
      <c r="C5" s="635">
        <v>70.865139999999997</v>
      </c>
      <c r="D5" s="635">
        <v>64.942149999999998</v>
      </c>
      <c r="E5" s="809">
        <v>55.955019999999998</v>
      </c>
      <c r="F5" s="682">
        <f t="shared" ref="F5:F71" si="0">+IF(D5=0,"",C5/D5-1)</f>
        <v>9.1204094721224926E-2</v>
      </c>
      <c r="J5" s="537"/>
      <c r="K5" s="537"/>
    </row>
    <row r="6" spans="1:11" s="336" customFormat="1" ht="9" customHeight="1">
      <c r="A6" s="681"/>
      <c r="B6" s="633" t="s">
        <v>79</v>
      </c>
      <c r="C6" s="635">
        <v>9.0366800000000005</v>
      </c>
      <c r="D6" s="635">
        <v>4.0838299999999998</v>
      </c>
      <c r="E6" s="809">
        <v>8.1275399999999998</v>
      </c>
      <c r="F6" s="682">
        <f t="shared" si="0"/>
        <v>1.2127953416278348</v>
      </c>
      <c r="J6" s="537"/>
      <c r="K6" s="537"/>
    </row>
    <row r="7" spans="1:11" s="336" customFormat="1" ht="9" customHeight="1">
      <c r="A7" s="683" t="s">
        <v>646</v>
      </c>
      <c r="B7" s="518"/>
      <c r="C7" s="520">
        <v>79.901820000000001</v>
      </c>
      <c r="D7" s="520">
        <v>69.025980000000004</v>
      </c>
      <c r="E7" s="808">
        <v>64.082560000000001</v>
      </c>
      <c r="F7" s="684">
        <f t="shared" si="0"/>
        <v>0.15756154421856805</v>
      </c>
      <c r="J7" s="537"/>
      <c r="K7" s="537"/>
    </row>
    <row r="8" spans="1:11" s="336" customFormat="1" ht="9" customHeight="1">
      <c r="A8" s="681" t="s">
        <v>87</v>
      </c>
      <c r="B8" s="633" t="s">
        <v>314</v>
      </c>
      <c r="C8" s="635">
        <v>112.29728</v>
      </c>
      <c r="D8" s="635">
        <v>108.31245000000001</v>
      </c>
      <c r="E8" s="809">
        <v>110.29473</v>
      </c>
      <c r="F8" s="682">
        <f t="shared" si="0"/>
        <v>3.6790138160479158E-2</v>
      </c>
      <c r="K8" s="537"/>
    </row>
    <row r="9" spans="1:11" s="336" customFormat="1" ht="9" customHeight="1">
      <c r="A9" s="681"/>
      <c r="B9" s="633" t="s">
        <v>315</v>
      </c>
      <c r="C9" s="635">
        <v>130.69087999999999</v>
      </c>
      <c r="D9" s="635">
        <v>130.16039000000001</v>
      </c>
      <c r="E9" s="809">
        <v>130.75458</v>
      </c>
      <c r="F9" s="682">
        <f t="shared" si="0"/>
        <v>4.0756638790033772E-3</v>
      </c>
      <c r="K9" s="537"/>
    </row>
    <row r="10" spans="1:11" s="336" customFormat="1" ht="9" customHeight="1">
      <c r="A10" s="681"/>
      <c r="B10" s="633" t="s">
        <v>316</v>
      </c>
      <c r="C10" s="635">
        <v>682.28482999999994</v>
      </c>
      <c r="D10" s="635">
        <v>710.65026999999986</v>
      </c>
      <c r="E10" s="809">
        <v>723.90604000000008</v>
      </c>
      <c r="F10" s="682">
        <f t="shared" si="0"/>
        <v>-3.9914767076637991E-2</v>
      </c>
      <c r="K10" s="537"/>
    </row>
    <row r="11" spans="1:11" s="336" customFormat="1" ht="9" customHeight="1">
      <c r="A11" s="681"/>
      <c r="B11" s="633" t="s">
        <v>317</v>
      </c>
      <c r="C11" s="635">
        <v>67.862920000000003</v>
      </c>
      <c r="D11" s="635">
        <v>0</v>
      </c>
      <c r="E11" s="809">
        <v>0</v>
      </c>
      <c r="F11" s="682" t="str">
        <f t="shared" si="0"/>
        <v/>
      </c>
      <c r="J11" s="537"/>
      <c r="K11" s="537"/>
    </row>
    <row r="12" spans="1:11" s="336" customFormat="1" ht="9" customHeight="1">
      <c r="A12" s="681"/>
      <c r="B12" s="633" t="s">
        <v>318</v>
      </c>
      <c r="C12" s="635">
        <v>0</v>
      </c>
      <c r="D12" s="635">
        <v>0</v>
      </c>
      <c r="E12" s="809">
        <v>0</v>
      </c>
      <c r="F12" s="682" t="str">
        <f t="shared" si="0"/>
        <v/>
      </c>
      <c r="J12" s="537"/>
      <c r="K12" s="537"/>
    </row>
    <row r="13" spans="1:11" s="336" customFormat="1" ht="9" customHeight="1">
      <c r="A13" s="681"/>
      <c r="B13" s="633" t="s">
        <v>319</v>
      </c>
      <c r="C13" s="635">
        <v>0</v>
      </c>
      <c r="D13" s="635">
        <v>0</v>
      </c>
      <c r="E13" s="809">
        <v>0</v>
      </c>
      <c r="F13" s="682" t="str">
        <f t="shared" si="0"/>
        <v/>
      </c>
      <c r="J13" s="537"/>
      <c r="K13" s="537"/>
    </row>
    <row r="14" spans="1:11" s="336" customFormat="1" ht="9" customHeight="1">
      <c r="A14" s="681"/>
      <c r="B14" s="633" t="s">
        <v>320</v>
      </c>
      <c r="C14" s="635">
        <v>0</v>
      </c>
      <c r="D14" s="635">
        <v>0</v>
      </c>
      <c r="E14" s="809">
        <v>0</v>
      </c>
      <c r="F14" s="682" t="str">
        <f t="shared" si="0"/>
        <v/>
      </c>
      <c r="J14" s="537"/>
      <c r="K14" s="537"/>
    </row>
    <row r="15" spans="1:11" s="336" customFormat="1" ht="9" customHeight="1">
      <c r="A15" s="681"/>
      <c r="B15" s="633" t="s">
        <v>433</v>
      </c>
      <c r="C15" s="635">
        <v>0</v>
      </c>
      <c r="D15" s="635">
        <v>0</v>
      </c>
      <c r="E15" s="809">
        <v>0</v>
      </c>
      <c r="F15" s="682" t="str">
        <f t="shared" si="0"/>
        <v/>
      </c>
      <c r="J15" s="537"/>
      <c r="K15" s="537"/>
    </row>
    <row r="16" spans="1:11" s="336" customFormat="1" ht="9" customHeight="1">
      <c r="A16" s="683" t="s">
        <v>647</v>
      </c>
      <c r="B16" s="518"/>
      <c r="C16" s="520">
        <v>993.13590999999997</v>
      </c>
      <c r="D16" s="520">
        <v>949.12310999999988</v>
      </c>
      <c r="E16" s="808">
        <v>964.95535000000007</v>
      </c>
      <c r="F16" s="684">
        <f t="shared" si="0"/>
        <v>4.6372066527808009E-2</v>
      </c>
      <c r="J16" s="537"/>
      <c r="K16" s="537"/>
    </row>
    <row r="17" spans="1:11" s="336" customFormat="1" ht="9" customHeight="1">
      <c r="A17" s="681" t="s">
        <v>239</v>
      </c>
      <c r="B17" s="633" t="s">
        <v>321</v>
      </c>
      <c r="C17" s="635">
        <v>272.46931999999998</v>
      </c>
      <c r="D17" s="635">
        <v>0</v>
      </c>
      <c r="E17" s="809">
        <v>269.12878000000001</v>
      </c>
      <c r="F17" s="682" t="str">
        <f t="shared" si="0"/>
        <v/>
      </c>
      <c r="J17" s="537"/>
      <c r="K17" s="537"/>
    </row>
    <row r="18" spans="1:11" s="336" customFormat="1" ht="9" customHeight="1">
      <c r="A18" s="683" t="s">
        <v>648</v>
      </c>
      <c r="B18" s="518"/>
      <c r="C18" s="520">
        <v>272.46931999999998</v>
      </c>
      <c r="D18" s="520">
        <v>0</v>
      </c>
      <c r="E18" s="808">
        <v>269.12878000000001</v>
      </c>
      <c r="F18" s="684" t="str">
        <f t="shared" si="0"/>
        <v/>
      </c>
      <c r="J18" s="537"/>
      <c r="K18" s="537"/>
    </row>
    <row r="19" spans="1:11" s="336" customFormat="1" ht="9" customHeight="1">
      <c r="A19" s="681" t="s">
        <v>478</v>
      </c>
      <c r="B19" s="633" t="s">
        <v>483</v>
      </c>
      <c r="C19" s="635">
        <v>0</v>
      </c>
      <c r="D19" s="635"/>
      <c r="E19" s="809">
        <v>8.2661899999999999</v>
      </c>
      <c r="F19" s="682" t="str">
        <f t="shared" si="0"/>
        <v/>
      </c>
      <c r="J19" s="537"/>
      <c r="K19" s="537"/>
    </row>
    <row r="20" spans="1:11" s="336" customFormat="1" ht="9" customHeight="1">
      <c r="A20" s="681"/>
      <c r="B20" s="633" t="s">
        <v>479</v>
      </c>
      <c r="C20" s="635">
        <v>0</v>
      </c>
      <c r="D20" s="635"/>
      <c r="E20" s="809">
        <v>0</v>
      </c>
      <c r="F20" s="682"/>
      <c r="J20" s="537"/>
      <c r="K20" s="537"/>
    </row>
    <row r="21" spans="1:11" s="336" customFormat="1" ht="9" customHeight="1">
      <c r="A21" s="683" t="s">
        <v>649</v>
      </c>
      <c r="B21" s="518"/>
      <c r="C21" s="520">
        <v>0</v>
      </c>
      <c r="D21" s="520"/>
      <c r="E21" s="808">
        <v>8.2661899999999999</v>
      </c>
      <c r="F21" s="684"/>
      <c r="J21" s="537"/>
      <c r="K21" s="537"/>
    </row>
    <row r="22" spans="1:11" s="336" customFormat="1" ht="9" customHeight="1">
      <c r="A22" s="681" t="s">
        <v>108</v>
      </c>
      <c r="B22" s="633" t="s">
        <v>66</v>
      </c>
      <c r="C22" s="635">
        <v>6.3591899999999999</v>
      </c>
      <c r="D22" s="635">
        <v>8.3171400000000002</v>
      </c>
      <c r="E22" s="809">
        <v>0</v>
      </c>
      <c r="F22" s="682"/>
      <c r="J22" s="537"/>
      <c r="K22" s="537"/>
    </row>
    <row r="23" spans="1:11" s="336" customFormat="1" ht="9" customHeight="1">
      <c r="A23" s="681"/>
      <c r="B23" s="633" t="s">
        <v>419</v>
      </c>
      <c r="C23" s="635">
        <v>20.339030000000001</v>
      </c>
      <c r="D23" s="635">
        <v>10.10051</v>
      </c>
      <c r="E23" s="809">
        <v>20.355240000000002</v>
      </c>
      <c r="F23" s="682">
        <f t="shared" si="0"/>
        <v>1.013663666488128</v>
      </c>
      <c r="J23" s="537"/>
      <c r="K23" s="537"/>
    </row>
    <row r="24" spans="1:11" s="336" customFormat="1" ht="9" customHeight="1">
      <c r="A24" s="681"/>
      <c r="B24" s="633" t="s">
        <v>417</v>
      </c>
      <c r="C24" s="635">
        <v>20.337689999999998</v>
      </c>
      <c r="D24" s="635">
        <v>9.0588200000000008</v>
      </c>
      <c r="E24" s="809">
        <v>20.30152</v>
      </c>
      <c r="F24" s="682">
        <f t="shared" si="0"/>
        <v>1.2450705500274868</v>
      </c>
      <c r="J24" s="537"/>
      <c r="K24" s="537"/>
    </row>
    <row r="25" spans="1:11" s="336" customFormat="1" ht="9" customHeight="1">
      <c r="A25" s="681"/>
      <c r="B25" s="633" t="s">
        <v>418</v>
      </c>
      <c r="C25" s="635">
        <v>19.846260000000001</v>
      </c>
      <c r="D25" s="635">
        <v>9.6487099999999995</v>
      </c>
      <c r="E25" s="809">
        <v>19.837339999999998</v>
      </c>
      <c r="F25" s="682">
        <f t="shared" si="0"/>
        <v>1.0568822153427768</v>
      </c>
      <c r="J25" s="537"/>
      <c r="K25" s="537"/>
    </row>
    <row r="26" spans="1:11" s="336" customFormat="1" ht="9" customHeight="1">
      <c r="A26" s="683" t="s">
        <v>650</v>
      </c>
      <c r="B26" s="518"/>
      <c r="C26" s="520">
        <v>66.882170000000002</v>
      </c>
      <c r="D26" s="520">
        <v>37.12518</v>
      </c>
      <c r="E26" s="808">
        <v>60.494100000000003</v>
      </c>
      <c r="F26" s="684">
        <f t="shared" si="0"/>
        <v>0.80153119796321537</v>
      </c>
      <c r="J26" s="537"/>
      <c r="K26" s="537"/>
    </row>
    <row r="27" spans="1:11" s="336" customFormat="1" ht="9" customHeight="1">
      <c r="A27" s="681" t="s">
        <v>111</v>
      </c>
      <c r="B27" s="633" t="s">
        <v>233</v>
      </c>
      <c r="C27" s="635">
        <v>0</v>
      </c>
      <c r="D27" s="635">
        <v>0</v>
      </c>
      <c r="E27" s="809">
        <v>0</v>
      </c>
      <c r="F27" s="682" t="str">
        <f t="shared" si="0"/>
        <v/>
      </c>
      <c r="J27" s="537"/>
      <c r="K27" s="537"/>
    </row>
    <row r="28" spans="1:11" s="336" customFormat="1" ht="9" customHeight="1">
      <c r="A28" s="683" t="s">
        <v>651</v>
      </c>
      <c r="B28" s="518"/>
      <c r="C28" s="520">
        <v>0</v>
      </c>
      <c r="D28" s="520">
        <v>0</v>
      </c>
      <c r="E28" s="808">
        <v>0</v>
      </c>
      <c r="F28" s="684" t="str">
        <f t="shared" si="0"/>
        <v/>
      </c>
      <c r="J28" s="537"/>
      <c r="K28" s="537"/>
    </row>
    <row r="29" spans="1:11" s="336" customFormat="1" ht="9" customHeight="1">
      <c r="A29" s="681" t="s">
        <v>112</v>
      </c>
      <c r="B29" s="633" t="s">
        <v>82</v>
      </c>
      <c r="C29" s="635">
        <v>0</v>
      </c>
      <c r="D29" s="635">
        <v>0</v>
      </c>
      <c r="E29" s="809">
        <v>0</v>
      </c>
      <c r="F29" s="682" t="str">
        <f t="shared" si="0"/>
        <v/>
      </c>
      <c r="J29" s="537"/>
      <c r="K29" s="537"/>
    </row>
    <row r="30" spans="1:11" s="336" customFormat="1" ht="9" customHeight="1">
      <c r="A30" s="683" t="s">
        <v>652</v>
      </c>
      <c r="B30" s="518"/>
      <c r="C30" s="520">
        <v>0</v>
      </c>
      <c r="D30" s="520">
        <v>0</v>
      </c>
      <c r="E30" s="808">
        <v>0</v>
      </c>
      <c r="F30" s="684" t="str">
        <f t="shared" si="0"/>
        <v/>
      </c>
      <c r="J30" s="537"/>
      <c r="K30" s="537"/>
    </row>
    <row r="31" spans="1:11" s="336" customFormat="1" ht="9" customHeight="1">
      <c r="A31" s="681" t="s">
        <v>116</v>
      </c>
      <c r="B31" s="633" t="s">
        <v>74</v>
      </c>
      <c r="C31" s="635">
        <v>3.6</v>
      </c>
      <c r="D31" s="635">
        <v>3.6</v>
      </c>
      <c r="E31" s="809">
        <v>2</v>
      </c>
      <c r="F31" s="682">
        <f t="shared" si="0"/>
        <v>0</v>
      </c>
      <c r="J31" s="537"/>
      <c r="K31" s="537"/>
    </row>
    <row r="32" spans="1:11" s="336" customFormat="1" ht="9" customHeight="1">
      <c r="A32" s="683" t="s">
        <v>653</v>
      </c>
      <c r="B32" s="518"/>
      <c r="C32" s="520">
        <v>3.6</v>
      </c>
      <c r="D32" s="520">
        <v>3.6</v>
      </c>
      <c r="E32" s="808">
        <v>2</v>
      </c>
      <c r="F32" s="684">
        <f t="shared" si="0"/>
        <v>0</v>
      </c>
      <c r="J32" s="537"/>
      <c r="K32" s="537"/>
    </row>
    <row r="33" spans="1:11" s="336" customFormat="1" ht="9" customHeight="1">
      <c r="A33" s="681" t="s">
        <v>103</v>
      </c>
      <c r="B33" s="633" t="s">
        <v>322</v>
      </c>
      <c r="C33" s="635">
        <v>19.48602</v>
      </c>
      <c r="D33" s="635">
        <v>19.116</v>
      </c>
      <c r="E33" s="809">
        <v>19.528590000000001</v>
      </c>
      <c r="F33" s="682">
        <f t="shared" si="0"/>
        <v>1.935655994978025E-2</v>
      </c>
      <c r="J33" s="537"/>
      <c r="K33" s="537"/>
    </row>
    <row r="34" spans="1:11" s="336" customFormat="1" ht="9" customHeight="1">
      <c r="A34" s="683" t="s">
        <v>654</v>
      </c>
      <c r="B34" s="518"/>
      <c r="C34" s="520">
        <v>19.48602</v>
      </c>
      <c r="D34" s="520">
        <v>19.116</v>
      </c>
      <c r="E34" s="808">
        <v>19.528590000000001</v>
      </c>
      <c r="F34" s="684">
        <f t="shared" si="0"/>
        <v>1.935655994978025E-2</v>
      </c>
      <c r="J34" s="537"/>
      <c r="K34" s="537"/>
    </row>
    <row r="35" spans="1:11" s="336" customFormat="1" ht="18.75" customHeight="1">
      <c r="A35" s="685" t="s">
        <v>429</v>
      </c>
      <c r="B35" s="643" t="s">
        <v>323</v>
      </c>
      <c r="C35" s="811">
        <v>19.122900000000001</v>
      </c>
      <c r="D35" s="811">
        <v>18.753609999999998</v>
      </c>
      <c r="E35" s="813">
        <v>19.038879999999999</v>
      </c>
      <c r="F35" s="814">
        <f t="shared" si="0"/>
        <v>1.9691675362770278E-2</v>
      </c>
      <c r="J35" s="537"/>
      <c r="K35" s="537"/>
    </row>
    <row r="36" spans="1:11" s="336" customFormat="1" ht="9" customHeight="1">
      <c r="A36" s="683" t="s">
        <v>655</v>
      </c>
      <c r="B36" s="518"/>
      <c r="C36" s="520">
        <v>19.122900000000001</v>
      </c>
      <c r="D36" s="520">
        <v>18.753609999999998</v>
      </c>
      <c r="E36" s="808">
        <v>19.038879999999999</v>
      </c>
      <c r="F36" s="684">
        <f t="shared" si="0"/>
        <v>1.9691675362770278E-2</v>
      </c>
      <c r="J36" s="537"/>
      <c r="K36" s="537"/>
    </row>
    <row r="37" spans="1:11" s="336" customFormat="1" ht="9" customHeight="1">
      <c r="A37" s="681" t="s">
        <v>240</v>
      </c>
      <c r="B37" s="633" t="s">
        <v>59</v>
      </c>
      <c r="C37" s="635">
        <v>9.5447399999999991</v>
      </c>
      <c r="D37" s="635">
        <v>18.402000000000001</v>
      </c>
      <c r="E37" s="809">
        <v>19.104150000000001</v>
      </c>
      <c r="F37" s="682">
        <f t="shared" si="0"/>
        <v>-0.48132050864036524</v>
      </c>
      <c r="J37" s="537"/>
      <c r="K37" s="537"/>
    </row>
    <row r="38" spans="1:11" s="336" customFormat="1" ht="9" customHeight="1">
      <c r="A38" s="683" t="s">
        <v>656</v>
      </c>
      <c r="B38" s="518"/>
      <c r="C38" s="520">
        <v>9.5447399999999991</v>
      </c>
      <c r="D38" s="520">
        <v>18.402000000000001</v>
      </c>
      <c r="E38" s="808">
        <v>19.104150000000001</v>
      </c>
      <c r="F38" s="684">
        <f t="shared" si="0"/>
        <v>-0.48132050864036524</v>
      </c>
      <c r="J38" s="537"/>
      <c r="K38" s="537"/>
    </row>
    <row r="39" spans="1:11" s="336" customFormat="1" ht="9" customHeight="1">
      <c r="A39" s="681" t="s">
        <v>416</v>
      </c>
      <c r="B39" s="633" t="s">
        <v>487</v>
      </c>
      <c r="C39" s="635">
        <v>0</v>
      </c>
      <c r="D39" s="635">
        <v>0</v>
      </c>
      <c r="E39" s="809">
        <v>0.72899999999999998</v>
      </c>
      <c r="F39" s="682" t="str">
        <f t="shared" si="0"/>
        <v/>
      </c>
      <c r="J39" s="537"/>
      <c r="K39" s="537"/>
    </row>
    <row r="40" spans="1:11" s="336" customFormat="1" ht="9" customHeight="1">
      <c r="A40" s="683" t="s">
        <v>657</v>
      </c>
      <c r="B40" s="518"/>
      <c r="C40" s="520">
        <v>0</v>
      </c>
      <c r="D40" s="520">
        <v>0</v>
      </c>
      <c r="E40" s="808">
        <v>0.72899999999999998</v>
      </c>
      <c r="F40" s="684" t="str">
        <f t="shared" si="0"/>
        <v/>
      </c>
      <c r="J40" s="537"/>
      <c r="K40" s="537"/>
    </row>
    <row r="41" spans="1:11" s="336" customFormat="1" ht="9" customHeight="1">
      <c r="A41" s="681" t="s">
        <v>435</v>
      </c>
      <c r="B41" s="633" t="s">
        <v>439</v>
      </c>
      <c r="C41" s="635">
        <v>91.219619999999992</v>
      </c>
      <c r="D41" s="635">
        <v>89.501319999999993</v>
      </c>
      <c r="E41" s="809">
        <v>90.813810000000004</v>
      </c>
      <c r="F41" s="682">
        <f t="shared" si="0"/>
        <v>1.919859952903491E-2</v>
      </c>
      <c r="J41" s="537"/>
      <c r="K41" s="537"/>
    </row>
    <row r="42" spans="1:11" s="336" customFormat="1" ht="9" customHeight="1">
      <c r="A42" s="683" t="s">
        <v>658</v>
      </c>
      <c r="B42" s="518"/>
      <c r="C42" s="520">
        <v>91.219619999999992</v>
      </c>
      <c r="D42" s="520">
        <v>89.501319999999993</v>
      </c>
      <c r="E42" s="808">
        <v>90.813810000000004</v>
      </c>
      <c r="F42" s="684">
        <f t="shared" si="0"/>
        <v>1.919859952903491E-2</v>
      </c>
      <c r="J42" s="537"/>
      <c r="K42" s="537"/>
    </row>
    <row r="43" spans="1:11" s="336" customFormat="1" ht="21" customHeight="1">
      <c r="A43" s="685" t="s">
        <v>622</v>
      </c>
      <c r="B43" s="633" t="s">
        <v>659</v>
      </c>
      <c r="C43" s="635">
        <v>0</v>
      </c>
      <c r="D43" s="635"/>
      <c r="E43" s="809"/>
      <c r="F43" s="682" t="str">
        <f t="shared" si="0"/>
        <v/>
      </c>
      <c r="J43" s="537"/>
      <c r="K43" s="537"/>
    </row>
    <row r="44" spans="1:11" s="336" customFormat="1" ht="9" customHeight="1">
      <c r="A44" s="683" t="s">
        <v>660</v>
      </c>
      <c r="B44" s="518"/>
      <c r="C44" s="520">
        <v>0</v>
      </c>
      <c r="D44" s="520"/>
      <c r="E44" s="808"/>
      <c r="F44" s="684" t="str">
        <f t="shared" si="0"/>
        <v/>
      </c>
      <c r="J44" s="537"/>
      <c r="K44" s="537"/>
    </row>
    <row r="45" spans="1:11" s="336" customFormat="1" ht="9" customHeight="1">
      <c r="A45" s="681" t="s">
        <v>118</v>
      </c>
      <c r="B45" s="633" t="s">
        <v>324</v>
      </c>
      <c r="C45" s="635">
        <v>0</v>
      </c>
      <c r="D45" s="635">
        <v>0</v>
      </c>
      <c r="E45" s="809">
        <v>0</v>
      </c>
      <c r="F45" s="682" t="str">
        <f t="shared" si="0"/>
        <v/>
      </c>
      <c r="J45" s="537"/>
      <c r="K45" s="537"/>
    </row>
    <row r="46" spans="1:11" s="336" customFormat="1" ht="9" customHeight="1">
      <c r="A46" s="681"/>
      <c r="B46" s="633" t="s">
        <v>325</v>
      </c>
      <c r="C46" s="635">
        <v>0</v>
      </c>
      <c r="D46" s="635">
        <v>0</v>
      </c>
      <c r="E46" s="809">
        <v>0</v>
      </c>
      <c r="F46" s="682" t="str">
        <f t="shared" si="0"/>
        <v/>
      </c>
      <c r="J46" s="537"/>
      <c r="K46" s="537"/>
    </row>
    <row r="47" spans="1:11" s="336" customFormat="1" ht="9" customHeight="1">
      <c r="A47" s="683" t="s">
        <v>661</v>
      </c>
      <c r="B47" s="518"/>
      <c r="C47" s="520">
        <v>0</v>
      </c>
      <c r="D47" s="520">
        <v>0</v>
      </c>
      <c r="E47" s="808">
        <v>0</v>
      </c>
      <c r="F47" s="684" t="str">
        <f t="shared" si="0"/>
        <v/>
      </c>
      <c r="J47" s="537"/>
      <c r="K47" s="537"/>
    </row>
    <row r="48" spans="1:11" s="336" customFormat="1" ht="9" customHeight="1">
      <c r="A48" s="681" t="s">
        <v>413</v>
      </c>
      <c r="B48" s="633" t="s">
        <v>326</v>
      </c>
      <c r="C48" s="635">
        <v>170.90903</v>
      </c>
      <c r="D48" s="635">
        <v>498.26811999999995</v>
      </c>
      <c r="E48" s="809">
        <v>490.61233999999996</v>
      </c>
      <c r="F48" s="682">
        <f t="shared" si="0"/>
        <v>-0.65699384901446223</v>
      </c>
      <c r="J48" s="537"/>
      <c r="K48" s="537"/>
    </row>
    <row r="49" spans="1:11" s="336" customFormat="1" ht="9" customHeight="1">
      <c r="A49" s="681"/>
      <c r="B49" s="633" t="s">
        <v>327</v>
      </c>
      <c r="C49" s="635">
        <v>173.93691999999999</v>
      </c>
      <c r="D49" s="635">
        <v>0</v>
      </c>
      <c r="E49" s="809">
        <v>154.80788000000001</v>
      </c>
      <c r="F49" s="682" t="str">
        <f t="shared" si="0"/>
        <v/>
      </c>
      <c r="J49" s="537"/>
      <c r="K49" s="537"/>
    </row>
    <row r="50" spans="1:11" s="336" customFormat="1" ht="9" customHeight="1">
      <c r="A50" s="681"/>
      <c r="B50" s="633" t="s">
        <v>437</v>
      </c>
      <c r="C50" s="635">
        <v>538.82392000000004</v>
      </c>
      <c r="D50" s="635">
        <v>528.55330000000004</v>
      </c>
      <c r="E50" s="809">
        <v>539.21326999999997</v>
      </c>
      <c r="F50" s="682">
        <f t="shared" si="0"/>
        <v>1.9431569153006922E-2</v>
      </c>
      <c r="J50" s="537"/>
      <c r="K50" s="537"/>
    </row>
    <row r="51" spans="1:11" s="336" customFormat="1" ht="9" customHeight="1">
      <c r="A51" s="681"/>
      <c r="B51" s="633" t="s">
        <v>328</v>
      </c>
      <c r="C51" s="635">
        <v>10.12533</v>
      </c>
      <c r="D51" s="635">
        <v>10.126939999999999</v>
      </c>
      <c r="E51" s="809">
        <v>10.12462</v>
      </c>
      <c r="F51" s="682">
        <f t="shared" si="0"/>
        <v>-1.5898188396490376E-4</v>
      </c>
      <c r="J51" s="537"/>
      <c r="K51" s="537"/>
    </row>
    <row r="52" spans="1:11" s="336" customFormat="1" ht="9" customHeight="1">
      <c r="A52" s="683" t="s">
        <v>662</v>
      </c>
      <c r="B52" s="518"/>
      <c r="C52" s="520">
        <v>893.79520000000002</v>
      </c>
      <c r="D52" s="520">
        <v>1036.9483600000001</v>
      </c>
      <c r="E52" s="808">
        <v>1194.75811</v>
      </c>
      <c r="F52" s="684">
        <f t="shared" si="0"/>
        <v>-0.13805235199947663</v>
      </c>
      <c r="J52" s="537"/>
      <c r="K52" s="537"/>
    </row>
    <row r="53" spans="1:11" s="336" customFormat="1" ht="9" customHeight="1">
      <c r="A53" s="681" t="s">
        <v>117</v>
      </c>
      <c r="B53" s="633" t="s">
        <v>72</v>
      </c>
      <c r="C53" s="635">
        <v>2.7107000000000001</v>
      </c>
      <c r="D53" s="635">
        <v>2.41</v>
      </c>
      <c r="E53" s="809">
        <v>3.3192300000000001</v>
      </c>
      <c r="F53" s="682">
        <f t="shared" si="0"/>
        <v>0.12477178423236523</v>
      </c>
      <c r="J53" s="537"/>
      <c r="K53" s="537"/>
    </row>
    <row r="54" spans="1:11" s="336" customFormat="1" ht="9" customHeight="1">
      <c r="A54" s="683" t="s">
        <v>663</v>
      </c>
      <c r="B54" s="518"/>
      <c r="C54" s="520">
        <v>2.7107000000000001</v>
      </c>
      <c r="D54" s="520">
        <v>2.41</v>
      </c>
      <c r="E54" s="808">
        <v>3.3192300000000001</v>
      </c>
      <c r="F54" s="684">
        <f t="shared" si="0"/>
        <v>0.12477178423236523</v>
      </c>
      <c r="J54" s="537"/>
      <c r="K54" s="537"/>
    </row>
    <row r="55" spans="1:11" s="336" customFormat="1" ht="9" customHeight="1">
      <c r="A55" s="681" t="s">
        <v>110</v>
      </c>
      <c r="B55" s="633" t="s">
        <v>81</v>
      </c>
      <c r="C55" s="635">
        <v>0</v>
      </c>
      <c r="D55" s="635">
        <v>0</v>
      </c>
      <c r="E55" s="809">
        <v>0</v>
      </c>
      <c r="F55" s="682" t="str">
        <f t="shared" si="0"/>
        <v/>
      </c>
      <c r="J55" s="537"/>
      <c r="K55" s="537"/>
    </row>
    <row r="56" spans="1:11" s="336" customFormat="1" ht="9" customHeight="1">
      <c r="A56" s="683" t="s">
        <v>664</v>
      </c>
      <c r="B56" s="518"/>
      <c r="C56" s="520">
        <v>0</v>
      </c>
      <c r="D56" s="520">
        <v>0</v>
      </c>
      <c r="E56" s="808">
        <v>0</v>
      </c>
      <c r="F56" s="684" t="str">
        <f t="shared" si="0"/>
        <v/>
      </c>
      <c r="J56" s="537"/>
      <c r="K56" s="537"/>
    </row>
    <row r="57" spans="1:11" s="336" customFormat="1" ht="9" customHeight="1">
      <c r="A57" s="681" t="s">
        <v>241</v>
      </c>
      <c r="B57" s="633" t="s">
        <v>71</v>
      </c>
      <c r="C57" s="635">
        <v>5.5061</v>
      </c>
      <c r="D57" s="635">
        <v>5.5507499999999999</v>
      </c>
      <c r="E57" s="809">
        <v>4.2940100000000001</v>
      </c>
      <c r="F57" s="682">
        <f t="shared" si="0"/>
        <v>-8.0439580236905117E-3</v>
      </c>
      <c r="J57" s="537"/>
      <c r="K57" s="537"/>
    </row>
    <row r="58" spans="1:11" s="336" customFormat="1" ht="9" customHeight="1">
      <c r="A58" s="681"/>
      <c r="B58" s="633" t="s">
        <v>329</v>
      </c>
      <c r="C58" s="635">
        <v>252.18276</v>
      </c>
      <c r="D58" s="635">
        <v>242.18169</v>
      </c>
      <c r="E58" s="809">
        <v>250.73476000000002</v>
      </c>
      <c r="F58" s="682">
        <f t="shared" si="0"/>
        <v>4.1295731316434381E-2</v>
      </c>
      <c r="J58" s="537"/>
      <c r="K58" s="537"/>
    </row>
    <row r="59" spans="1:11" s="336" customFormat="1" ht="9" customHeight="1">
      <c r="A59" s="681"/>
      <c r="B59" s="633" t="s">
        <v>330</v>
      </c>
      <c r="C59" s="635">
        <v>90.162669999999991</v>
      </c>
      <c r="D59" s="635">
        <v>91.358699999999999</v>
      </c>
      <c r="E59" s="809">
        <v>76.953440000000001</v>
      </c>
      <c r="F59" s="682">
        <f t="shared" si="0"/>
        <v>-1.3091582958163928E-2</v>
      </c>
      <c r="J59" s="537"/>
      <c r="K59" s="537"/>
    </row>
    <row r="60" spans="1:11" s="336" customFormat="1" ht="9" customHeight="1">
      <c r="A60" s="681"/>
      <c r="B60" s="633" t="s">
        <v>62</v>
      </c>
      <c r="C60" s="635">
        <v>9.93126</v>
      </c>
      <c r="D60" s="635">
        <v>8.4599200000000003</v>
      </c>
      <c r="E60" s="809">
        <v>9.9297299999999993</v>
      </c>
      <c r="F60" s="682">
        <f t="shared" si="0"/>
        <v>0.17391890230640472</v>
      </c>
      <c r="J60" s="537"/>
      <c r="K60" s="537"/>
    </row>
    <row r="61" spans="1:11" s="336" customFormat="1" ht="9" customHeight="1">
      <c r="A61" s="683" t="s">
        <v>665</v>
      </c>
      <c r="B61" s="518"/>
      <c r="C61" s="520">
        <v>357.78278999999998</v>
      </c>
      <c r="D61" s="520">
        <v>347.55106000000001</v>
      </c>
      <c r="E61" s="808">
        <v>341.91194000000002</v>
      </c>
      <c r="F61" s="684">
        <f t="shared" si="0"/>
        <v>2.9439501637543497E-2</v>
      </c>
      <c r="J61" s="537"/>
      <c r="K61" s="537"/>
    </row>
    <row r="62" spans="1:11" s="336" customFormat="1" ht="9" customHeight="1">
      <c r="A62" s="681" t="s">
        <v>242</v>
      </c>
      <c r="B62" s="633" t="s">
        <v>78</v>
      </c>
      <c r="C62" s="635">
        <v>8.2894100000000002</v>
      </c>
      <c r="D62" s="635">
        <v>24.81728</v>
      </c>
      <c r="E62" s="809">
        <v>18.001149999999999</v>
      </c>
      <c r="F62" s="682">
        <f t="shared" si="0"/>
        <v>-0.66598233166567811</v>
      </c>
      <c r="J62" s="537"/>
      <c r="K62" s="537"/>
    </row>
    <row r="63" spans="1:11" s="336" customFormat="1" ht="9" customHeight="1">
      <c r="A63" s="683" t="s">
        <v>666</v>
      </c>
      <c r="B63" s="518"/>
      <c r="C63" s="520">
        <v>8.2894100000000002</v>
      </c>
      <c r="D63" s="520">
        <v>24.81728</v>
      </c>
      <c r="E63" s="808">
        <v>18.001149999999999</v>
      </c>
      <c r="F63" s="684">
        <f t="shared" si="0"/>
        <v>-0.66598233166567811</v>
      </c>
      <c r="J63" s="537"/>
      <c r="K63" s="537"/>
    </row>
    <row r="64" spans="1:11" s="336" customFormat="1" ht="9" customHeight="1">
      <c r="A64" s="681" t="s">
        <v>99</v>
      </c>
      <c r="B64" s="633" t="s">
        <v>76</v>
      </c>
      <c r="C64" s="635">
        <v>25.81061</v>
      </c>
      <c r="D64" s="635">
        <v>79.650549999999996</v>
      </c>
      <c r="E64" s="809">
        <v>55.79851</v>
      </c>
      <c r="F64" s="682">
        <f t="shared" si="0"/>
        <v>-0.67595189235981423</v>
      </c>
      <c r="J64" s="537"/>
      <c r="K64" s="537"/>
    </row>
    <row r="65" spans="1:11" s="336" customFormat="1" ht="9" customHeight="1">
      <c r="A65" s="683" t="s">
        <v>667</v>
      </c>
      <c r="B65" s="518"/>
      <c r="C65" s="520">
        <v>25.81061</v>
      </c>
      <c r="D65" s="520">
        <v>79.650549999999996</v>
      </c>
      <c r="E65" s="808">
        <v>55.79851</v>
      </c>
      <c r="F65" s="684">
        <f t="shared" si="0"/>
        <v>-0.67595189235981423</v>
      </c>
      <c r="J65" s="537"/>
      <c r="K65" s="537"/>
    </row>
    <row r="66" spans="1:11" s="336" customFormat="1" ht="9" customHeight="1">
      <c r="A66" s="681" t="s">
        <v>107</v>
      </c>
      <c r="B66" s="633" t="s">
        <v>232</v>
      </c>
      <c r="C66" s="635">
        <v>0</v>
      </c>
      <c r="D66" s="635">
        <v>0</v>
      </c>
      <c r="E66" s="809">
        <v>0</v>
      </c>
      <c r="F66" s="682" t="str">
        <f t="shared" si="0"/>
        <v/>
      </c>
      <c r="J66" s="537"/>
      <c r="K66" s="537"/>
    </row>
    <row r="67" spans="1:11" s="336" customFormat="1" ht="9" customHeight="1">
      <c r="A67" s="683" t="s">
        <v>668</v>
      </c>
      <c r="B67" s="518"/>
      <c r="C67" s="520">
        <v>0</v>
      </c>
      <c r="D67" s="520">
        <v>0</v>
      </c>
      <c r="E67" s="808">
        <v>0</v>
      </c>
      <c r="F67" s="684" t="str">
        <f t="shared" si="0"/>
        <v/>
      </c>
      <c r="J67" s="537"/>
      <c r="K67" s="537"/>
    </row>
    <row r="68" spans="1:11" s="336" customFormat="1" ht="9" customHeight="1">
      <c r="A68" s="681" t="s">
        <v>414</v>
      </c>
      <c r="B68" s="633" t="s">
        <v>85</v>
      </c>
      <c r="C68" s="635">
        <v>2.6459999999999999</v>
      </c>
      <c r="D68" s="635">
        <v>2.6966099999999997</v>
      </c>
      <c r="E68" s="809">
        <v>2.5987999999999998</v>
      </c>
      <c r="F68" s="682">
        <f t="shared" si="0"/>
        <v>-1.8768008722062079E-2</v>
      </c>
      <c r="J68" s="537"/>
      <c r="K68" s="537"/>
    </row>
    <row r="69" spans="1:11" s="336" customFormat="1" ht="9" customHeight="1">
      <c r="A69" s="681"/>
      <c r="B69" s="633" t="s">
        <v>84</v>
      </c>
      <c r="C69" s="635">
        <v>0</v>
      </c>
      <c r="D69" s="635">
        <v>2.9076399999999998</v>
      </c>
      <c r="E69" s="809">
        <v>3.3125</v>
      </c>
      <c r="F69" s="682">
        <f t="shared" si="0"/>
        <v>-1</v>
      </c>
      <c r="J69" s="537"/>
      <c r="K69" s="537"/>
    </row>
    <row r="70" spans="1:11" s="336" customFormat="1" ht="9" customHeight="1">
      <c r="A70" s="681"/>
      <c r="B70" s="633" t="s">
        <v>434</v>
      </c>
      <c r="C70" s="635">
        <v>2.1589</v>
      </c>
      <c r="D70" s="635">
        <v>2.3990200000000002</v>
      </c>
      <c r="E70" s="809">
        <v>2.403</v>
      </c>
      <c r="F70" s="682">
        <f t="shared" si="0"/>
        <v>-0.10009087043876252</v>
      </c>
      <c r="J70" s="537"/>
      <c r="K70" s="537"/>
    </row>
    <row r="71" spans="1:11" s="336" customFormat="1" ht="9" customHeight="1">
      <c r="A71" s="683" t="s">
        <v>669</v>
      </c>
      <c r="B71" s="518"/>
      <c r="C71" s="520">
        <v>4.8048999999999999</v>
      </c>
      <c r="D71" s="520">
        <v>8.0032700000000006</v>
      </c>
      <c r="E71" s="808">
        <v>8.3142999999999994</v>
      </c>
      <c r="F71" s="684">
        <f t="shared" si="0"/>
        <v>-0.39963290005210372</v>
      </c>
      <c r="J71" s="537"/>
      <c r="K71" s="537"/>
    </row>
    <row r="72" spans="1:11" s="336" customFormat="1" ht="10.5" customHeight="1"/>
    <row r="73" spans="1:11" s="336" customFormat="1" ht="10.5" customHeight="1"/>
    <row r="74" spans="1:11" s="336" customFormat="1" ht="10.5" customHeight="1"/>
    <row r="75" spans="1:11" s="336" customFormat="1" ht="10.5" customHeight="1"/>
    <row r="76" spans="1:11" s="336" customFormat="1" ht="10.5" customHeight="1"/>
    <row r="77" spans="1:11" s="336" customFormat="1" ht="10.5" customHeight="1"/>
    <row r="78" spans="1:11" s="336" customFormat="1" ht="10.5" customHeight="1"/>
    <row r="79" spans="1:11" s="336" customFormat="1" ht="10.5" customHeight="1"/>
    <row r="80" spans="1:11" s="336" customFormat="1" ht="10.5" customHeight="1"/>
    <row r="81" s="336" customFormat="1" ht="8.25"/>
    <row r="82" s="336" customFormat="1" ht="8.25"/>
    <row r="83" s="336" customFormat="1" ht="8.25"/>
    <row r="84" s="336" customFormat="1" ht="8.25"/>
    <row r="85" s="336" customFormat="1" ht="8.25"/>
    <row r="86" s="336" customFormat="1" ht="8.25"/>
    <row r="87" s="336" customFormat="1" ht="8.25"/>
    <row r="88" s="336" customFormat="1" ht="8.25"/>
    <row r="89" s="336" customFormat="1" ht="8.25"/>
    <row r="90" s="336" customFormat="1" ht="8.25"/>
    <row r="91" s="336" customFormat="1" ht="8.25"/>
    <row r="92" s="336" customFormat="1" ht="8.25"/>
    <row r="93" s="336" customFormat="1" ht="8.25"/>
    <row r="94" s="336" customFormat="1" ht="8.25"/>
    <row r="95" s="336" customFormat="1" ht="8.25"/>
    <row r="96" s="336" customFormat="1" ht="8.25"/>
    <row r="97" s="336" customFormat="1" ht="8.25"/>
    <row r="98" s="336" customFormat="1" ht="8.25"/>
    <row r="99" s="336" customFormat="1" ht="8.25"/>
    <row r="100" s="336" customFormat="1" ht="8.25"/>
    <row r="101" s="336" customFormat="1" ht="8.25"/>
    <row r="102" s="336" customFormat="1" ht="8.25"/>
    <row r="103" s="336" customFormat="1" ht="8.25"/>
    <row r="104" s="336" customFormat="1" ht="8.25"/>
    <row r="105" s="336" customFormat="1" ht="8.25"/>
    <row r="106" s="336" customFormat="1" ht="8.25"/>
    <row r="107" s="336" customFormat="1" ht="8.25"/>
    <row r="108" s="336" customFormat="1" ht="8.25"/>
    <row r="109" s="336" customFormat="1" ht="8.25"/>
    <row r="110" s="336" customFormat="1" ht="8.25"/>
    <row r="111" s="336" customFormat="1" ht="8.25"/>
    <row r="112" s="336" customFormat="1" ht="8.25"/>
    <row r="113" s="336"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Mensual-Marzo 2020
INFSGI-MES-03-2020
14/04/2020
Versión: 01</oddHeader>
    <oddFooter>&amp;L&amp;7COES, 2020&amp;C22&amp;R&amp;7Dirección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topLeftCell="A25" zoomScale="130" zoomScaleNormal="100" zoomScaleSheetLayoutView="130" zoomScalePageLayoutView="140" workbookViewId="0">
      <selection activeCell="R40" sqref="R40"/>
    </sheetView>
  </sheetViews>
  <sheetFormatPr baseColWidth="10"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36" customFormat="1" ht="11.25" customHeight="1">
      <c r="A1" s="991" t="s">
        <v>250</v>
      </c>
      <c r="B1" s="993" t="s">
        <v>54</v>
      </c>
      <c r="C1" s="993" t="s">
        <v>354</v>
      </c>
      <c r="D1" s="993"/>
      <c r="E1" s="993"/>
      <c r="F1" s="995"/>
    </row>
    <row r="2" spans="1:6" s="336" customFormat="1" ht="11.25" customHeight="1">
      <c r="A2" s="985"/>
      <c r="B2" s="988"/>
      <c r="C2" s="506" t="str">
        <f>UPPER('1. Resumen'!Q4)&amp;" "&amp;'1. Resumen'!Q5</f>
        <v>MARZO 2020</v>
      </c>
      <c r="D2" s="507" t="str">
        <f>UPPER('1. Resumen'!Q4)&amp;" "&amp;'1. Resumen'!Q5-1</f>
        <v>MARZO 2019</v>
      </c>
      <c r="E2" s="508" t="str">
        <f>UPPER('1. Resumen'!Q4)&amp;" "&amp;'1. Resumen'!Q5</f>
        <v>MARZO 2020</v>
      </c>
      <c r="F2" s="651" t="s">
        <v>441</v>
      </c>
    </row>
    <row r="3" spans="1:6" s="336" customFormat="1" ht="11.25" customHeight="1">
      <c r="A3" s="985"/>
      <c r="B3" s="988"/>
      <c r="C3" s="509">
        <f>'21. ANEXOII-1'!C4</f>
        <v>43899.822916666664</v>
      </c>
      <c r="D3" s="509">
        <f>'21. ANEXOII-1'!D4</f>
        <v>43549.791666666664</v>
      </c>
      <c r="E3" s="509">
        <f>'21. ANEXOII-1'!E4</f>
        <v>43886.8125</v>
      </c>
      <c r="F3" s="652" t="s">
        <v>351</v>
      </c>
    </row>
    <row r="4" spans="1:6" s="336" customFormat="1" ht="11.25" customHeight="1">
      <c r="A4" s="992"/>
      <c r="B4" s="994"/>
      <c r="C4" s="510">
        <f>+'8. Max Potencia'!D9</f>
        <v>43899.822916666664</v>
      </c>
      <c r="D4" s="510">
        <f>+'8. Max Potencia'!E9</f>
        <v>43549.791666666664</v>
      </c>
      <c r="E4" s="510">
        <f>+'22. ANEXOII-2'!E4</f>
        <v>43886.8125</v>
      </c>
      <c r="F4" s="653" t="s">
        <v>352</v>
      </c>
    </row>
    <row r="5" spans="1:6" s="336" customFormat="1" ht="10.5" customHeight="1">
      <c r="A5" s="681" t="s">
        <v>243</v>
      </c>
      <c r="B5" s="633" t="s">
        <v>331</v>
      </c>
      <c r="C5" s="635">
        <v>0</v>
      </c>
      <c r="D5" s="635">
        <v>0</v>
      </c>
      <c r="E5" s="809">
        <v>0</v>
      </c>
      <c r="F5" s="682" t="str">
        <f t="shared" ref="F5:F44" si="0">+IF(D5=0,"",C5/D5-1)</f>
        <v/>
      </c>
    </row>
    <row r="6" spans="1:6" s="336" customFormat="1" ht="10.5" customHeight="1">
      <c r="A6" s="683" t="s">
        <v>670</v>
      </c>
      <c r="B6" s="518"/>
      <c r="C6" s="520">
        <v>0</v>
      </c>
      <c r="D6" s="520">
        <v>0</v>
      </c>
      <c r="E6" s="808">
        <v>0</v>
      </c>
      <c r="F6" s="684" t="str">
        <f t="shared" si="0"/>
        <v/>
      </c>
    </row>
    <row r="7" spans="1:6" s="336" customFormat="1" ht="10.5" customHeight="1">
      <c r="A7" s="681" t="s">
        <v>451</v>
      </c>
      <c r="B7" s="633" t="s">
        <v>480</v>
      </c>
      <c r="C7" s="635">
        <v>19.976480000000002</v>
      </c>
      <c r="D7" s="635"/>
      <c r="E7" s="809">
        <v>19.940269999999998</v>
      </c>
      <c r="F7" s="682" t="str">
        <f t="shared" si="0"/>
        <v/>
      </c>
    </row>
    <row r="8" spans="1:6" s="336" customFormat="1" ht="10.5" customHeight="1">
      <c r="A8" s="683" t="s">
        <v>671</v>
      </c>
      <c r="B8" s="518"/>
      <c r="C8" s="520">
        <v>19.976480000000002</v>
      </c>
      <c r="D8" s="520"/>
      <c r="E8" s="808">
        <v>19.940269999999998</v>
      </c>
      <c r="F8" s="684" t="str">
        <f t="shared" si="0"/>
        <v/>
      </c>
    </row>
    <row r="9" spans="1:6" s="336" customFormat="1" ht="10.5" customHeight="1">
      <c r="A9" s="681" t="s">
        <v>104</v>
      </c>
      <c r="B9" s="633" t="s">
        <v>61</v>
      </c>
      <c r="C9" s="635">
        <v>12.248200000000001</v>
      </c>
      <c r="D9" s="635">
        <v>18.803339999999999</v>
      </c>
      <c r="E9" s="809">
        <v>8.8928200000000004</v>
      </c>
      <c r="F9" s="682">
        <f t="shared" si="0"/>
        <v>-0.34861572465317325</v>
      </c>
    </row>
    <row r="10" spans="1:6" s="336" customFormat="1" ht="10.5" customHeight="1">
      <c r="A10" s="683" t="s">
        <v>672</v>
      </c>
      <c r="B10" s="518"/>
      <c r="C10" s="520">
        <v>12.248200000000001</v>
      </c>
      <c r="D10" s="520">
        <v>18.803339999999999</v>
      </c>
      <c r="E10" s="808">
        <v>8.8928200000000004</v>
      </c>
      <c r="F10" s="684">
        <f t="shared" si="0"/>
        <v>-0.34861572465317325</v>
      </c>
    </row>
    <row r="11" spans="1:6" s="336" customFormat="1" ht="10.5" customHeight="1">
      <c r="A11" s="681" t="s">
        <v>244</v>
      </c>
      <c r="B11" s="633" t="s">
        <v>332</v>
      </c>
      <c r="C11" s="635">
        <v>0</v>
      </c>
      <c r="D11" s="635">
        <v>0</v>
      </c>
      <c r="E11" s="809">
        <v>0</v>
      </c>
      <c r="F11" s="682" t="str">
        <f t="shared" si="0"/>
        <v/>
      </c>
    </row>
    <row r="12" spans="1:6" s="336" customFormat="1" ht="10.5" customHeight="1">
      <c r="A12" s="683" t="s">
        <v>673</v>
      </c>
      <c r="B12" s="518"/>
      <c r="C12" s="520">
        <v>0</v>
      </c>
      <c r="D12" s="520">
        <v>0</v>
      </c>
      <c r="E12" s="808">
        <v>0</v>
      </c>
      <c r="F12" s="684" t="str">
        <f t="shared" si="0"/>
        <v/>
      </c>
    </row>
    <row r="13" spans="1:6" s="336" customFormat="1" ht="10.5" customHeight="1">
      <c r="A13" s="681" t="s">
        <v>95</v>
      </c>
      <c r="B13" s="633" t="s">
        <v>333</v>
      </c>
      <c r="C13" s="635">
        <v>110.18037</v>
      </c>
      <c r="D13" s="635">
        <v>110.86697000000001</v>
      </c>
      <c r="E13" s="809">
        <v>110.13262</v>
      </c>
      <c r="F13" s="682">
        <f t="shared" si="0"/>
        <v>-6.1930077100511571E-3</v>
      </c>
    </row>
    <row r="14" spans="1:6" s="336" customFormat="1" ht="10.5" customHeight="1">
      <c r="A14" s="683" t="s">
        <v>674</v>
      </c>
      <c r="B14" s="518"/>
      <c r="C14" s="520">
        <v>110.18037</v>
      </c>
      <c r="D14" s="520">
        <v>110.86697000000001</v>
      </c>
      <c r="E14" s="808">
        <v>110.13262</v>
      </c>
      <c r="F14" s="684">
        <f t="shared" si="0"/>
        <v>-6.1930077100511571E-3</v>
      </c>
    </row>
    <row r="15" spans="1:6" s="336" customFormat="1" ht="10.5" customHeight="1">
      <c r="A15" s="681" t="s">
        <v>436</v>
      </c>
      <c r="B15" s="633" t="s">
        <v>488</v>
      </c>
      <c r="C15" s="635">
        <v>8.3879999999999999</v>
      </c>
      <c r="D15" s="635">
        <v>3.86</v>
      </c>
      <c r="E15" s="809">
        <v>8.3719999999999999</v>
      </c>
      <c r="F15" s="682">
        <f t="shared" si="0"/>
        <v>1.1730569948186531</v>
      </c>
    </row>
    <row r="16" spans="1:6" s="336" customFormat="1" ht="10.5" customHeight="1">
      <c r="A16" s="683" t="s">
        <v>675</v>
      </c>
      <c r="B16" s="518"/>
      <c r="C16" s="520">
        <v>8.3879999999999999</v>
      </c>
      <c r="D16" s="520">
        <v>3.86</v>
      </c>
      <c r="E16" s="808">
        <v>8.3719999999999999</v>
      </c>
      <c r="F16" s="684">
        <f t="shared" si="0"/>
        <v>1.1730569948186531</v>
      </c>
    </row>
    <row r="17" spans="1:6" s="336" customFormat="1" ht="10.5" customHeight="1">
      <c r="A17" s="681" t="s">
        <v>403</v>
      </c>
      <c r="B17" s="633" t="s">
        <v>409</v>
      </c>
      <c r="C17" s="635">
        <v>20.345030000000001</v>
      </c>
      <c r="D17" s="635">
        <v>19.980219999999999</v>
      </c>
      <c r="E17" s="809">
        <v>20.120570000000001</v>
      </c>
      <c r="F17" s="682">
        <f t="shared" si="0"/>
        <v>1.825855771357876E-2</v>
      </c>
    </row>
    <row r="18" spans="1:6" s="336" customFormat="1" ht="10.5" customHeight="1">
      <c r="A18" s="683" t="s">
        <v>676</v>
      </c>
      <c r="B18" s="518"/>
      <c r="C18" s="520">
        <v>20.345030000000001</v>
      </c>
      <c r="D18" s="520">
        <v>19.980219999999999</v>
      </c>
      <c r="E18" s="808">
        <v>20.120570000000001</v>
      </c>
      <c r="F18" s="684">
        <f t="shared" si="0"/>
        <v>1.825855771357876E-2</v>
      </c>
    </row>
    <row r="19" spans="1:6" s="336" customFormat="1" ht="10.5" customHeight="1">
      <c r="A19" s="681" t="s">
        <v>102</v>
      </c>
      <c r="B19" s="633" t="s">
        <v>334</v>
      </c>
      <c r="C19" s="635">
        <v>26.28755</v>
      </c>
      <c r="D19" s="635">
        <v>27.528079999999999</v>
      </c>
      <c r="E19" s="809">
        <v>26.558800000000002</v>
      </c>
      <c r="F19" s="682">
        <f t="shared" si="0"/>
        <v>-4.506416720672124E-2</v>
      </c>
    </row>
    <row r="20" spans="1:6" s="336" customFormat="1" ht="10.5" customHeight="1">
      <c r="A20" s="683" t="s">
        <v>677</v>
      </c>
      <c r="B20" s="518"/>
      <c r="C20" s="520">
        <v>26.28755</v>
      </c>
      <c r="D20" s="520">
        <v>27.528079999999999</v>
      </c>
      <c r="E20" s="808">
        <v>26.558800000000002</v>
      </c>
      <c r="F20" s="684">
        <f t="shared" si="0"/>
        <v>-4.506416720672124E-2</v>
      </c>
    </row>
    <row r="21" spans="1:6" s="336" customFormat="1" ht="10.5" customHeight="1">
      <c r="A21" s="681" t="s">
        <v>119</v>
      </c>
      <c r="B21" s="633" t="s">
        <v>335</v>
      </c>
      <c r="C21" s="635">
        <v>0</v>
      </c>
      <c r="D21" s="635">
        <v>28.87407</v>
      </c>
      <c r="E21" s="809">
        <v>0</v>
      </c>
      <c r="F21" s="682">
        <f t="shared" si="0"/>
        <v>-1</v>
      </c>
    </row>
    <row r="22" spans="1:6" s="336" customFormat="1" ht="10.5" customHeight="1">
      <c r="A22" s="683" t="s">
        <v>678</v>
      </c>
      <c r="B22" s="518"/>
      <c r="C22" s="520">
        <v>0</v>
      </c>
      <c r="D22" s="520">
        <v>28.87407</v>
      </c>
      <c r="E22" s="808">
        <v>0</v>
      </c>
      <c r="F22" s="684">
        <f t="shared" si="0"/>
        <v>-1</v>
      </c>
    </row>
    <row r="23" spans="1:6" s="336" customFormat="1" ht="10.5" customHeight="1">
      <c r="A23" s="681" t="s">
        <v>113</v>
      </c>
      <c r="B23" s="633" t="s">
        <v>481</v>
      </c>
      <c r="C23" s="635">
        <v>19.911049999999999</v>
      </c>
      <c r="D23" s="635"/>
      <c r="E23" s="809">
        <v>19.958759999999998</v>
      </c>
      <c r="F23" s="682" t="str">
        <f t="shared" si="0"/>
        <v/>
      </c>
    </row>
    <row r="24" spans="1:6" s="336" customFormat="1" ht="10.5" customHeight="1">
      <c r="A24" s="681"/>
      <c r="B24" s="633" t="s">
        <v>69</v>
      </c>
      <c r="C24" s="635">
        <v>8.8717400000000008</v>
      </c>
      <c r="D24" s="635">
        <v>7.5201700000000002</v>
      </c>
      <c r="E24" s="809">
        <v>8.2235600000000009</v>
      </c>
      <c r="F24" s="682">
        <f t="shared" si="0"/>
        <v>0.17972599023692282</v>
      </c>
    </row>
    <row r="25" spans="1:6" s="336" customFormat="1" ht="10.5" customHeight="1">
      <c r="A25" s="683" t="s">
        <v>679</v>
      </c>
      <c r="B25" s="518"/>
      <c r="C25" s="520">
        <v>28.782789999999999</v>
      </c>
      <c r="D25" s="520">
        <v>7.5201700000000002</v>
      </c>
      <c r="E25" s="808">
        <v>28.182319999999997</v>
      </c>
      <c r="F25" s="684">
        <f t="shared" si="0"/>
        <v>2.8274121462679696</v>
      </c>
    </row>
    <row r="26" spans="1:6" s="336" customFormat="1" ht="10.5" customHeight="1">
      <c r="A26" s="681" t="s">
        <v>90</v>
      </c>
      <c r="B26" s="633" t="s">
        <v>336</v>
      </c>
      <c r="C26" s="635">
        <v>44.429850000000002</v>
      </c>
      <c r="D26" s="635">
        <v>42.952449999999999</v>
      </c>
      <c r="E26" s="809">
        <v>42.757599999999996</v>
      </c>
      <c r="F26" s="682">
        <f t="shared" si="0"/>
        <v>3.4396175305483334E-2</v>
      </c>
    </row>
    <row r="27" spans="1:6" s="336" customFormat="1" ht="10.5" customHeight="1">
      <c r="A27" s="681"/>
      <c r="B27" s="633" t="s">
        <v>337</v>
      </c>
      <c r="C27" s="635">
        <v>157.14209</v>
      </c>
      <c r="D27" s="635">
        <v>137.529</v>
      </c>
      <c r="E27" s="809">
        <v>163.52692999999999</v>
      </c>
      <c r="F27" s="682"/>
    </row>
    <row r="28" spans="1:6" s="336" customFormat="1" ht="10.5" customHeight="1">
      <c r="A28" s="681"/>
      <c r="B28" s="633" t="s">
        <v>338</v>
      </c>
      <c r="C28" s="635">
        <v>24.180759999999999</v>
      </c>
      <c r="D28" s="635">
        <v>14.768599999999999</v>
      </c>
      <c r="E28" s="809">
        <v>23.855930000000001</v>
      </c>
      <c r="F28" s="682"/>
    </row>
    <row r="29" spans="1:6" s="336" customFormat="1" ht="10.5" customHeight="1">
      <c r="A29" s="681"/>
      <c r="B29" s="633" t="s">
        <v>339</v>
      </c>
      <c r="C29" s="635">
        <v>0.22328000000000001</v>
      </c>
      <c r="D29" s="635">
        <v>0</v>
      </c>
      <c r="E29" s="809">
        <v>0.22234999999999999</v>
      </c>
      <c r="F29" s="682"/>
    </row>
    <row r="30" spans="1:6" s="336" customFormat="1" ht="10.5" customHeight="1">
      <c r="A30" s="681"/>
      <c r="B30" s="633" t="s">
        <v>340</v>
      </c>
      <c r="C30" s="635">
        <v>42.888649999999998</v>
      </c>
      <c r="D30" s="635">
        <v>33.450969999999998</v>
      </c>
      <c r="E30" s="809">
        <v>45.267490000000002</v>
      </c>
      <c r="F30" s="682"/>
    </row>
    <row r="31" spans="1:6" s="336" customFormat="1" ht="10.5" customHeight="1">
      <c r="A31" s="681"/>
      <c r="B31" s="633" t="s">
        <v>341</v>
      </c>
      <c r="C31" s="635">
        <v>3.78</v>
      </c>
      <c r="D31" s="635">
        <v>3.1694599999999999</v>
      </c>
      <c r="E31" s="809">
        <v>3.8410700000000002</v>
      </c>
      <c r="F31" s="682"/>
    </row>
    <row r="32" spans="1:6" s="336" customFormat="1" ht="10.5" customHeight="1">
      <c r="A32" s="681"/>
      <c r="B32" s="633" t="s">
        <v>342</v>
      </c>
      <c r="C32" s="635">
        <v>6.6247199999999999</v>
      </c>
      <c r="D32" s="635">
        <v>0</v>
      </c>
      <c r="E32" s="809">
        <v>8.3933999999999997</v>
      </c>
      <c r="F32" s="682" t="str">
        <f t="shared" si="0"/>
        <v/>
      </c>
    </row>
    <row r="33" spans="1:6" s="336" customFormat="1" ht="10.5" customHeight="1">
      <c r="A33" s="681"/>
      <c r="B33" s="633" t="s">
        <v>343</v>
      </c>
      <c r="C33" s="635">
        <v>0</v>
      </c>
      <c r="D33" s="635">
        <v>0</v>
      </c>
      <c r="E33" s="809">
        <v>0</v>
      </c>
      <c r="F33" s="682" t="str">
        <f t="shared" si="0"/>
        <v/>
      </c>
    </row>
    <row r="34" spans="1:6" s="336" customFormat="1" ht="10.5" customHeight="1">
      <c r="A34" s="681"/>
      <c r="B34" s="633" t="s">
        <v>344</v>
      </c>
      <c r="C34" s="635">
        <v>1.4802399999999998</v>
      </c>
      <c r="D34" s="635">
        <v>2.08121</v>
      </c>
      <c r="E34" s="809">
        <v>0.86190999999999995</v>
      </c>
      <c r="F34" s="682">
        <f t="shared" si="0"/>
        <v>-0.28875990409425301</v>
      </c>
    </row>
    <row r="35" spans="1:6" s="336" customFormat="1" ht="10.5" customHeight="1">
      <c r="A35" s="681"/>
      <c r="B35" s="633" t="s">
        <v>345</v>
      </c>
      <c r="C35" s="635">
        <v>0.54545999999999994</v>
      </c>
      <c r="D35" s="635">
        <v>0.51395999999999997</v>
      </c>
      <c r="E35" s="809">
        <v>0.28194000000000002</v>
      </c>
      <c r="F35" s="682">
        <f t="shared" si="0"/>
        <v>6.1288816250291811E-2</v>
      </c>
    </row>
    <row r="36" spans="1:6" s="336" customFormat="1" ht="10.5" customHeight="1">
      <c r="A36" s="681"/>
      <c r="B36" s="633" t="s">
        <v>346</v>
      </c>
      <c r="C36" s="635">
        <v>0.37236999999999998</v>
      </c>
      <c r="D36" s="635">
        <v>0.37483</v>
      </c>
      <c r="E36" s="809">
        <v>0.23855999999999999</v>
      </c>
      <c r="F36" s="682">
        <f t="shared" si="0"/>
        <v>-6.5629752154310328E-3</v>
      </c>
    </row>
    <row r="37" spans="1:6" s="336" customFormat="1" ht="10.5" customHeight="1">
      <c r="A37" s="681"/>
      <c r="B37" s="633" t="s">
        <v>347</v>
      </c>
      <c r="C37" s="635">
        <v>105.59116</v>
      </c>
      <c r="D37" s="635">
        <v>103.91934999999999</v>
      </c>
      <c r="E37" s="809">
        <v>105.60454</v>
      </c>
      <c r="F37" s="682">
        <f t="shared" si="0"/>
        <v>1.6087571756366881E-2</v>
      </c>
    </row>
    <row r="38" spans="1:6" s="336" customFormat="1" ht="10.5" customHeight="1">
      <c r="A38" s="683" t="s">
        <v>680</v>
      </c>
      <c r="B38" s="518"/>
      <c r="C38" s="520">
        <v>387.25857999999994</v>
      </c>
      <c r="D38" s="520">
        <v>338.75982999999997</v>
      </c>
      <c r="E38" s="808">
        <v>394.85172</v>
      </c>
      <c r="F38" s="684">
        <f t="shared" si="0"/>
        <v>0.14316558725395501</v>
      </c>
    </row>
    <row r="39" spans="1:6" s="336" customFormat="1" ht="10.5" customHeight="1">
      <c r="A39" s="681" t="s">
        <v>109</v>
      </c>
      <c r="B39" s="633" t="s">
        <v>231</v>
      </c>
      <c r="C39" s="635">
        <v>0</v>
      </c>
      <c r="D39" s="635">
        <v>0</v>
      </c>
      <c r="E39" s="809">
        <v>0</v>
      </c>
      <c r="F39" s="682" t="str">
        <f t="shared" si="0"/>
        <v/>
      </c>
    </row>
    <row r="40" spans="1:6" s="336" customFormat="1" ht="10.5" customHeight="1">
      <c r="A40" s="683" t="s">
        <v>681</v>
      </c>
      <c r="B40" s="518"/>
      <c r="C40" s="520">
        <v>0</v>
      </c>
      <c r="D40" s="520">
        <v>0</v>
      </c>
      <c r="E40" s="808">
        <v>0</v>
      </c>
      <c r="F40" s="684" t="str">
        <f t="shared" si="0"/>
        <v/>
      </c>
    </row>
    <row r="41" spans="1:6" s="336" customFormat="1" ht="10.5" customHeight="1">
      <c r="A41" s="681" t="s">
        <v>100</v>
      </c>
      <c r="B41" s="633" t="s">
        <v>438</v>
      </c>
      <c r="C41" s="635">
        <v>283.29390999999998</v>
      </c>
      <c r="D41" s="635">
        <v>290.16346999999996</v>
      </c>
      <c r="E41" s="809">
        <v>283.12439000000001</v>
      </c>
      <c r="F41" s="682">
        <f t="shared" si="0"/>
        <v>-2.3674792695303704E-2</v>
      </c>
    </row>
    <row r="42" spans="1:6" s="336" customFormat="1" ht="10.5" customHeight="1">
      <c r="A42" s="683" t="s">
        <v>682</v>
      </c>
      <c r="B42" s="518"/>
      <c r="C42" s="520">
        <v>283.29390999999998</v>
      </c>
      <c r="D42" s="520">
        <v>290.16346999999996</v>
      </c>
      <c r="E42" s="808">
        <v>283.12439000000001</v>
      </c>
      <c r="F42" s="684">
        <f t="shared" si="0"/>
        <v>-2.3674792695303704E-2</v>
      </c>
    </row>
    <row r="43" spans="1:6" s="336" customFormat="1" ht="10.5" customHeight="1">
      <c r="A43" s="681" t="s">
        <v>105</v>
      </c>
      <c r="B43" s="633" t="s">
        <v>348</v>
      </c>
      <c r="C43" s="635">
        <v>0</v>
      </c>
      <c r="D43" s="635">
        <v>0</v>
      </c>
      <c r="E43" s="809">
        <v>0</v>
      </c>
      <c r="F43" s="682" t="str">
        <f t="shared" si="0"/>
        <v/>
      </c>
    </row>
    <row r="44" spans="1:6" s="336" customFormat="1" ht="10.5" customHeight="1">
      <c r="A44" s="683" t="s">
        <v>683</v>
      </c>
      <c r="B44" s="518"/>
      <c r="C44" s="520">
        <v>0</v>
      </c>
      <c r="D44" s="520">
        <v>0</v>
      </c>
      <c r="E44" s="808">
        <v>0</v>
      </c>
      <c r="F44" s="684" t="str">
        <f t="shared" si="0"/>
        <v/>
      </c>
    </row>
    <row r="45" spans="1:6" s="336" customFormat="1" ht="10.5" customHeight="1">
      <c r="A45" s="681"/>
      <c r="B45" s="633"/>
      <c r="C45" s="635"/>
      <c r="D45" s="821"/>
      <c r="E45" s="821"/>
      <c r="F45" s="822"/>
    </row>
    <row r="46" spans="1:6" s="416" customFormat="1" ht="12" customHeight="1">
      <c r="A46" s="503" t="s">
        <v>405</v>
      </c>
      <c r="B46" s="513"/>
      <c r="C46" s="627">
        <v>7116.7887500000015</v>
      </c>
      <c r="D46" s="502">
        <v>6990.668980000004</v>
      </c>
      <c r="E46" s="502">
        <v>7125.2993800000013</v>
      </c>
      <c r="F46" s="656">
        <f>+IF(D46=0,"",C46/D46-1)</f>
        <v>1.8041158916381361E-2</v>
      </c>
    </row>
    <row r="47" spans="1:6" s="416" customFormat="1" ht="12" customHeight="1">
      <c r="A47" s="513" t="s">
        <v>349</v>
      </c>
      <c r="B47" s="503"/>
      <c r="C47" s="502">
        <f>+'8. Max Potencia'!D16</f>
        <v>0</v>
      </c>
      <c r="D47" s="502">
        <f>+'8. Max Potencia'!E16</f>
        <v>0</v>
      </c>
      <c r="E47" s="505">
        <v>0</v>
      </c>
      <c r="F47" s="657">
        <v>0</v>
      </c>
    </row>
    <row r="48" spans="1:6" s="416" customFormat="1" ht="12" customHeight="1">
      <c r="A48" s="658" t="s">
        <v>350</v>
      </c>
      <c r="B48" s="658"/>
      <c r="C48" s="502">
        <v>0</v>
      </c>
      <c r="D48" s="502">
        <v>0</v>
      </c>
      <c r="E48" s="505">
        <v>0</v>
      </c>
      <c r="F48" s="657">
        <v>0</v>
      </c>
    </row>
    <row r="49" spans="1:7" ht="12" customHeight="1">
      <c r="A49" s="767" t="s">
        <v>461</v>
      </c>
      <c r="B49" s="658"/>
      <c r="C49" s="502">
        <f>+C46+C47</f>
        <v>7116.7887500000015</v>
      </c>
      <c r="D49" s="502">
        <f t="shared" ref="D49:E49" si="1">+D46+D47</f>
        <v>6990.668980000004</v>
      </c>
      <c r="E49" s="502">
        <f t="shared" si="1"/>
        <v>7125.2993800000013</v>
      </c>
      <c r="F49" s="656">
        <f>+IF(D49=0,"",C49/D49-1)</f>
        <v>1.8041158916381361E-2</v>
      </c>
    </row>
    <row r="50" spans="1:7" ht="12" customHeight="1">
      <c r="A50" s="633"/>
      <c r="B50" s="636"/>
      <c r="C50" s="636"/>
      <c r="D50" s="636"/>
      <c r="E50" s="636"/>
      <c r="F50" s="636"/>
    </row>
    <row r="51" spans="1:7" ht="27.75" customHeight="1">
      <c r="A51" s="983" t="s">
        <v>504</v>
      </c>
      <c r="B51" s="983"/>
      <c r="C51" s="983"/>
      <c r="D51" s="983"/>
      <c r="E51" s="983"/>
      <c r="F51" s="983"/>
    </row>
    <row r="52" spans="1:7" ht="15" customHeight="1">
      <c r="A52" s="996"/>
      <c r="B52" s="996"/>
      <c r="C52" s="996"/>
      <c r="D52" s="996"/>
      <c r="E52" s="996"/>
      <c r="F52" s="996"/>
      <c r="G52" s="714"/>
    </row>
    <row r="53" spans="1:7" ht="15" customHeight="1">
      <c r="A53" s="996"/>
      <c r="B53" s="996"/>
      <c r="C53" s="996"/>
      <c r="D53" s="996"/>
      <c r="E53" s="996"/>
      <c r="F53" s="996"/>
      <c r="G53" s="714"/>
    </row>
    <row r="54" spans="1:7" ht="15" customHeight="1">
      <c r="A54" s="996"/>
      <c r="B54" s="996"/>
      <c r="C54" s="996"/>
      <c r="D54" s="996"/>
      <c r="E54" s="996"/>
      <c r="F54" s="996"/>
      <c r="G54" s="714"/>
    </row>
    <row r="55" spans="1:7" ht="15" customHeight="1">
      <c r="A55" s="996"/>
      <c r="B55" s="996"/>
      <c r="C55" s="996"/>
      <c r="D55" s="996"/>
      <c r="E55" s="996"/>
      <c r="F55" s="996"/>
      <c r="G55" s="714"/>
    </row>
    <row r="56" spans="1:7" ht="15" customHeight="1">
      <c r="A56" s="996"/>
      <c r="B56" s="996"/>
      <c r="C56" s="996"/>
      <c r="D56" s="996"/>
      <c r="E56" s="996"/>
      <c r="F56" s="996"/>
      <c r="G56" s="46"/>
    </row>
    <row r="57" spans="1:7" ht="15" customHeight="1">
      <c r="A57" s="996"/>
      <c r="B57" s="996"/>
      <c r="C57" s="996"/>
      <c r="D57" s="996"/>
      <c r="E57" s="996"/>
      <c r="F57" s="996"/>
      <c r="G57" s="46"/>
    </row>
    <row r="58" spans="1:7" ht="22.5" customHeight="1">
      <c r="A58" s="982"/>
      <c r="B58" s="982"/>
      <c r="C58" s="982"/>
      <c r="D58" s="982"/>
      <c r="E58" s="982"/>
      <c r="F58" s="982"/>
      <c r="G58" s="777"/>
    </row>
    <row r="59" spans="1:7" ht="15.75" customHeight="1">
      <c r="A59" s="996"/>
      <c r="B59" s="996"/>
      <c r="C59" s="996"/>
      <c r="D59" s="996"/>
      <c r="E59" s="996"/>
      <c r="F59" s="996"/>
      <c r="G59" s="741"/>
    </row>
    <row r="60" spans="1:7" ht="12" customHeight="1">
      <c r="A60" s="996"/>
      <c r="B60" s="996"/>
      <c r="C60" s="996"/>
      <c r="D60" s="996"/>
      <c r="E60" s="996"/>
      <c r="F60" s="996"/>
      <c r="G60" s="741"/>
    </row>
    <row r="61" spans="1:7" ht="12" customHeight="1">
      <c r="A61" s="996"/>
      <c r="B61" s="996"/>
      <c r="C61" s="996"/>
      <c r="D61" s="996"/>
      <c r="E61" s="996"/>
      <c r="F61" s="996"/>
      <c r="G61" s="741"/>
    </row>
    <row r="62" spans="1:7" ht="12" customHeight="1">
      <c r="A62" s="336"/>
      <c r="G62" s="741"/>
    </row>
    <row r="63" spans="1:7" ht="12" customHeight="1">
      <c r="A63" s="336"/>
    </row>
    <row r="64" spans="1:7" ht="12" customHeight="1">
      <c r="A64" s="336"/>
    </row>
  </sheetData>
  <mergeCells count="14">
    <mergeCell ref="A59:F59"/>
    <mergeCell ref="A60:F60"/>
    <mergeCell ref="A61:F61"/>
    <mergeCell ref="A1:A4"/>
    <mergeCell ref="B1:B4"/>
    <mergeCell ref="C1:F1"/>
    <mergeCell ref="A51:F51"/>
    <mergeCell ref="A58:F58"/>
    <mergeCell ref="A52:F52"/>
    <mergeCell ref="A53:F53"/>
    <mergeCell ref="A54:F54"/>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30" zoomScaleNormal="100" zoomScaleSheetLayoutView="130" zoomScalePageLayoutView="145" workbookViewId="0">
      <selection activeCell="R40" sqref="R40"/>
    </sheetView>
  </sheetViews>
  <sheetFormatPr baseColWidth="10"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2" t="s">
        <v>362</v>
      </c>
      <c r="B3" s="280"/>
    </row>
    <row r="4" spans="1:13" ht="11.25" customHeight="1">
      <c r="B4" s="280"/>
    </row>
    <row r="5" spans="1:13" ht="11.25" customHeight="1">
      <c r="A5" s="281" t="s">
        <v>412</v>
      </c>
      <c r="C5" s="280">
        <v>7116.7887499999997</v>
      </c>
    </row>
    <row r="6" spans="1:13" ht="11.25" customHeight="1">
      <c r="A6" s="281" t="s">
        <v>363</v>
      </c>
      <c r="C6" s="280" t="s">
        <v>581</v>
      </c>
    </row>
    <row r="7" spans="1:13" ht="11.25" customHeight="1">
      <c r="A7" s="281" t="s">
        <v>364</v>
      </c>
      <c r="C7" s="858" t="s">
        <v>457</v>
      </c>
    </row>
    <row r="8" spans="1:13" ht="11.25" customHeight="1"/>
    <row r="9" spans="1:13" ht="14.25" customHeight="1">
      <c r="A9" s="997" t="s">
        <v>355</v>
      </c>
      <c r="B9" s="998" t="s">
        <v>356</v>
      </c>
      <c r="C9" s="998"/>
      <c r="D9" s="998"/>
      <c r="E9" s="998"/>
      <c r="F9" s="998"/>
      <c r="G9" s="998" t="s">
        <v>357</v>
      </c>
      <c r="H9" s="998"/>
      <c r="I9" s="998"/>
      <c r="J9" s="998"/>
      <c r="K9" s="998"/>
    </row>
    <row r="10" spans="1:13" ht="26.25" customHeight="1">
      <c r="A10" s="997"/>
      <c r="B10" s="511" t="s">
        <v>358</v>
      </c>
      <c r="C10" s="511" t="s">
        <v>199</v>
      </c>
      <c r="D10" s="511" t="s">
        <v>349</v>
      </c>
      <c r="E10" s="511" t="s">
        <v>350</v>
      </c>
      <c r="F10" s="512" t="s">
        <v>361</v>
      </c>
      <c r="G10" s="511" t="s">
        <v>358</v>
      </c>
      <c r="H10" s="511" t="s">
        <v>199</v>
      </c>
      <c r="I10" s="511" t="s">
        <v>349</v>
      </c>
      <c r="J10" s="511" t="s">
        <v>350</v>
      </c>
      <c r="K10" s="512" t="s">
        <v>361</v>
      </c>
      <c r="L10" s="36"/>
      <c r="M10" s="46"/>
    </row>
    <row r="11" spans="1:13" ht="11.25" customHeight="1">
      <c r="A11" s="997"/>
      <c r="B11" s="511" t="s">
        <v>359</v>
      </c>
      <c r="C11" s="511" t="s">
        <v>360</v>
      </c>
      <c r="D11" s="511" t="s">
        <v>360</v>
      </c>
      <c r="E11" s="511" t="s">
        <v>360</v>
      </c>
      <c r="F11" s="511" t="s">
        <v>360</v>
      </c>
      <c r="G11" s="511" t="s">
        <v>359</v>
      </c>
      <c r="H11" s="511" t="s">
        <v>360</v>
      </c>
      <c r="I11" s="511" t="s">
        <v>360</v>
      </c>
      <c r="J11" s="511" t="s">
        <v>360</v>
      </c>
      <c r="K11" s="511" t="s">
        <v>360</v>
      </c>
      <c r="L11" s="36"/>
      <c r="M11" s="46"/>
    </row>
    <row r="12" spans="1:13" ht="11.25" customHeight="1">
      <c r="A12" s="756" t="s">
        <v>572</v>
      </c>
      <c r="B12" s="757" t="s">
        <v>430</v>
      </c>
      <c r="C12" s="757">
        <v>6025.1668799999998</v>
      </c>
      <c r="D12" s="757">
        <v>0</v>
      </c>
      <c r="E12" s="757">
        <v>0</v>
      </c>
      <c r="F12" s="757">
        <v>6025.1668799999998</v>
      </c>
      <c r="G12" s="757" t="s">
        <v>573</v>
      </c>
      <c r="H12" s="757">
        <v>6563.2001300000002</v>
      </c>
      <c r="I12" s="757">
        <v>0</v>
      </c>
      <c r="J12" s="757">
        <v>0</v>
      </c>
      <c r="K12" s="757">
        <v>6563.2001300000002</v>
      </c>
      <c r="L12" s="205"/>
      <c r="M12" s="46"/>
    </row>
    <row r="13" spans="1:13" ht="11.25" customHeight="1">
      <c r="A13" s="756" t="s">
        <v>574</v>
      </c>
      <c r="B13" s="757" t="s">
        <v>469</v>
      </c>
      <c r="C13" s="757">
        <v>7017.5573999999997</v>
      </c>
      <c r="D13" s="757">
        <v>0</v>
      </c>
      <c r="E13" s="757">
        <v>0</v>
      </c>
      <c r="F13" s="757">
        <v>7017.5573999999997</v>
      </c>
      <c r="G13" s="757" t="s">
        <v>468</v>
      </c>
      <c r="H13" s="757">
        <v>6855.9048400000001</v>
      </c>
      <c r="I13" s="757">
        <v>0</v>
      </c>
      <c r="J13" s="757">
        <v>0</v>
      </c>
      <c r="K13" s="757">
        <v>6855.9048400000001</v>
      </c>
      <c r="L13" s="5"/>
    </row>
    <row r="14" spans="1:13" ht="11.25" customHeight="1">
      <c r="A14" s="756" t="s">
        <v>575</v>
      </c>
      <c r="B14" s="757" t="s">
        <v>407</v>
      </c>
      <c r="C14" s="757">
        <v>7239.0043100000003</v>
      </c>
      <c r="D14" s="757">
        <v>0</v>
      </c>
      <c r="E14" s="757">
        <v>0</v>
      </c>
      <c r="F14" s="757">
        <v>7239.0043100000003</v>
      </c>
      <c r="G14" s="757" t="s">
        <v>456</v>
      </c>
      <c r="H14" s="757">
        <v>7055.8844499999996</v>
      </c>
      <c r="I14" s="757">
        <v>0</v>
      </c>
      <c r="J14" s="757">
        <v>0</v>
      </c>
      <c r="K14" s="757">
        <v>7055.8844499999996</v>
      </c>
      <c r="L14" s="15"/>
    </row>
    <row r="15" spans="1:13" ht="11.25" customHeight="1">
      <c r="A15" s="756" t="s">
        <v>576</v>
      </c>
      <c r="B15" s="757" t="s">
        <v>407</v>
      </c>
      <c r="C15" s="757">
        <v>7246.7563799999998</v>
      </c>
      <c r="D15" s="757">
        <v>0</v>
      </c>
      <c r="E15" s="757">
        <v>0</v>
      </c>
      <c r="F15" s="757">
        <v>7246.7563799999998</v>
      </c>
      <c r="G15" s="757" t="s">
        <v>456</v>
      </c>
      <c r="H15" s="757">
        <v>7011.4771899999996</v>
      </c>
      <c r="I15" s="757">
        <v>0</v>
      </c>
      <c r="J15" s="757">
        <v>0</v>
      </c>
      <c r="K15" s="757">
        <v>7011.4771899999996</v>
      </c>
      <c r="L15" s="12"/>
    </row>
    <row r="16" spans="1:13" ht="11.25" customHeight="1">
      <c r="A16" s="756" t="s">
        <v>577</v>
      </c>
      <c r="B16" s="757" t="s">
        <v>407</v>
      </c>
      <c r="C16" s="757">
        <v>7227.1531599999998</v>
      </c>
      <c r="D16" s="757">
        <v>0</v>
      </c>
      <c r="E16" s="757">
        <v>0</v>
      </c>
      <c r="F16" s="757">
        <v>7227.1531599999998</v>
      </c>
      <c r="G16" s="757" t="s">
        <v>456</v>
      </c>
      <c r="H16" s="757">
        <v>7031.7419799999998</v>
      </c>
      <c r="I16" s="757">
        <v>0</v>
      </c>
      <c r="J16" s="757">
        <v>0</v>
      </c>
      <c r="K16" s="757">
        <v>7031.7419799999998</v>
      </c>
      <c r="L16" s="22"/>
    </row>
    <row r="17" spans="1:12" ht="11.25" customHeight="1">
      <c r="A17" s="756" t="s">
        <v>578</v>
      </c>
      <c r="B17" s="757" t="s">
        <v>415</v>
      </c>
      <c r="C17" s="757">
        <v>7133.2116900000001</v>
      </c>
      <c r="D17" s="757">
        <v>0</v>
      </c>
      <c r="E17" s="757">
        <v>0</v>
      </c>
      <c r="F17" s="757">
        <v>7133.2116900000001</v>
      </c>
      <c r="G17" s="757" t="s">
        <v>512</v>
      </c>
      <c r="H17" s="757">
        <v>6998.9150799999998</v>
      </c>
      <c r="I17" s="757">
        <v>0</v>
      </c>
      <c r="J17" s="757">
        <v>0</v>
      </c>
      <c r="K17" s="757">
        <v>6998.9150799999998</v>
      </c>
      <c r="L17" s="22"/>
    </row>
    <row r="18" spans="1:12" ht="11.25" customHeight="1">
      <c r="A18" s="756" t="s">
        <v>579</v>
      </c>
      <c r="B18" s="757" t="s">
        <v>407</v>
      </c>
      <c r="C18" s="757">
        <v>6980.97984</v>
      </c>
      <c r="D18" s="757">
        <v>0</v>
      </c>
      <c r="E18" s="757">
        <v>0</v>
      </c>
      <c r="F18" s="757">
        <v>6980.97984</v>
      </c>
      <c r="G18" s="757" t="s">
        <v>452</v>
      </c>
      <c r="H18" s="757">
        <v>6942.1421</v>
      </c>
      <c r="I18" s="757">
        <v>0</v>
      </c>
      <c r="J18" s="757">
        <v>0</v>
      </c>
      <c r="K18" s="757">
        <v>6942.1421</v>
      </c>
      <c r="L18" s="22"/>
    </row>
    <row r="19" spans="1:12" ht="11.25" customHeight="1">
      <c r="A19" s="756" t="s">
        <v>580</v>
      </c>
      <c r="B19" s="757" t="s">
        <v>484</v>
      </c>
      <c r="C19" s="757">
        <v>6113.6680299999998</v>
      </c>
      <c r="D19" s="757">
        <v>0</v>
      </c>
      <c r="E19" s="757">
        <v>0</v>
      </c>
      <c r="F19" s="757">
        <v>6113.6680299999998</v>
      </c>
      <c r="G19" s="757" t="s">
        <v>459</v>
      </c>
      <c r="H19" s="757">
        <v>6804.23506</v>
      </c>
      <c r="I19" s="757">
        <v>0</v>
      </c>
      <c r="J19" s="757">
        <v>0</v>
      </c>
      <c r="K19" s="757">
        <v>6804.23506</v>
      </c>
      <c r="L19" s="22"/>
    </row>
    <row r="20" spans="1:12" ht="11.25" customHeight="1">
      <c r="A20" s="756" t="s">
        <v>581</v>
      </c>
      <c r="B20" s="757" t="s">
        <v>582</v>
      </c>
      <c r="C20" s="757">
        <v>7238.6488300000001</v>
      </c>
      <c r="D20" s="757">
        <v>0</v>
      </c>
      <c r="E20" s="757">
        <v>0</v>
      </c>
      <c r="F20" s="757">
        <v>7238.6488300000001</v>
      </c>
      <c r="G20" s="758" t="s">
        <v>457</v>
      </c>
      <c r="H20" s="758">
        <v>7116.7887499999997</v>
      </c>
      <c r="I20" s="758">
        <v>0</v>
      </c>
      <c r="J20" s="758">
        <v>0</v>
      </c>
      <c r="K20" s="758">
        <v>7116.7887499999997</v>
      </c>
      <c r="L20" s="24"/>
    </row>
    <row r="21" spans="1:12" ht="11.25" customHeight="1">
      <c r="A21" s="756" t="s">
        <v>583</v>
      </c>
      <c r="B21" s="757" t="s">
        <v>511</v>
      </c>
      <c r="C21" s="757">
        <v>7200.11247</v>
      </c>
      <c r="D21" s="757">
        <v>0</v>
      </c>
      <c r="E21" s="757">
        <v>0</v>
      </c>
      <c r="F21" s="757">
        <v>7200.11247</v>
      </c>
      <c r="G21" s="757" t="s">
        <v>456</v>
      </c>
      <c r="H21" s="757">
        <v>7079.1017000000002</v>
      </c>
      <c r="I21" s="757">
        <v>0</v>
      </c>
      <c r="J21" s="757">
        <v>0</v>
      </c>
      <c r="K21" s="757">
        <v>7079.1017000000002</v>
      </c>
      <c r="L21" s="22"/>
    </row>
    <row r="22" spans="1:12" ht="11.25" customHeight="1">
      <c r="A22" s="756" t="s">
        <v>584</v>
      </c>
      <c r="B22" s="757" t="s">
        <v>490</v>
      </c>
      <c r="C22" s="757">
        <v>7157.9501200000004</v>
      </c>
      <c r="D22" s="757">
        <v>0</v>
      </c>
      <c r="E22" s="757">
        <v>0</v>
      </c>
      <c r="F22" s="757">
        <v>7157.9501200000004</v>
      </c>
      <c r="G22" s="757" t="s">
        <v>456</v>
      </c>
      <c r="H22" s="757">
        <v>6933.14192</v>
      </c>
      <c r="I22" s="757">
        <v>0</v>
      </c>
      <c r="J22" s="757">
        <v>0</v>
      </c>
      <c r="K22" s="757">
        <v>6933.14192</v>
      </c>
      <c r="L22" s="22"/>
    </row>
    <row r="23" spans="1:12" ht="11.25" customHeight="1">
      <c r="A23" s="756" t="s">
        <v>585</v>
      </c>
      <c r="B23" s="757" t="s">
        <v>408</v>
      </c>
      <c r="C23" s="757">
        <v>7209.1083699999999</v>
      </c>
      <c r="D23" s="757">
        <v>0</v>
      </c>
      <c r="E23" s="757">
        <v>0</v>
      </c>
      <c r="F23" s="757">
        <v>7209.1083699999999</v>
      </c>
      <c r="G23" s="757" t="s">
        <v>459</v>
      </c>
      <c r="H23" s="757">
        <v>6991.2880299999997</v>
      </c>
      <c r="I23" s="757">
        <v>0</v>
      </c>
      <c r="J23" s="757">
        <v>0</v>
      </c>
      <c r="K23" s="757">
        <v>6991.2880299999997</v>
      </c>
      <c r="L23" s="22"/>
    </row>
    <row r="24" spans="1:12" ht="11.25" customHeight="1">
      <c r="A24" s="756" t="s">
        <v>586</v>
      </c>
      <c r="B24" s="758" t="s">
        <v>407</v>
      </c>
      <c r="C24" s="758">
        <v>7261.7031699999998</v>
      </c>
      <c r="D24" s="758">
        <v>0</v>
      </c>
      <c r="E24" s="758">
        <v>0</v>
      </c>
      <c r="F24" s="758">
        <v>7261.7031699999998</v>
      </c>
      <c r="G24" s="757" t="s">
        <v>456</v>
      </c>
      <c r="H24" s="757">
        <v>7003.1722300000001</v>
      </c>
      <c r="I24" s="757">
        <v>0</v>
      </c>
      <c r="J24" s="757">
        <v>0</v>
      </c>
      <c r="K24" s="757">
        <v>7003.1722300000001</v>
      </c>
      <c r="L24" s="22"/>
    </row>
    <row r="25" spans="1:12" ht="11.25" customHeight="1">
      <c r="A25" s="756" t="s">
        <v>587</v>
      </c>
      <c r="B25" s="757" t="s">
        <v>407</v>
      </c>
      <c r="C25" s="757">
        <v>6898.2482600000003</v>
      </c>
      <c r="D25" s="757">
        <v>0</v>
      </c>
      <c r="E25" s="757">
        <v>0</v>
      </c>
      <c r="F25" s="757">
        <v>6898.2482600000003</v>
      </c>
      <c r="G25" s="757" t="s">
        <v>588</v>
      </c>
      <c r="H25" s="757">
        <v>6994.4407199999996</v>
      </c>
      <c r="I25" s="757">
        <v>0</v>
      </c>
      <c r="J25" s="757">
        <v>0</v>
      </c>
      <c r="K25" s="757">
        <v>6994.4407199999996</v>
      </c>
      <c r="L25" s="22"/>
    </row>
    <row r="26" spans="1:12" ht="11.25" customHeight="1">
      <c r="A26" s="756" t="s">
        <v>589</v>
      </c>
      <c r="B26" s="757" t="s">
        <v>484</v>
      </c>
      <c r="C26" s="757">
        <v>6107.4483300000002</v>
      </c>
      <c r="D26" s="757">
        <v>0</v>
      </c>
      <c r="E26" s="757">
        <v>0</v>
      </c>
      <c r="F26" s="757">
        <v>6107.4483300000002</v>
      </c>
      <c r="G26" s="757" t="s">
        <v>459</v>
      </c>
      <c r="H26" s="757">
        <v>6840.6075600000004</v>
      </c>
      <c r="I26" s="757">
        <v>0</v>
      </c>
      <c r="J26" s="757">
        <v>0</v>
      </c>
      <c r="K26" s="757">
        <v>6840.6075600000004</v>
      </c>
      <c r="L26" s="22"/>
    </row>
    <row r="27" spans="1:12" ht="11.25" customHeight="1">
      <c r="A27" s="756" t="s">
        <v>590</v>
      </c>
      <c r="B27" s="757" t="s">
        <v>407</v>
      </c>
      <c r="C27" s="757">
        <v>6145.7849100000003</v>
      </c>
      <c r="D27" s="757">
        <v>0</v>
      </c>
      <c r="E27" s="757">
        <v>0</v>
      </c>
      <c r="F27" s="757">
        <v>6145.7849100000003</v>
      </c>
      <c r="G27" s="757" t="s">
        <v>456</v>
      </c>
      <c r="H27" s="757">
        <v>5859.0565299999998</v>
      </c>
      <c r="I27" s="757">
        <v>0</v>
      </c>
      <c r="J27" s="757">
        <v>0</v>
      </c>
      <c r="K27" s="757">
        <v>5859.0565299999998</v>
      </c>
      <c r="L27" s="22"/>
    </row>
    <row r="28" spans="1:12" ht="11.25" customHeight="1">
      <c r="A28" s="756" t="s">
        <v>591</v>
      </c>
      <c r="B28" s="757" t="s">
        <v>592</v>
      </c>
      <c r="C28" s="757">
        <v>5224.1648800000003</v>
      </c>
      <c r="D28" s="757">
        <v>0</v>
      </c>
      <c r="E28" s="757">
        <v>0</v>
      </c>
      <c r="F28" s="757">
        <v>5224.1648800000003</v>
      </c>
      <c r="G28" s="757" t="s">
        <v>457</v>
      </c>
      <c r="H28" s="757">
        <v>5497.8233399999999</v>
      </c>
      <c r="I28" s="757">
        <v>0</v>
      </c>
      <c r="J28" s="757">
        <v>0</v>
      </c>
      <c r="K28" s="757">
        <v>5497.8233399999999</v>
      </c>
      <c r="L28" s="30"/>
    </row>
    <row r="29" spans="1:12" ht="11.25" customHeight="1">
      <c r="A29" s="756" t="s">
        <v>593</v>
      </c>
      <c r="B29" s="757" t="s">
        <v>594</v>
      </c>
      <c r="C29" s="757">
        <v>5119.6699500000004</v>
      </c>
      <c r="D29" s="757">
        <v>0</v>
      </c>
      <c r="E29" s="757">
        <v>0</v>
      </c>
      <c r="F29" s="757">
        <v>5119.6699500000004</v>
      </c>
      <c r="G29" s="757" t="s">
        <v>457</v>
      </c>
      <c r="H29" s="757">
        <v>5276.0443999999998</v>
      </c>
      <c r="I29" s="757">
        <v>0</v>
      </c>
      <c r="J29" s="757">
        <v>0</v>
      </c>
      <c r="K29" s="757">
        <v>5276.0443999999998</v>
      </c>
      <c r="L29" s="22"/>
    </row>
    <row r="30" spans="1:12" ht="11.25" customHeight="1">
      <c r="A30" s="756" t="s">
        <v>595</v>
      </c>
      <c r="B30" s="757" t="s">
        <v>592</v>
      </c>
      <c r="C30" s="757">
        <v>4952.7611900000002</v>
      </c>
      <c r="D30" s="757">
        <v>0</v>
      </c>
      <c r="E30" s="757">
        <v>0</v>
      </c>
      <c r="F30" s="757">
        <v>4952.7611900000002</v>
      </c>
      <c r="G30" s="757" t="s">
        <v>457</v>
      </c>
      <c r="H30" s="757">
        <v>5293.3747999999996</v>
      </c>
      <c r="I30" s="757">
        <v>0</v>
      </c>
      <c r="J30" s="757">
        <v>0</v>
      </c>
      <c r="K30" s="757">
        <v>5293.3747999999996</v>
      </c>
      <c r="L30" s="22"/>
    </row>
    <row r="31" spans="1:12" ht="11.25" customHeight="1">
      <c r="A31" s="756" t="s">
        <v>596</v>
      </c>
      <c r="B31" s="757" t="s">
        <v>592</v>
      </c>
      <c r="C31" s="757">
        <v>4801.4822199999999</v>
      </c>
      <c r="D31" s="757">
        <v>0</v>
      </c>
      <c r="E31" s="757">
        <v>0</v>
      </c>
      <c r="F31" s="757">
        <v>4801.4822199999999</v>
      </c>
      <c r="G31" s="757" t="s">
        <v>456</v>
      </c>
      <c r="H31" s="757">
        <v>5251.2598699999999</v>
      </c>
      <c r="I31" s="757">
        <v>0</v>
      </c>
      <c r="J31" s="757">
        <v>0</v>
      </c>
      <c r="K31" s="757">
        <v>5251.2598699999999</v>
      </c>
      <c r="L31" s="15"/>
    </row>
    <row r="32" spans="1:12" ht="11.25" customHeight="1">
      <c r="A32" s="756" t="s">
        <v>597</v>
      </c>
      <c r="B32" s="757" t="s">
        <v>592</v>
      </c>
      <c r="C32" s="757">
        <v>4631.3775100000003</v>
      </c>
      <c r="D32" s="757">
        <v>0</v>
      </c>
      <c r="E32" s="757">
        <v>0</v>
      </c>
      <c r="F32" s="757">
        <v>4631.3775100000003</v>
      </c>
      <c r="G32" s="757" t="s">
        <v>459</v>
      </c>
      <c r="H32" s="757">
        <v>4986.8074999999999</v>
      </c>
      <c r="I32" s="757">
        <v>0</v>
      </c>
      <c r="J32" s="757">
        <v>0</v>
      </c>
      <c r="K32" s="757">
        <v>4986.8074999999999</v>
      </c>
      <c r="L32" s="16"/>
    </row>
    <row r="33" spans="1:12" ht="11.25" customHeight="1">
      <c r="A33" s="756" t="s">
        <v>598</v>
      </c>
      <c r="B33" s="757" t="s">
        <v>592</v>
      </c>
      <c r="C33" s="757">
        <v>4305.4827500000001</v>
      </c>
      <c r="D33" s="757">
        <v>0</v>
      </c>
      <c r="E33" s="757">
        <v>0</v>
      </c>
      <c r="F33" s="757">
        <v>4305.4827500000001</v>
      </c>
      <c r="G33" s="757" t="s">
        <v>457</v>
      </c>
      <c r="H33" s="757">
        <v>4931.5337399999999</v>
      </c>
      <c r="I33" s="757">
        <v>0</v>
      </c>
      <c r="J33" s="757">
        <v>0</v>
      </c>
      <c r="K33" s="757">
        <v>4931.5337399999999</v>
      </c>
      <c r="L33" s="15"/>
    </row>
    <row r="34" spans="1:12" ht="11.25" customHeight="1">
      <c r="A34" s="756" t="s">
        <v>599</v>
      </c>
      <c r="B34" s="757" t="s">
        <v>592</v>
      </c>
      <c r="C34" s="757">
        <v>4752.9057000000003</v>
      </c>
      <c r="D34" s="757">
        <v>0</v>
      </c>
      <c r="E34" s="757">
        <v>0</v>
      </c>
      <c r="F34" s="757">
        <v>4752.9057000000003</v>
      </c>
      <c r="G34" s="757" t="s">
        <v>457</v>
      </c>
      <c r="H34" s="757">
        <v>5218.6438900000003</v>
      </c>
      <c r="I34" s="757">
        <v>0</v>
      </c>
      <c r="J34" s="757">
        <v>0</v>
      </c>
      <c r="K34" s="757">
        <v>5218.6438900000003</v>
      </c>
      <c r="L34" s="15"/>
    </row>
    <row r="35" spans="1:12" ht="11.25" customHeight="1">
      <c r="A35" s="756" t="s">
        <v>600</v>
      </c>
      <c r="B35" s="757" t="s">
        <v>601</v>
      </c>
      <c r="C35" s="757">
        <v>4817.5499499999996</v>
      </c>
      <c r="D35" s="757">
        <v>0</v>
      </c>
      <c r="E35" s="757">
        <v>0</v>
      </c>
      <c r="F35" s="757">
        <v>4817.5499499999996</v>
      </c>
      <c r="G35" s="757" t="s">
        <v>456</v>
      </c>
      <c r="H35" s="757">
        <v>5191.3377099999998</v>
      </c>
      <c r="I35" s="757">
        <v>0</v>
      </c>
      <c r="J35" s="757">
        <v>0</v>
      </c>
      <c r="K35" s="757">
        <v>5191.3377099999998</v>
      </c>
      <c r="L35" s="22"/>
    </row>
    <row r="36" spans="1:12" ht="11.25" customHeight="1">
      <c r="A36" s="756" t="s">
        <v>602</v>
      </c>
      <c r="B36" s="757" t="s">
        <v>594</v>
      </c>
      <c r="C36" s="757">
        <v>4779.64959</v>
      </c>
      <c r="D36" s="757">
        <v>0</v>
      </c>
      <c r="E36" s="757">
        <v>0</v>
      </c>
      <c r="F36" s="757">
        <v>4779.64959</v>
      </c>
      <c r="G36" s="757" t="s">
        <v>456</v>
      </c>
      <c r="H36" s="757">
        <v>5195.9416000000001</v>
      </c>
      <c r="I36" s="757">
        <v>0</v>
      </c>
      <c r="J36" s="757">
        <v>0</v>
      </c>
      <c r="K36" s="757">
        <v>5195.9416000000001</v>
      </c>
      <c r="L36" s="22"/>
    </row>
    <row r="37" spans="1:12" ht="11.25" customHeight="1">
      <c r="A37" s="756" t="s">
        <v>603</v>
      </c>
      <c r="B37" s="757" t="s">
        <v>604</v>
      </c>
      <c r="C37" s="757">
        <v>4718.6920499999997</v>
      </c>
      <c r="D37" s="757">
        <v>0</v>
      </c>
      <c r="E37" s="757">
        <v>0</v>
      </c>
      <c r="F37" s="757">
        <v>4718.6920499999997</v>
      </c>
      <c r="G37" s="757" t="s">
        <v>456</v>
      </c>
      <c r="H37" s="757">
        <v>5149.9939100000001</v>
      </c>
      <c r="I37" s="757">
        <v>0</v>
      </c>
      <c r="J37" s="757">
        <v>0</v>
      </c>
      <c r="K37" s="757">
        <v>5149.9939100000001</v>
      </c>
      <c r="L37" s="22"/>
    </row>
    <row r="38" spans="1:12" ht="11.25" customHeight="1">
      <c r="A38" s="756" t="s">
        <v>605</v>
      </c>
      <c r="B38" s="757" t="s">
        <v>601</v>
      </c>
      <c r="C38" s="757">
        <v>4841.3421099999996</v>
      </c>
      <c r="D38" s="757">
        <v>0</v>
      </c>
      <c r="E38" s="757">
        <v>0</v>
      </c>
      <c r="F38" s="757">
        <v>4841.3421099999996</v>
      </c>
      <c r="G38" s="757" t="s">
        <v>457</v>
      </c>
      <c r="H38" s="757">
        <v>5246.9429899999996</v>
      </c>
      <c r="I38" s="757">
        <v>0</v>
      </c>
      <c r="J38" s="757">
        <v>0</v>
      </c>
      <c r="K38" s="757">
        <v>5246.9429899999996</v>
      </c>
      <c r="L38" s="22"/>
    </row>
    <row r="39" spans="1:12" ht="11.25" customHeight="1">
      <c r="A39" s="756" t="s">
        <v>606</v>
      </c>
      <c r="B39" s="757" t="s">
        <v>592</v>
      </c>
      <c r="C39" s="757">
        <v>4857.1236200000003</v>
      </c>
      <c r="D39" s="757">
        <v>0</v>
      </c>
      <c r="E39" s="757">
        <v>0</v>
      </c>
      <c r="F39" s="757">
        <v>4857.1236200000003</v>
      </c>
      <c r="G39" s="757" t="s">
        <v>457</v>
      </c>
      <c r="H39" s="757">
        <v>5245.8813700000001</v>
      </c>
      <c r="I39" s="757">
        <v>0</v>
      </c>
      <c r="J39" s="757">
        <v>0</v>
      </c>
      <c r="K39" s="757">
        <v>5245.8813700000001</v>
      </c>
      <c r="L39" s="22"/>
    </row>
    <row r="40" spans="1:12" ht="11.25" customHeight="1">
      <c r="A40" s="756" t="s">
        <v>607</v>
      </c>
      <c r="B40" s="757" t="s">
        <v>601</v>
      </c>
      <c r="C40" s="757">
        <v>4440.5810099999999</v>
      </c>
      <c r="D40" s="757">
        <v>0</v>
      </c>
      <c r="E40" s="757">
        <v>0</v>
      </c>
      <c r="F40" s="757">
        <v>4440.5810099999999</v>
      </c>
      <c r="G40" s="757" t="s">
        <v>456</v>
      </c>
      <c r="H40" s="757">
        <v>5048.8938900000003</v>
      </c>
      <c r="I40" s="757">
        <v>0</v>
      </c>
      <c r="J40" s="757">
        <v>0</v>
      </c>
      <c r="K40" s="757">
        <v>5048.8938900000003</v>
      </c>
      <c r="L40" s="22"/>
    </row>
    <row r="41" spans="1:12" ht="11.25" customHeight="1">
      <c r="A41" s="756" t="s">
        <v>608</v>
      </c>
      <c r="B41" s="757" t="s">
        <v>601</v>
      </c>
      <c r="C41" s="757">
        <v>4944.8261400000001</v>
      </c>
      <c r="D41" s="757">
        <v>0</v>
      </c>
      <c r="E41" s="757">
        <v>0</v>
      </c>
      <c r="F41" s="757">
        <v>4944.8261400000001</v>
      </c>
      <c r="G41" s="757" t="s">
        <v>456</v>
      </c>
      <c r="H41" s="757">
        <v>5343.2247299999999</v>
      </c>
      <c r="I41" s="757">
        <v>0</v>
      </c>
      <c r="J41" s="757">
        <v>0</v>
      </c>
      <c r="K41" s="757">
        <v>5343.2247299999999</v>
      </c>
      <c r="L41" s="22"/>
    </row>
    <row r="42" spans="1:12" ht="11.25" customHeight="1">
      <c r="A42" s="756" t="s">
        <v>609</v>
      </c>
      <c r="B42" s="757" t="s">
        <v>601</v>
      </c>
      <c r="C42" s="757">
        <v>4948.2173400000001</v>
      </c>
      <c r="D42" s="757">
        <v>0</v>
      </c>
      <c r="E42" s="757">
        <v>0</v>
      </c>
      <c r="F42" s="757">
        <v>4948.2173400000001</v>
      </c>
      <c r="G42" s="757" t="s">
        <v>459</v>
      </c>
      <c r="H42" s="757">
        <v>5240.2268800000002</v>
      </c>
      <c r="I42" s="757">
        <v>0</v>
      </c>
      <c r="J42" s="757">
        <v>0</v>
      </c>
      <c r="K42" s="757">
        <v>5240.2268800000002</v>
      </c>
      <c r="L42" s="22"/>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59"/>
  <sheetViews>
    <sheetView showGridLines="0" view="pageBreakPreview" zoomScale="130" zoomScaleNormal="100" zoomScaleSheetLayoutView="130" workbookViewId="0">
      <selection activeCell="R40" sqref="R40"/>
    </sheetView>
  </sheetViews>
  <sheetFormatPr baseColWidth="10" defaultColWidth="9.33203125" defaultRowHeight="9"/>
  <cols>
    <col min="1" max="1" width="16.1640625" style="826" customWidth="1"/>
    <col min="2" max="2" width="19.6640625" style="826" customWidth="1"/>
    <col min="3" max="3" width="12.83203125" style="826" bestFit="1" customWidth="1"/>
    <col min="4" max="4" width="47.1640625" style="826" customWidth="1"/>
    <col min="5" max="5" width="12.5" style="826" customWidth="1"/>
    <col min="6" max="6" width="10.5" style="826" customWidth="1"/>
    <col min="7" max="8" width="9.33203125" style="826" customWidth="1"/>
    <col min="9" max="16384" width="9.33203125" style="826"/>
  </cols>
  <sheetData>
    <row r="1" spans="1:9" ht="11.25" customHeight="1">
      <c r="A1" s="824" t="s">
        <v>365</v>
      </c>
      <c r="B1" s="825"/>
      <c r="C1" s="825"/>
      <c r="D1" s="825"/>
      <c r="E1" s="825"/>
      <c r="F1" s="825"/>
    </row>
    <row r="2" spans="1:9" ht="30" customHeight="1">
      <c r="A2" s="827" t="s">
        <v>250</v>
      </c>
      <c r="B2" s="828" t="s">
        <v>366</v>
      </c>
      <c r="C2" s="827" t="s">
        <v>355</v>
      </c>
      <c r="D2" s="829" t="s">
        <v>367</v>
      </c>
      <c r="E2" s="830" t="s">
        <v>368</v>
      </c>
      <c r="F2" s="830" t="s">
        <v>369</v>
      </c>
      <c r="G2" s="831"/>
      <c r="H2" s="832"/>
      <c r="I2" s="833"/>
    </row>
    <row r="3" spans="1:9" ht="64.5" customHeight="1">
      <c r="A3" s="836" t="s">
        <v>513</v>
      </c>
      <c r="B3" s="836" t="s">
        <v>514</v>
      </c>
      <c r="C3" s="834">
        <v>43892.6</v>
      </c>
      <c r="D3" s="835" t="s">
        <v>515</v>
      </c>
      <c r="E3" s="836">
        <v>0.7</v>
      </c>
      <c r="F3" s="836"/>
      <c r="H3" s="831"/>
      <c r="I3" s="833"/>
    </row>
    <row r="4" spans="1:9" ht="62.25" customHeight="1">
      <c r="A4" s="836" t="s">
        <v>516</v>
      </c>
      <c r="B4" s="836" t="s">
        <v>517</v>
      </c>
      <c r="C4" s="834">
        <v>43892.60833333333</v>
      </c>
      <c r="D4" s="835" t="s">
        <v>518</v>
      </c>
      <c r="E4" s="836">
        <v>6.5</v>
      </c>
      <c r="F4" s="836"/>
      <c r="G4" s="837"/>
      <c r="H4" s="837"/>
      <c r="I4" s="838"/>
    </row>
    <row r="5" spans="1:9" ht="71.25" customHeight="1">
      <c r="A5" s="836" t="s">
        <v>519</v>
      </c>
      <c r="B5" s="836" t="s">
        <v>520</v>
      </c>
      <c r="C5" s="834">
        <v>43892.616666666669</v>
      </c>
      <c r="D5" s="835" t="s">
        <v>521</v>
      </c>
      <c r="E5" s="836"/>
      <c r="F5" s="836">
        <v>49.42</v>
      </c>
      <c r="G5" s="837"/>
      <c r="H5" s="837"/>
      <c r="I5" s="839"/>
    </row>
    <row r="6" spans="1:9" ht="69.75" customHeight="1">
      <c r="A6" s="836" t="s">
        <v>522</v>
      </c>
      <c r="B6" s="836" t="s">
        <v>523</v>
      </c>
      <c r="C6" s="834">
        <v>43892.788194444445</v>
      </c>
      <c r="D6" s="835" t="s">
        <v>524</v>
      </c>
      <c r="E6" s="836">
        <v>3.64</v>
      </c>
      <c r="F6" s="836"/>
      <c r="G6" s="837"/>
      <c r="H6" s="837"/>
      <c r="I6" s="840"/>
    </row>
    <row r="7" spans="1:9" ht="55.5" customHeight="1">
      <c r="A7" s="836" t="s">
        <v>525</v>
      </c>
      <c r="B7" s="836" t="s">
        <v>526</v>
      </c>
      <c r="C7" s="834">
        <v>43893.854861111111</v>
      </c>
      <c r="D7" s="835" t="s">
        <v>527</v>
      </c>
      <c r="E7" s="836">
        <v>6.01</v>
      </c>
      <c r="F7" s="836"/>
      <c r="G7" s="837"/>
      <c r="H7" s="837"/>
      <c r="I7" s="841"/>
    </row>
    <row r="8" spans="1:9" ht="55.5" customHeight="1">
      <c r="A8" s="836" t="s">
        <v>505</v>
      </c>
      <c r="B8" s="836" t="s">
        <v>506</v>
      </c>
      <c r="C8" s="834">
        <v>43894.637499999997</v>
      </c>
      <c r="D8" s="835" t="s">
        <v>528</v>
      </c>
      <c r="E8" s="836">
        <v>3.35</v>
      </c>
      <c r="F8" s="836"/>
      <c r="G8" s="837"/>
      <c r="H8" s="837"/>
      <c r="I8" s="840"/>
    </row>
    <row r="9" spans="1:9" ht="47.25" customHeight="1">
      <c r="A9" s="843" t="s">
        <v>513</v>
      </c>
      <c r="B9" s="843" t="s">
        <v>529</v>
      </c>
      <c r="C9" s="842">
        <v>43894.711111111108</v>
      </c>
      <c r="D9" s="835" t="s">
        <v>530</v>
      </c>
      <c r="E9" s="843">
        <v>26.38</v>
      </c>
      <c r="F9" s="843"/>
      <c r="G9" s="837"/>
      <c r="H9" s="837"/>
      <c r="I9" s="840"/>
    </row>
    <row r="10" spans="1:9" ht="52.5" customHeight="1">
      <c r="A10" s="843" t="s">
        <v>462</v>
      </c>
      <c r="B10" s="843" t="s">
        <v>531</v>
      </c>
      <c r="C10" s="842">
        <v>43895.640277777777</v>
      </c>
      <c r="D10" s="835" t="s">
        <v>532</v>
      </c>
      <c r="E10" s="843">
        <v>1.05</v>
      </c>
      <c r="F10" s="843"/>
    </row>
    <row r="11" spans="1:9" ht="78" customHeight="1">
      <c r="A11" s="836" t="s">
        <v>516</v>
      </c>
      <c r="B11" s="836" t="s">
        <v>533</v>
      </c>
      <c r="C11" s="834">
        <v>43896.51666666667</v>
      </c>
      <c r="D11" s="835" t="s">
        <v>534</v>
      </c>
      <c r="E11" s="836">
        <v>10.24</v>
      </c>
      <c r="F11" s="836">
        <v>1.7</v>
      </c>
    </row>
    <row r="12" spans="1:9" ht="66" customHeight="1">
      <c r="A12" s="836" t="s">
        <v>535</v>
      </c>
      <c r="B12" s="836" t="s">
        <v>536</v>
      </c>
      <c r="C12" s="834">
        <v>43898.61041666667</v>
      </c>
      <c r="D12" s="835" t="s">
        <v>537</v>
      </c>
      <c r="E12" s="836">
        <v>3</v>
      </c>
      <c r="F12" s="836"/>
    </row>
    <row r="13" spans="1:9" ht="61.5" customHeight="1">
      <c r="A13" s="846" t="s">
        <v>516</v>
      </c>
      <c r="B13" s="846" t="s">
        <v>538</v>
      </c>
      <c r="C13" s="844">
        <v>43902.134722222225</v>
      </c>
      <c r="D13" s="845" t="s">
        <v>539</v>
      </c>
      <c r="E13" s="846">
        <v>10.8</v>
      </c>
      <c r="F13" s="846"/>
    </row>
    <row r="14" spans="1:9" ht="100.5" customHeight="1">
      <c r="A14" s="849" t="s">
        <v>540</v>
      </c>
      <c r="B14" s="849" t="s">
        <v>541</v>
      </c>
      <c r="C14" s="847">
        <v>43902.588194444441</v>
      </c>
      <c r="D14" s="848" t="s">
        <v>542</v>
      </c>
      <c r="E14" s="849">
        <v>17.170000000000002</v>
      </c>
      <c r="F14" s="849"/>
    </row>
    <row r="15" spans="1:9" ht="72" customHeight="1">
      <c r="A15" s="849" t="s">
        <v>540</v>
      </c>
      <c r="B15" s="849" t="s">
        <v>543</v>
      </c>
      <c r="C15" s="847">
        <v>43902.591666666667</v>
      </c>
      <c r="D15" s="848" t="s">
        <v>544</v>
      </c>
      <c r="E15" s="849">
        <v>17.170000000000002</v>
      </c>
      <c r="F15" s="849"/>
    </row>
    <row r="16" spans="1:9">
      <c r="C16" s="850"/>
      <c r="E16" s="851"/>
      <c r="F16" s="851"/>
    </row>
    <row r="17" spans="3:6">
      <c r="C17" s="850"/>
      <c r="E17" s="851"/>
      <c r="F17" s="851"/>
    </row>
    <row r="18" spans="3:6">
      <c r="C18" s="850"/>
      <c r="E18" s="851"/>
      <c r="F18" s="851"/>
    </row>
    <row r="19" spans="3:6">
      <c r="C19" s="850"/>
      <c r="E19" s="851"/>
      <c r="F19" s="851"/>
    </row>
    <row r="20" spans="3:6">
      <c r="C20" s="850"/>
      <c r="E20" s="851"/>
      <c r="F20" s="851"/>
    </row>
    <row r="21" spans="3:6">
      <c r="C21" s="850"/>
      <c r="E21" s="851"/>
      <c r="F21" s="851"/>
    </row>
    <row r="22" spans="3:6">
      <c r="C22" s="850"/>
      <c r="E22" s="851"/>
      <c r="F22" s="851"/>
    </row>
    <row r="23" spans="3:6">
      <c r="C23" s="850"/>
      <c r="E23" s="851"/>
      <c r="F23" s="851"/>
    </row>
    <row r="24" spans="3:6">
      <c r="C24" s="850"/>
      <c r="E24" s="851"/>
      <c r="F24" s="851"/>
    </row>
    <row r="25" spans="3:6">
      <c r="C25" s="850"/>
      <c r="E25" s="851"/>
      <c r="F25" s="851"/>
    </row>
    <row r="26" spans="3:6">
      <c r="C26" s="850"/>
      <c r="E26" s="851"/>
      <c r="F26" s="851"/>
    </row>
    <row r="27" spans="3:6">
      <c r="C27" s="850"/>
      <c r="E27" s="851"/>
      <c r="F27" s="851"/>
    </row>
    <row r="28" spans="3:6">
      <c r="C28" s="850"/>
      <c r="E28" s="851"/>
      <c r="F28" s="851"/>
    </row>
    <row r="29" spans="3:6">
      <c r="C29" s="850"/>
      <c r="E29" s="851"/>
      <c r="F29" s="851"/>
    </row>
    <row r="30" spans="3:6">
      <c r="C30" s="850"/>
      <c r="E30" s="851"/>
      <c r="F30" s="851"/>
    </row>
    <row r="31" spans="3:6">
      <c r="C31" s="850"/>
      <c r="E31" s="851"/>
      <c r="F31" s="851"/>
    </row>
    <row r="32" spans="3:6">
      <c r="C32" s="850"/>
      <c r="E32" s="851"/>
      <c r="F32" s="851"/>
    </row>
    <row r="33" spans="3:6">
      <c r="C33" s="850"/>
      <c r="E33" s="851"/>
      <c r="F33" s="851"/>
    </row>
    <row r="34" spans="3:6">
      <c r="C34" s="850"/>
      <c r="E34" s="851"/>
      <c r="F34" s="851"/>
    </row>
    <row r="35" spans="3:6">
      <c r="C35" s="850"/>
      <c r="E35" s="851"/>
      <c r="F35" s="851"/>
    </row>
    <row r="36" spans="3:6">
      <c r="C36" s="850"/>
      <c r="E36" s="851"/>
      <c r="F36" s="851"/>
    </row>
    <row r="37" spans="3:6">
      <c r="C37" s="850"/>
      <c r="E37" s="851"/>
      <c r="F37" s="851"/>
    </row>
    <row r="38" spans="3:6">
      <c r="C38" s="850"/>
      <c r="E38" s="851"/>
      <c r="F38" s="851"/>
    </row>
    <row r="39" spans="3:6">
      <c r="C39" s="850"/>
      <c r="E39" s="851"/>
      <c r="F39" s="851"/>
    </row>
    <row r="40" spans="3:6">
      <c r="C40" s="850"/>
      <c r="E40" s="851"/>
      <c r="F40" s="851"/>
    </row>
    <row r="41" spans="3:6">
      <c r="C41" s="850"/>
      <c r="E41" s="851"/>
      <c r="F41" s="851"/>
    </row>
    <row r="42" spans="3:6">
      <c r="C42" s="850"/>
      <c r="E42" s="851"/>
      <c r="F42" s="851"/>
    </row>
    <row r="43" spans="3:6">
      <c r="C43" s="850"/>
      <c r="E43" s="851"/>
      <c r="F43" s="851"/>
    </row>
    <row r="44" spans="3:6">
      <c r="C44" s="850"/>
      <c r="E44" s="851"/>
      <c r="F44" s="851"/>
    </row>
    <row r="45" spans="3:6">
      <c r="C45" s="850"/>
      <c r="E45" s="851"/>
      <c r="F45" s="851"/>
    </row>
    <row r="46" spans="3:6">
      <c r="C46" s="850"/>
      <c r="E46" s="851"/>
      <c r="F46" s="851"/>
    </row>
    <row r="47" spans="3:6">
      <c r="C47" s="850"/>
      <c r="E47" s="851"/>
      <c r="F47" s="851"/>
    </row>
    <row r="48" spans="3:6">
      <c r="C48" s="850"/>
      <c r="E48" s="851"/>
      <c r="F48" s="851"/>
    </row>
    <row r="49" spans="3:6">
      <c r="C49" s="850"/>
      <c r="E49" s="851"/>
      <c r="F49" s="851"/>
    </row>
    <row r="50" spans="3:6">
      <c r="C50" s="850"/>
      <c r="E50" s="851"/>
      <c r="F50" s="851"/>
    </row>
    <row r="51" spans="3:6">
      <c r="C51" s="850"/>
      <c r="E51" s="851"/>
      <c r="F51" s="851"/>
    </row>
    <row r="52" spans="3:6">
      <c r="C52" s="850"/>
      <c r="E52" s="851"/>
      <c r="F52" s="851"/>
    </row>
    <row r="53" spans="3:6">
      <c r="C53" s="850"/>
      <c r="E53" s="851"/>
      <c r="F53" s="851"/>
    </row>
    <row r="54" spans="3:6">
      <c r="C54" s="850"/>
      <c r="E54" s="851"/>
      <c r="F54" s="851"/>
    </row>
    <row r="55" spans="3:6">
      <c r="C55" s="850"/>
      <c r="E55" s="851"/>
      <c r="F55" s="851"/>
    </row>
    <row r="56" spans="3:6">
      <c r="C56" s="850"/>
      <c r="E56" s="851"/>
      <c r="F56" s="851"/>
    </row>
    <row r="57" spans="3:6">
      <c r="C57" s="850"/>
      <c r="E57" s="851"/>
      <c r="F57" s="851"/>
    </row>
    <row r="58" spans="3:6">
      <c r="C58" s="850"/>
      <c r="E58" s="851"/>
      <c r="F58" s="851"/>
    </row>
    <row r="59" spans="3:6">
      <c r="C59" s="850"/>
      <c r="E59" s="851"/>
      <c r="F59" s="851"/>
    </row>
    <row r="60" spans="3:6">
      <c r="C60" s="850"/>
      <c r="E60" s="851"/>
      <c r="F60" s="851"/>
    </row>
    <row r="61" spans="3:6">
      <c r="C61" s="850"/>
      <c r="E61" s="851"/>
      <c r="F61" s="851"/>
    </row>
    <row r="62" spans="3:6">
      <c r="C62" s="850"/>
      <c r="E62" s="851"/>
      <c r="F62" s="851"/>
    </row>
    <row r="63" spans="3:6">
      <c r="C63" s="850"/>
      <c r="E63" s="851"/>
      <c r="F63" s="851"/>
    </row>
    <row r="64" spans="3:6">
      <c r="C64" s="850"/>
      <c r="E64" s="851"/>
      <c r="F64" s="851"/>
    </row>
    <row r="65" spans="3:6">
      <c r="C65" s="850"/>
      <c r="E65" s="851"/>
      <c r="F65" s="851"/>
    </row>
    <row r="66" spans="3:6">
      <c r="C66" s="850"/>
      <c r="E66" s="851"/>
      <c r="F66" s="851"/>
    </row>
    <row r="67" spans="3:6">
      <c r="E67" s="851"/>
      <c r="F67" s="851"/>
    </row>
    <row r="68" spans="3:6">
      <c r="E68" s="851"/>
      <c r="F68" s="851"/>
    </row>
    <row r="69" spans="3:6">
      <c r="E69" s="851"/>
      <c r="F69" s="851"/>
    </row>
    <row r="70" spans="3:6">
      <c r="E70" s="851"/>
      <c r="F70" s="851"/>
    </row>
    <row r="71" spans="3:6">
      <c r="E71" s="851"/>
      <c r="F71" s="851"/>
    </row>
    <row r="72" spans="3:6">
      <c r="E72" s="851"/>
      <c r="F72" s="851"/>
    </row>
    <row r="73" spans="3:6">
      <c r="E73" s="851"/>
      <c r="F73" s="851"/>
    </row>
    <row r="74" spans="3:6">
      <c r="E74" s="851"/>
      <c r="F74" s="851"/>
    </row>
    <row r="75" spans="3:6">
      <c r="E75" s="851"/>
      <c r="F75" s="851"/>
    </row>
    <row r="76" spans="3:6">
      <c r="E76" s="851"/>
      <c r="F76" s="851"/>
    </row>
    <row r="77" spans="3:6">
      <c r="E77" s="851"/>
      <c r="F77" s="851"/>
    </row>
    <row r="78" spans="3:6">
      <c r="E78" s="851"/>
      <c r="F78" s="851"/>
    </row>
    <row r="79" spans="3:6">
      <c r="E79" s="851"/>
      <c r="F79" s="851"/>
    </row>
    <row r="80" spans="3:6">
      <c r="E80" s="851"/>
      <c r="F80" s="851"/>
    </row>
    <row r="81" spans="5:6">
      <c r="E81" s="851"/>
      <c r="F81" s="851"/>
    </row>
    <row r="82" spans="5:6">
      <c r="E82" s="851"/>
      <c r="F82" s="851"/>
    </row>
    <row r="83" spans="5:6">
      <c r="E83" s="851"/>
      <c r="F83" s="851"/>
    </row>
    <row r="84" spans="5:6">
      <c r="E84" s="851"/>
      <c r="F84" s="851"/>
    </row>
    <row r="85" spans="5:6">
      <c r="E85" s="851"/>
      <c r="F85" s="851"/>
    </row>
    <row r="86" spans="5:6">
      <c r="E86" s="851"/>
      <c r="F86" s="851"/>
    </row>
    <row r="87" spans="5:6">
      <c r="E87" s="851"/>
      <c r="F87" s="851"/>
    </row>
    <row r="88" spans="5:6">
      <c r="E88" s="851"/>
      <c r="F88" s="851"/>
    </row>
    <row r="89" spans="5:6">
      <c r="E89" s="851"/>
      <c r="F89" s="851"/>
    </row>
    <row r="90" spans="5:6">
      <c r="E90" s="851"/>
      <c r="F90" s="851"/>
    </row>
    <row r="91" spans="5:6">
      <c r="E91" s="851"/>
      <c r="F91" s="851"/>
    </row>
    <row r="92" spans="5:6">
      <c r="E92" s="851"/>
      <c r="F92" s="851"/>
    </row>
    <row r="93" spans="5:6">
      <c r="E93" s="851"/>
      <c r="F93" s="851"/>
    </row>
    <row r="94" spans="5:6">
      <c r="E94" s="851"/>
      <c r="F94" s="851"/>
    </row>
    <row r="95" spans="5:6">
      <c r="E95" s="851"/>
      <c r="F95" s="851"/>
    </row>
    <row r="96" spans="5:6">
      <c r="E96" s="851"/>
      <c r="F96" s="851"/>
    </row>
    <row r="97" spans="5:6">
      <c r="E97" s="851"/>
      <c r="F97" s="851"/>
    </row>
    <row r="98" spans="5:6">
      <c r="E98" s="851"/>
      <c r="F98" s="851"/>
    </row>
    <row r="99" spans="5:6">
      <c r="E99" s="851"/>
      <c r="F99" s="851"/>
    </row>
    <row r="100" spans="5:6">
      <c r="E100" s="851"/>
      <c r="F100" s="851"/>
    </row>
    <row r="101" spans="5:6">
      <c r="E101" s="851"/>
      <c r="F101" s="851"/>
    </row>
    <row r="102" spans="5:6">
      <c r="E102" s="851"/>
      <c r="F102" s="851"/>
    </row>
    <row r="103" spans="5:6">
      <c r="E103" s="851"/>
      <c r="F103" s="851"/>
    </row>
    <row r="104" spans="5:6">
      <c r="E104" s="851"/>
      <c r="F104" s="851"/>
    </row>
    <row r="105" spans="5:6">
      <c r="E105" s="851"/>
      <c r="F105" s="851"/>
    </row>
    <row r="106" spans="5:6">
      <c r="E106" s="851"/>
      <c r="F106" s="851"/>
    </row>
    <row r="107" spans="5:6">
      <c r="E107" s="851"/>
      <c r="F107" s="851"/>
    </row>
    <row r="108" spans="5:6">
      <c r="E108" s="851"/>
      <c r="F108" s="851"/>
    </row>
    <row r="109" spans="5:6">
      <c r="E109" s="851"/>
      <c r="F109" s="851"/>
    </row>
    <row r="110" spans="5:6">
      <c r="E110" s="851"/>
      <c r="F110" s="851"/>
    </row>
    <row r="111" spans="5:6">
      <c r="E111" s="851"/>
      <c r="F111" s="851"/>
    </row>
    <row r="112" spans="5:6">
      <c r="E112" s="851"/>
      <c r="F112" s="851"/>
    </row>
    <row r="113" spans="5:6">
      <c r="E113" s="851"/>
      <c r="F113" s="851"/>
    </row>
    <row r="114" spans="5:6">
      <c r="E114" s="851"/>
      <c r="F114" s="851"/>
    </row>
    <row r="115" spans="5:6">
      <c r="E115" s="851"/>
      <c r="F115" s="851"/>
    </row>
    <row r="116" spans="5:6">
      <c r="E116" s="851"/>
      <c r="F116" s="851"/>
    </row>
    <row r="117" spans="5:6">
      <c r="E117" s="851"/>
      <c r="F117" s="851"/>
    </row>
    <row r="118" spans="5:6">
      <c r="E118" s="851"/>
      <c r="F118" s="851"/>
    </row>
    <row r="119" spans="5:6">
      <c r="E119" s="851"/>
      <c r="F119" s="851"/>
    </row>
    <row r="120" spans="5:6">
      <c r="E120" s="851"/>
      <c r="F120" s="851"/>
    </row>
    <row r="121" spans="5:6">
      <c r="E121" s="851"/>
      <c r="F121" s="851"/>
    </row>
    <row r="122" spans="5:6">
      <c r="E122" s="851"/>
      <c r="F122" s="851"/>
    </row>
    <row r="123" spans="5:6">
      <c r="E123" s="851"/>
      <c r="F123" s="851"/>
    </row>
    <row r="124" spans="5:6">
      <c r="E124" s="851"/>
      <c r="F124" s="851"/>
    </row>
    <row r="125" spans="5:6">
      <c r="E125" s="851"/>
      <c r="F125" s="851"/>
    </row>
    <row r="126" spans="5:6">
      <c r="E126" s="851"/>
      <c r="F126" s="851"/>
    </row>
    <row r="127" spans="5:6">
      <c r="E127" s="851"/>
      <c r="F127" s="851"/>
    </row>
    <row r="128" spans="5:6">
      <c r="E128" s="851"/>
      <c r="F128" s="851"/>
    </row>
    <row r="129" spans="5:6">
      <c r="E129" s="851"/>
      <c r="F129" s="851"/>
    </row>
    <row r="130" spans="5:6">
      <c r="E130" s="851"/>
      <c r="F130" s="851"/>
    </row>
    <row r="131" spans="5:6">
      <c r="E131" s="851"/>
      <c r="F131" s="851"/>
    </row>
    <row r="132" spans="5:6">
      <c r="E132" s="851"/>
      <c r="F132" s="851"/>
    </row>
    <row r="133" spans="5:6">
      <c r="E133" s="851"/>
      <c r="F133" s="851"/>
    </row>
    <row r="134" spans="5:6">
      <c r="E134" s="851"/>
      <c r="F134" s="851"/>
    </row>
    <row r="135" spans="5:6">
      <c r="E135" s="851"/>
      <c r="F135" s="851"/>
    </row>
    <row r="136" spans="5:6">
      <c r="E136" s="851"/>
      <c r="F136" s="851"/>
    </row>
    <row r="137" spans="5:6">
      <c r="E137" s="851"/>
      <c r="F137" s="851"/>
    </row>
    <row r="138" spans="5:6">
      <c r="E138" s="851"/>
      <c r="F138" s="851"/>
    </row>
    <row r="139" spans="5:6">
      <c r="E139" s="851"/>
      <c r="F139" s="851"/>
    </row>
    <row r="140" spans="5:6">
      <c r="E140" s="851"/>
      <c r="F140" s="851"/>
    </row>
    <row r="141" spans="5:6">
      <c r="E141" s="851"/>
      <c r="F141" s="851"/>
    </row>
    <row r="142" spans="5:6">
      <c r="E142" s="851"/>
      <c r="F142" s="851"/>
    </row>
    <row r="143" spans="5:6">
      <c r="E143" s="851"/>
      <c r="F143" s="851"/>
    </row>
    <row r="144" spans="5:6">
      <c r="E144" s="851"/>
      <c r="F144" s="851"/>
    </row>
    <row r="145" spans="5:6">
      <c r="E145" s="851"/>
      <c r="F145" s="851"/>
    </row>
    <row r="146" spans="5:6">
      <c r="E146" s="851"/>
      <c r="F146" s="851"/>
    </row>
    <row r="147" spans="5:6">
      <c r="E147" s="851"/>
      <c r="F147" s="851"/>
    </row>
    <row r="148" spans="5:6">
      <c r="E148" s="851"/>
      <c r="F148" s="851"/>
    </row>
    <row r="149" spans="5:6">
      <c r="E149" s="851"/>
      <c r="F149" s="851"/>
    </row>
    <row r="150" spans="5:6">
      <c r="E150" s="851"/>
      <c r="F150" s="851"/>
    </row>
    <row r="151" spans="5:6">
      <c r="E151" s="851"/>
      <c r="F151" s="851"/>
    </row>
    <row r="152" spans="5:6">
      <c r="E152" s="851"/>
      <c r="F152" s="851"/>
    </row>
    <row r="153" spans="5:6">
      <c r="E153" s="851"/>
      <c r="F153" s="851"/>
    </row>
    <row r="154" spans="5:6">
      <c r="E154" s="851"/>
      <c r="F154" s="851"/>
    </row>
    <row r="155" spans="5:6">
      <c r="E155" s="851"/>
      <c r="F155" s="851"/>
    </row>
    <row r="156" spans="5:6">
      <c r="E156" s="851"/>
      <c r="F156" s="851"/>
    </row>
    <row r="157" spans="5:6">
      <c r="E157" s="851"/>
      <c r="F157" s="851"/>
    </row>
    <row r="158" spans="5:6">
      <c r="E158" s="851"/>
      <c r="F158" s="851"/>
    </row>
    <row r="159" spans="5:6">
      <c r="E159" s="851"/>
      <c r="F159" s="85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Mensual-Marzo 2020
INFSGI-MES-03-2020
14/04/2020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57"/>
  <sheetViews>
    <sheetView showGridLines="0" view="pageBreakPreview" zoomScale="130" zoomScaleNormal="100" zoomScaleSheetLayoutView="130" workbookViewId="0">
      <selection activeCell="R40" sqref="R40"/>
    </sheetView>
  </sheetViews>
  <sheetFormatPr baseColWidth="10" defaultColWidth="9.33203125" defaultRowHeight="9"/>
  <cols>
    <col min="1" max="1" width="16.1640625" style="826" customWidth="1"/>
    <col min="2" max="2" width="19.6640625" style="826" customWidth="1"/>
    <col min="3" max="3" width="12.83203125" style="826" bestFit="1" customWidth="1"/>
    <col min="4" max="4" width="47.1640625" style="826" customWidth="1"/>
    <col min="5" max="5" width="12.5" style="826" customWidth="1"/>
    <col min="6" max="6" width="10.5" style="826" customWidth="1"/>
    <col min="7" max="8" width="9.33203125" style="826" customWidth="1"/>
    <col min="9" max="16384" width="9.33203125" style="826"/>
  </cols>
  <sheetData>
    <row r="1" spans="1:9" ht="11.25" customHeight="1">
      <c r="A1" s="824" t="s">
        <v>365</v>
      </c>
      <c r="B1" s="825"/>
      <c r="C1" s="825"/>
      <c r="D1" s="825"/>
      <c r="E1" s="825"/>
      <c r="F1" s="825"/>
    </row>
    <row r="2" spans="1:9" ht="30" customHeight="1">
      <c r="A2" s="827" t="s">
        <v>250</v>
      </c>
      <c r="B2" s="828" t="s">
        <v>366</v>
      </c>
      <c r="C2" s="827" t="s">
        <v>355</v>
      </c>
      <c r="D2" s="829" t="s">
        <v>367</v>
      </c>
      <c r="E2" s="830" t="s">
        <v>368</v>
      </c>
      <c r="F2" s="830" t="s">
        <v>369</v>
      </c>
      <c r="G2" s="831"/>
      <c r="H2" s="832"/>
      <c r="I2" s="833"/>
    </row>
    <row r="3" spans="1:9" ht="71.25" customHeight="1">
      <c r="A3" s="836" t="s">
        <v>545</v>
      </c>
      <c r="B3" s="836" t="s">
        <v>546</v>
      </c>
      <c r="C3" s="834">
        <v>43903.290277777778</v>
      </c>
      <c r="D3" s="835" t="s">
        <v>547</v>
      </c>
      <c r="E3" s="836">
        <v>10.01</v>
      </c>
      <c r="F3" s="836"/>
      <c r="H3" s="831"/>
      <c r="I3" s="833"/>
    </row>
    <row r="4" spans="1:9" ht="75" customHeight="1">
      <c r="A4" s="836" t="s">
        <v>548</v>
      </c>
      <c r="B4" s="836" t="s">
        <v>549</v>
      </c>
      <c r="C4" s="834">
        <v>43903.588194444441</v>
      </c>
      <c r="D4" s="835" t="s">
        <v>550</v>
      </c>
      <c r="E4" s="836">
        <v>8.3000000000000007</v>
      </c>
      <c r="F4" s="836"/>
      <c r="G4" s="837"/>
      <c r="H4" s="837"/>
      <c r="I4" s="838"/>
    </row>
    <row r="5" spans="1:9" ht="78" customHeight="1">
      <c r="A5" s="836" t="s">
        <v>551</v>
      </c>
      <c r="B5" s="836" t="s">
        <v>552</v>
      </c>
      <c r="C5" s="834">
        <v>43904.688888888886</v>
      </c>
      <c r="D5" s="835" t="s">
        <v>553</v>
      </c>
      <c r="E5" s="836">
        <v>34.700000000000003</v>
      </c>
      <c r="F5" s="836"/>
      <c r="G5" s="837"/>
      <c r="H5" s="837"/>
      <c r="I5" s="839"/>
    </row>
    <row r="6" spans="1:9" ht="49.5" customHeight="1">
      <c r="A6" s="836" t="s">
        <v>554</v>
      </c>
      <c r="B6" s="836" t="s">
        <v>555</v>
      </c>
      <c r="C6" s="834">
        <v>43906.665972222225</v>
      </c>
      <c r="D6" s="835" t="s">
        <v>556</v>
      </c>
      <c r="E6" s="836">
        <v>4.5</v>
      </c>
      <c r="F6" s="836"/>
      <c r="G6" s="837"/>
      <c r="H6" s="837"/>
      <c r="I6" s="840"/>
    </row>
    <row r="7" spans="1:9" ht="57" customHeight="1">
      <c r="A7" s="836" t="s">
        <v>516</v>
      </c>
      <c r="B7" s="836" t="s">
        <v>557</v>
      </c>
      <c r="C7" s="834">
        <v>43906.730555555558</v>
      </c>
      <c r="D7" s="835" t="s">
        <v>558</v>
      </c>
      <c r="E7" s="836">
        <v>17</v>
      </c>
      <c r="F7" s="836"/>
      <c r="G7" s="837"/>
      <c r="H7" s="837"/>
      <c r="I7" s="841"/>
    </row>
    <row r="8" spans="1:9" ht="73.5" customHeight="1">
      <c r="A8" s="836" t="s">
        <v>516</v>
      </c>
      <c r="B8" s="836" t="s">
        <v>559</v>
      </c>
      <c r="C8" s="834">
        <v>43910.256249999999</v>
      </c>
      <c r="D8" s="835" t="s">
        <v>560</v>
      </c>
      <c r="E8" s="836">
        <v>13.15</v>
      </c>
      <c r="F8" s="836"/>
      <c r="G8" s="837"/>
      <c r="H8" s="837"/>
      <c r="I8" s="840"/>
    </row>
    <row r="9" spans="1:9" ht="90" customHeight="1">
      <c r="A9" s="843" t="s">
        <v>516</v>
      </c>
      <c r="B9" s="843" t="s">
        <v>561</v>
      </c>
      <c r="C9" s="842">
        <v>43910.996527777781</v>
      </c>
      <c r="D9" s="835" t="s">
        <v>562</v>
      </c>
      <c r="E9" s="843">
        <v>9</v>
      </c>
      <c r="F9" s="843"/>
      <c r="G9" s="837"/>
      <c r="H9" s="837"/>
      <c r="I9" s="840"/>
    </row>
    <row r="10" spans="1:9" ht="66.75" customHeight="1">
      <c r="A10" s="843" t="s">
        <v>563</v>
      </c>
      <c r="B10" s="843" t="s">
        <v>564</v>
      </c>
      <c r="C10" s="842">
        <v>43911.118750000001</v>
      </c>
      <c r="D10" s="835" t="s">
        <v>565</v>
      </c>
      <c r="E10" s="843">
        <v>1.02</v>
      </c>
      <c r="F10" s="843"/>
    </row>
    <row r="11" spans="1:9" ht="54.75" customHeight="1">
      <c r="A11" s="836" t="s">
        <v>566</v>
      </c>
      <c r="B11" s="836" t="s">
        <v>567</v>
      </c>
      <c r="C11" s="834">
        <v>43911.770138888889</v>
      </c>
      <c r="D11" s="835" t="s">
        <v>568</v>
      </c>
      <c r="E11" s="836">
        <v>1.57</v>
      </c>
      <c r="F11" s="836"/>
    </row>
    <row r="12" spans="1:9" ht="75" customHeight="1">
      <c r="A12" s="836" t="s">
        <v>516</v>
      </c>
      <c r="B12" s="836" t="s">
        <v>569</v>
      </c>
      <c r="C12" s="834">
        <v>43918.565972222219</v>
      </c>
      <c r="D12" s="835" t="s">
        <v>570</v>
      </c>
      <c r="E12" s="836">
        <v>41.88</v>
      </c>
      <c r="F12" s="836"/>
    </row>
    <row r="13" spans="1:9" ht="61.5" customHeight="1">
      <c r="A13" s="836" t="s">
        <v>505</v>
      </c>
      <c r="B13" s="836" t="s">
        <v>506</v>
      </c>
      <c r="C13" s="834">
        <v>43918.739583333336</v>
      </c>
      <c r="D13" s="835" t="s">
        <v>571</v>
      </c>
      <c r="E13" s="836">
        <v>3</v>
      </c>
      <c r="F13" s="836"/>
    </row>
    <row r="14" spans="1:9">
      <c r="C14" s="850"/>
      <c r="E14" s="851"/>
      <c r="F14" s="851"/>
    </row>
    <row r="15" spans="1:9">
      <c r="C15" s="850"/>
      <c r="E15" s="851"/>
      <c r="F15" s="851"/>
    </row>
    <row r="16" spans="1:9">
      <c r="C16" s="850"/>
      <c r="E16" s="851"/>
      <c r="F16" s="851"/>
    </row>
    <row r="17" spans="3:6">
      <c r="C17" s="850"/>
      <c r="E17" s="851"/>
      <c r="F17" s="851"/>
    </row>
    <row r="18" spans="3:6">
      <c r="C18" s="850"/>
      <c r="E18" s="851"/>
      <c r="F18" s="851"/>
    </row>
    <row r="19" spans="3:6">
      <c r="C19" s="850"/>
      <c r="E19" s="851"/>
      <c r="F19" s="851"/>
    </row>
    <row r="20" spans="3:6">
      <c r="C20" s="850"/>
      <c r="E20" s="851"/>
      <c r="F20" s="851"/>
    </row>
    <row r="21" spans="3:6">
      <c r="C21" s="850"/>
      <c r="E21" s="851"/>
      <c r="F21" s="851"/>
    </row>
    <row r="22" spans="3:6">
      <c r="C22" s="850"/>
      <c r="E22" s="851"/>
      <c r="F22" s="851"/>
    </row>
    <row r="23" spans="3:6">
      <c r="C23" s="850"/>
      <c r="E23" s="851"/>
      <c r="F23" s="851"/>
    </row>
    <row r="24" spans="3:6">
      <c r="C24" s="850"/>
      <c r="E24" s="851"/>
      <c r="F24" s="851"/>
    </row>
    <row r="25" spans="3:6">
      <c r="C25" s="850"/>
      <c r="E25" s="851"/>
      <c r="F25" s="851"/>
    </row>
    <row r="26" spans="3:6">
      <c r="C26" s="850"/>
      <c r="E26" s="851"/>
      <c r="F26" s="851"/>
    </row>
    <row r="27" spans="3:6">
      <c r="C27" s="850"/>
      <c r="E27" s="851"/>
      <c r="F27" s="851"/>
    </row>
    <row r="28" spans="3:6">
      <c r="C28" s="850"/>
      <c r="E28" s="851"/>
      <c r="F28" s="851"/>
    </row>
    <row r="29" spans="3:6">
      <c r="C29" s="850"/>
      <c r="E29" s="851"/>
      <c r="F29" s="851"/>
    </row>
    <row r="30" spans="3:6">
      <c r="C30" s="850"/>
      <c r="E30" s="851"/>
      <c r="F30" s="851"/>
    </row>
    <row r="31" spans="3:6">
      <c r="C31" s="850"/>
      <c r="E31" s="851"/>
      <c r="F31" s="851"/>
    </row>
    <row r="32" spans="3:6">
      <c r="C32" s="850"/>
      <c r="E32" s="851"/>
      <c r="F32" s="851"/>
    </row>
    <row r="33" spans="3:6">
      <c r="C33" s="850"/>
      <c r="E33" s="851"/>
      <c r="F33" s="851"/>
    </row>
    <row r="34" spans="3:6">
      <c r="C34" s="850"/>
      <c r="E34" s="851"/>
      <c r="F34" s="851"/>
    </row>
    <row r="35" spans="3:6">
      <c r="C35" s="850"/>
      <c r="E35" s="851"/>
      <c r="F35" s="851"/>
    </row>
    <row r="36" spans="3:6">
      <c r="C36" s="850"/>
      <c r="E36" s="851"/>
      <c r="F36" s="851"/>
    </row>
    <row r="37" spans="3:6">
      <c r="C37" s="850"/>
      <c r="E37" s="851"/>
      <c r="F37" s="851"/>
    </row>
    <row r="38" spans="3:6">
      <c r="C38" s="850"/>
      <c r="E38" s="851"/>
      <c r="F38" s="851"/>
    </row>
    <row r="39" spans="3:6">
      <c r="C39" s="850"/>
      <c r="E39" s="851"/>
      <c r="F39" s="851"/>
    </row>
    <row r="40" spans="3:6">
      <c r="C40" s="850"/>
      <c r="E40" s="851"/>
      <c r="F40" s="851"/>
    </row>
    <row r="41" spans="3:6">
      <c r="C41" s="850"/>
      <c r="E41" s="851"/>
      <c r="F41" s="851"/>
    </row>
    <row r="42" spans="3:6">
      <c r="C42" s="850"/>
      <c r="E42" s="851"/>
      <c r="F42" s="851"/>
    </row>
    <row r="43" spans="3:6">
      <c r="C43" s="850"/>
      <c r="E43" s="851"/>
      <c r="F43" s="851"/>
    </row>
    <row r="44" spans="3:6">
      <c r="C44" s="850"/>
      <c r="E44" s="851"/>
      <c r="F44" s="851"/>
    </row>
    <row r="45" spans="3:6">
      <c r="C45" s="850"/>
      <c r="E45" s="851"/>
      <c r="F45" s="851"/>
    </row>
    <row r="46" spans="3:6">
      <c r="C46" s="850"/>
      <c r="E46" s="851"/>
      <c r="F46" s="851"/>
    </row>
    <row r="47" spans="3:6">
      <c r="C47" s="850"/>
      <c r="E47" s="851"/>
      <c r="F47" s="851"/>
    </row>
    <row r="48" spans="3:6">
      <c r="C48" s="850"/>
      <c r="E48" s="851"/>
      <c r="F48" s="851"/>
    </row>
    <row r="49" spans="3:6">
      <c r="C49" s="850"/>
      <c r="E49" s="851"/>
      <c r="F49" s="851"/>
    </row>
    <row r="50" spans="3:6">
      <c r="C50" s="850"/>
      <c r="E50" s="851"/>
      <c r="F50" s="851"/>
    </row>
    <row r="51" spans="3:6">
      <c r="C51" s="850"/>
      <c r="E51" s="851"/>
      <c r="F51" s="851"/>
    </row>
    <row r="52" spans="3:6">
      <c r="C52" s="850"/>
      <c r="E52" s="851"/>
      <c r="F52" s="851"/>
    </row>
    <row r="53" spans="3:6">
      <c r="C53" s="850"/>
      <c r="E53" s="851"/>
      <c r="F53" s="851"/>
    </row>
    <row r="54" spans="3:6">
      <c r="C54" s="850"/>
      <c r="E54" s="851"/>
      <c r="F54" s="851"/>
    </row>
    <row r="55" spans="3:6">
      <c r="C55" s="850"/>
      <c r="E55" s="851"/>
      <c r="F55" s="851"/>
    </row>
    <row r="56" spans="3:6">
      <c r="C56" s="850"/>
      <c r="E56" s="851"/>
      <c r="F56" s="851"/>
    </row>
    <row r="57" spans="3:6">
      <c r="C57" s="850"/>
      <c r="E57" s="851"/>
      <c r="F57" s="851"/>
    </row>
    <row r="58" spans="3:6">
      <c r="C58" s="850"/>
      <c r="E58" s="851"/>
      <c r="F58" s="851"/>
    </row>
    <row r="59" spans="3:6">
      <c r="C59" s="850"/>
      <c r="E59" s="851"/>
      <c r="F59" s="851"/>
    </row>
    <row r="60" spans="3:6">
      <c r="C60" s="850"/>
      <c r="E60" s="851"/>
      <c r="F60" s="851"/>
    </row>
    <row r="61" spans="3:6">
      <c r="C61" s="850"/>
      <c r="E61" s="851"/>
      <c r="F61" s="851"/>
    </row>
    <row r="62" spans="3:6">
      <c r="C62" s="850"/>
      <c r="E62" s="851"/>
      <c r="F62" s="851"/>
    </row>
    <row r="63" spans="3:6">
      <c r="C63" s="850"/>
      <c r="E63" s="851"/>
      <c r="F63" s="851"/>
    </row>
    <row r="64" spans="3:6">
      <c r="C64" s="850"/>
      <c r="E64" s="851"/>
      <c r="F64" s="851"/>
    </row>
    <row r="65" spans="5:6">
      <c r="E65" s="851"/>
      <c r="F65" s="851"/>
    </row>
    <row r="66" spans="5:6">
      <c r="E66" s="851"/>
      <c r="F66" s="851"/>
    </row>
    <row r="67" spans="5:6">
      <c r="E67" s="851"/>
      <c r="F67" s="851"/>
    </row>
    <row r="68" spans="5:6">
      <c r="E68" s="851"/>
      <c r="F68" s="851"/>
    </row>
    <row r="69" spans="5:6">
      <c r="E69" s="851"/>
      <c r="F69" s="851"/>
    </row>
    <row r="70" spans="5:6">
      <c r="E70" s="851"/>
      <c r="F70" s="851"/>
    </row>
    <row r="71" spans="5:6">
      <c r="E71" s="851"/>
      <c r="F71" s="851"/>
    </row>
    <row r="72" spans="5:6">
      <c r="E72" s="851"/>
      <c r="F72" s="851"/>
    </row>
    <row r="73" spans="5:6">
      <c r="E73" s="851"/>
      <c r="F73" s="851"/>
    </row>
    <row r="74" spans="5:6">
      <c r="E74" s="851"/>
      <c r="F74" s="851"/>
    </row>
    <row r="75" spans="5:6">
      <c r="E75" s="851"/>
      <c r="F75" s="851"/>
    </row>
    <row r="76" spans="5:6">
      <c r="E76" s="851"/>
      <c r="F76" s="851"/>
    </row>
    <row r="77" spans="5:6">
      <c r="E77" s="851"/>
      <c r="F77" s="851"/>
    </row>
    <row r="78" spans="5:6">
      <c r="E78" s="851"/>
      <c r="F78" s="851"/>
    </row>
    <row r="79" spans="5:6">
      <c r="E79" s="851"/>
      <c r="F79" s="851"/>
    </row>
    <row r="80" spans="5:6">
      <c r="E80" s="851"/>
      <c r="F80" s="851"/>
    </row>
    <row r="81" spans="5:6">
      <c r="E81" s="851"/>
      <c r="F81" s="851"/>
    </row>
    <row r="82" spans="5:6">
      <c r="E82" s="851"/>
      <c r="F82" s="851"/>
    </row>
    <row r="83" spans="5:6">
      <c r="E83" s="851"/>
      <c r="F83" s="851"/>
    </row>
    <row r="84" spans="5:6">
      <c r="E84" s="851"/>
      <c r="F84" s="851"/>
    </row>
    <row r="85" spans="5:6">
      <c r="E85" s="851"/>
      <c r="F85" s="851"/>
    </row>
    <row r="86" spans="5:6">
      <c r="E86" s="851"/>
      <c r="F86" s="851"/>
    </row>
    <row r="87" spans="5:6">
      <c r="E87" s="851"/>
      <c r="F87" s="851"/>
    </row>
    <row r="88" spans="5:6">
      <c r="E88" s="851"/>
      <c r="F88" s="851"/>
    </row>
    <row r="89" spans="5:6">
      <c r="E89" s="851"/>
      <c r="F89" s="851"/>
    </row>
    <row r="90" spans="5:6">
      <c r="E90" s="851"/>
      <c r="F90" s="851"/>
    </row>
    <row r="91" spans="5:6">
      <c r="E91" s="851"/>
      <c r="F91" s="851"/>
    </row>
    <row r="92" spans="5:6">
      <c r="E92" s="851"/>
      <c r="F92" s="851"/>
    </row>
    <row r="93" spans="5:6">
      <c r="E93" s="851"/>
      <c r="F93" s="851"/>
    </row>
    <row r="94" spans="5:6">
      <c r="E94" s="851"/>
      <c r="F94" s="851"/>
    </row>
    <row r="95" spans="5:6">
      <c r="E95" s="851"/>
      <c r="F95" s="851"/>
    </row>
    <row r="96" spans="5:6">
      <c r="E96" s="851"/>
      <c r="F96" s="851"/>
    </row>
    <row r="97" spans="5:6">
      <c r="E97" s="851"/>
      <c r="F97" s="851"/>
    </row>
    <row r="98" spans="5:6">
      <c r="E98" s="851"/>
      <c r="F98" s="851"/>
    </row>
    <row r="99" spans="5:6">
      <c r="E99" s="851"/>
      <c r="F99" s="851"/>
    </row>
    <row r="100" spans="5:6">
      <c r="E100" s="851"/>
      <c r="F100" s="851"/>
    </row>
    <row r="101" spans="5:6">
      <c r="E101" s="851"/>
      <c r="F101" s="851"/>
    </row>
    <row r="102" spans="5:6">
      <c r="E102" s="851"/>
      <c r="F102" s="851"/>
    </row>
    <row r="103" spans="5:6">
      <c r="E103" s="851"/>
      <c r="F103" s="851"/>
    </row>
    <row r="104" spans="5:6">
      <c r="E104" s="851"/>
      <c r="F104" s="851"/>
    </row>
    <row r="105" spans="5:6">
      <c r="E105" s="851"/>
      <c r="F105" s="851"/>
    </row>
    <row r="106" spans="5:6">
      <c r="E106" s="851"/>
      <c r="F106" s="851"/>
    </row>
    <row r="107" spans="5:6">
      <c r="E107" s="851"/>
      <c r="F107" s="851"/>
    </row>
    <row r="108" spans="5:6">
      <c r="E108" s="851"/>
      <c r="F108" s="851"/>
    </row>
    <row r="109" spans="5:6">
      <c r="E109" s="851"/>
      <c r="F109" s="851"/>
    </row>
    <row r="110" spans="5:6">
      <c r="E110" s="851"/>
      <c r="F110" s="851"/>
    </row>
    <row r="111" spans="5:6">
      <c r="E111" s="851"/>
      <c r="F111" s="851"/>
    </row>
    <row r="112" spans="5:6">
      <c r="E112" s="851"/>
      <c r="F112" s="851"/>
    </row>
    <row r="113" spans="5:6">
      <c r="E113" s="851"/>
      <c r="F113" s="851"/>
    </row>
    <row r="114" spans="5:6">
      <c r="E114" s="851"/>
      <c r="F114" s="851"/>
    </row>
    <row r="115" spans="5:6">
      <c r="E115" s="851"/>
      <c r="F115" s="851"/>
    </row>
    <row r="116" spans="5:6">
      <c r="E116" s="851"/>
      <c r="F116" s="851"/>
    </row>
    <row r="117" spans="5:6">
      <c r="E117" s="851"/>
      <c r="F117" s="851"/>
    </row>
    <row r="118" spans="5:6">
      <c r="E118" s="851"/>
      <c r="F118" s="851"/>
    </row>
    <row r="119" spans="5:6">
      <c r="E119" s="851"/>
      <c r="F119" s="851"/>
    </row>
    <row r="120" spans="5:6">
      <c r="E120" s="851"/>
      <c r="F120" s="851"/>
    </row>
    <row r="121" spans="5:6">
      <c r="E121" s="851"/>
      <c r="F121" s="851"/>
    </row>
    <row r="122" spans="5:6">
      <c r="E122" s="851"/>
      <c r="F122" s="851"/>
    </row>
    <row r="123" spans="5:6">
      <c r="E123" s="851"/>
      <c r="F123" s="851"/>
    </row>
    <row r="124" spans="5:6">
      <c r="E124" s="851"/>
      <c r="F124" s="851"/>
    </row>
    <row r="125" spans="5:6">
      <c r="E125" s="851"/>
      <c r="F125" s="851"/>
    </row>
    <row r="126" spans="5:6">
      <c r="E126" s="851"/>
      <c r="F126" s="851"/>
    </row>
    <row r="127" spans="5:6">
      <c r="E127" s="851"/>
      <c r="F127" s="851"/>
    </row>
    <row r="128" spans="5:6">
      <c r="E128" s="851"/>
      <c r="F128" s="851"/>
    </row>
    <row r="129" spans="5:6">
      <c r="E129" s="851"/>
      <c r="F129" s="851"/>
    </row>
    <row r="130" spans="5:6">
      <c r="E130" s="851"/>
      <c r="F130" s="851"/>
    </row>
    <row r="131" spans="5:6">
      <c r="E131" s="851"/>
      <c r="F131" s="851"/>
    </row>
    <row r="132" spans="5:6">
      <c r="E132" s="851"/>
      <c r="F132" s="851"/>
    </row>
    <row r="133" spans="5:6">
      <c r="E133" s="851"/>
      <c r="F133" s="851"/>
    </row>
    <row r="134" spans="5:6">
      <c r="E134" s="851"/>
      <c r="F134" s="851"/>
    </row>
    <row r="135" spans="5:6">
      <c r="E135" s="851"/>
      <c r="F135" s="851"/>
    </row>
    <row r="136" spans="5:6">
      <c r="E136" s="851"/>
      <c r="F136" s="851"/>
    </row>
    <row r="137" spans="5:6">
      <c r="E137" s="851"/>
      <c r="F137" s="851"/>
    </row>
    <row r="138" spans="5:6">
      <c r="E138" s="851"/>
      <c r="F138" s="851"/>
    </row>
    <row r="139" spans="5:6">
      <c r="E139" s="851"/>
      <c r="F139" s="851"/>
    </row>
    <row r="140" spans="5:6">
      <c r="E140" s="851"/>
      <c r="F140" s="851"/>
    </row>
    <row r="141" spans="5:6">
      <c r="E141" s="851"/>
      <c r="F141" s="851"/>
    </row>
    <row r="142" spans="5:6">
      <c r="E142" s="851"/>
      <c r="F142" s="851"/>
    </row>
    <row r="143" spans="5:6">
      <c r="E143" s="851"/>
      <c r="F143" s="851"/>
    </row>
    <row r="144" spans="5:6">
      <c r="E144" s="851"/>
      <c r="F144" s="851"/>
    </row>
    <row r="145" spans="5:6">
      <c r="E145" s="851"/>
      <c r="F145" s="851"/>
    </row>
    <row r="146" spans="5:6">
      <c r="E146" s="851"/>
      <c r="F146" s="851"/>
    </row>
    <row r="147" spans="5:6">
      <c r="E147" s="851"/>
      <c r="F147" s="851"/>
    </row>
    <row r="148" spans="5:6">
      <c r="E148" s="851"/>
      <c r="F148" s="851"/>
    </row>
    <row r="149" spans="5:6">
      <c r="E149" s="851"/>
      <c r="F149" s="851"/>
    </row>
    <row r="150" spans="5:6">
      <c r="E150" s="851"/>
      <c r="F150" s="851"/>
    </row>
    <row r="151" spans="5:6">
      <c r="E151" s="851"/>
      <c r="F151" s="851"/>
    </row>
    <row r="152" spans="5:6">
      <c r="E152" s="851"/>
      <c r="F152" s="851"/>
    </row>
    <row r="153" spans="5:6">
      <c r="E153" s="851"/>
      <c r="F153" s="851"/>
    </row>
    <row r="154" spans="5:6">
      <c r="E154" s="851"/>
      <c r="F154" s="851"/>
    </row>
    <row r="155" spans="5:6">
      <c r="E155" s="851"/>
      <c r="F155" s="851"/>
    </row>
    <row r="156" spans="5:6">
      <c r="E156" s="851"/>
      <c r="F156" s="851"/>
    </row>
    <row r="157" spans="5:6">
      <c r="E157" s="851"/>
      <c r="F157" s="85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Mensual-Marzo 2020
INFSGI-MES-03-2020
14/04/2020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R40" sqref="R40"/>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8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R40" sqref="R40"/>
    </sheetView>
  </sheetViews>
  <sheetFormatPr baseColWidth="10" defaultColWidth="9.33203125" defaultRowHeight="11.25"/>
  <cols>
    <col min="8" max="10" width="11.1640625" customWidth="1"/>
    <col min="11" max="11" width="12.5" customWidth="1"/>
    <col min="12" max="12" width="9.33203125" customWidth="1"/>
  </cols>
  <sheetData>
    <row r="3" spans="1:12">
      <c r="A3" s="870" t="s">
        <v>0</v>
      </c>
      <c r="B3" s="870"/>
      <c r="C3" s="870"/>
      <c r="D3" s="870"/>
      <c r="E3" s="870"/>
      <c r="F3" s="870"/>
      <c r="G3" s="870"/>
      <c r="H3" s="870"/>
      <c r="I3" s="870"/>
      <c r="J3" s="870"/>
      <c r="K3" s="870"/>
      <c r="L3" s="870"/>
    </row>
    <row r="4" spans="1:12">
      <c r="A4" s="870"/>
      <c r="B4" s="870"/>
      <c r="C4" s="870"/>
      <c r="D4" s="870"/>
      <c r="E4" s="870"/>
      <c r="F4" s="870"/>
      <c r="G4" s="870"/>
      <c r="H4" s="870"/>
      <c r="I4" s="870"/>
      <c r="J4" s="870"/>
      <c r="K4" s="870"/>
      <c r="L4" s="870"/>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402</v>
      </c>
      <c r="B7" s="219"/>
      <c r="C7" s="25"/>
      <c r="D7" s="25"/>
      <c r="E7" s="25"/>
      <c r="F7" s="25"/>
      <c r="G7" s="25"/>
      <c r="H7" s="25"/>
      <c r="I7" s="25"/>
      <c r="J7" s="25"/>
      <c r="K7" s="25"/>
      <c r="L7" s="25"/>
    </row>
    <row r="8" spans="1:12" ht="17.25" customHeight="1">
      <c r="A8" s="25"/>
      <c r="B8" s="25" t="s">
        <v>617</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489</v>
      </c>
      <c r="B10" s="219"/>
      <c r="C10" s="25"/>
      <c r="D10" s="25"/>
      <c r="E10" s="25"/>
      <c r="F10" s="25"/>
      <c r="G10" s="25"/>
      <c r="H10" s="25"/>
      <c r="I10" s="25"/>
      <c r="J10" s="25"/>
      <c r="K10" s="25"/>
      <c r="L10" s="22"/>
    </row>
    <row r="11" spans="1:12" ht="19.5" customHeight="1">
      <c r="A11" s="27"/>
      <c r="B11" s="25" t="s">
        <v>455</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444</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Mensual-Marzo 2020
INFSGI-MES-03-2020
14/04/2020
Versión: 01</oddHeader>
    <oddFooter>&amp;LCOES, 2020&amp;RDirección Ejecutiva
Sub Dirección de Gestión de Información</oddFooter>
  </headerFooter>
  <ignoredErrors>
    <ignoredError sqref="L10:L11 L12:L4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7"/>
  <sheetViews>
    <sheetView showGridLines="0" view="pageBreakPreview" zoomScale="130" zoomScaleNormal="100" zoomScaleSheetLayoutView="130" zoomScalePageLayoutView="85" workbookViewId="0">
      <selection activeCell="R40" sqref="R40"/>
    </sheetView>
  </sheetViews>
  <sheetFormatPr baseColWidth="10"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86" t="s">
        <v>489</v>
      </c>
      <c r="B2" s="886"/>
      <c r="C2" s="886"/>
      <c r="D2" s="886"/>
      <c r="E2" s="886"/>
      <c r="F2" s="886"/>
      <c r="G2" s="886"/>
      <c r="H2" s="886"/>
      <c r="I2" s="886"/>
      <c r="J2" s="886"/>
      <c r="K2" s="530"/>
    </row>
    <row r="3" spans="1:11" ht="12" customHeight="1">
      <c r="A3" s="137"/>
      <c r="B3" s="209"/>
      <c r="C3" s="220"/>
      <c r="D3" s="221"/>
      <c r="E3" s="221"/>
      <c r="F3" s="222"/>
      <c r="G3" s="223"/>
      <c r="H3" s="223"/>
      <c r="I3" s="172"/>
      <c r="J3" s="222"/>
    </row>
    <row r="4" spans="1:11" ht="11.25" customHeight="1">
      <c r="A4" s="187" t="s">
        <v>454</v>
      </c>
      <c r="B4" s="209"/>
      <c r="C4" s="220"/>
      <c r="D4" s="221"/>
      <c r="E4" s="221"/>
      <c r="F4" s="222"/>
      <c r="G4" s="223"/>
      <c r="H4" s="223"/>
      <c r="I4" s="172"/>
      <c r="J4" s="222"/>
      <c r="K4" s="334"/>
    </row>
    <row r="5" spans="1:11" ht="11.25" customHeight="1">
      <c r="A5" s="187"/>
      <c r="B5" s="209"/>
      <c r="C5" s="220"/>
      <c r="D5" s="221"/>
      <c r="E5" s="221"/>
      <c r="F5" s="222"/>
      <c r="G5" s="223"/>
      <c r="H5" s="223"/>
      <c r="I5" s="172"/>
      <c r="J5" s="222"/>
      <c r="K5" s="334"/>
    </row>
    <row r="6" spans="1:11" ht="15" customHeight="1">
      <c r="A6" s="137" t="s">
        <v>684</v>
      </c>
      <c r="B6" s="209"/>
      <c r="C6" s="220"/>
      <c r="D6" s="221"/>
      <c r="E6" s="221"/>
      <c r="F6" s="222"/>
      <c r="G6" s="223"/>
      <c r="H6" s="223"/>
      <c r="I6" s="172"/>
      <c r="J6" s="222"/>
      <c r="K6" s="334"/>
    </row>
    <row r="7" spans="1:11" ht="20.25" hidden="1" customHeight="1">
      <c r="A7" s="786"/>
      <c r="B7" s="787"/>
      <c r="C7" s="787"/>
      <c r="D7" s="787"/>
      <c r="E7" s="787"/>
      <c r="F7" s="788"/>
      <c r="G7" s="789"/>
      <c r="H7" s="788"/>
      <c r="I7" s="789"/>
      <c r="J7" s="789"/>
      <c r="K7" s="531"/>
    </row>
    <row r="8" spans="1:11" s="224" customFormat="1" ht="21" hidden="1" customHeight="1">
      <c r="A8" s="790"/>
      <c r="B8" s="791"/>
      <c r="C8" s="791"/>
      <c r="D8" s="791"/>
      <c r="E8" s="791"/>
      <c r="F8" s="792"/>
      <c r="G8" s="793"/>
      <c r="H8" s="794"/>
      <c r="I8" s="794"/>
      <c r="J8" s="795"/>
      <c r="K8" s="532"/>
    </row>
    <row r="9" spans="1:11" s="224" customFormat="1" ht="21" hidden="1" customHeight="1">
      <c r="A9" s="790"/>
      <c r="B9" s="791"/>
      <c r="C9" s="791"/>
      <c r="D9" s="791"/>
      <c r="E9" s="791"/>
      <c r="F9" s="792"/>
      <c r="G9" s="793"/>
      <c r="H9" s="794"/>
      <c r="I9" s="794"/>
      <c r="J9" s="795"/>
      <c r="K9" s="532"/>
    </row>
    <row r="10" spans="1:11" s="224" customFormat="1" ht="28.5" hidden="1" customHeight="1">
      <c r="A10" s="790"/>
      <c r="B10" s="791"/>
      <c r="C10" s="791"/>
      <c r="D10" s="791"/>
      <c r="E10" s="791"/>
      <c r="F10" s="792"/>
      <c r="G10" s="793"/>
      <c r="H10" s="794"/>
      <c r="I10" s="794"/>
      <c r="J10" s="795"/>
      <c r="K10" s="532"/>
    </row>
    <row r="11" spans="1:11" s="224" customFormat="1" ht="28.5" hidden="1" customHeight="1">
      <c r="A11" s="790"/>
      <c r="B11" s="791"/>
      <c r="C11" s="791"/>
      <c r="D11" s="791"/>
      <c r="E11" s="791"/>
      <c r="F11" s="792"/>
      <c r="G11" s="793"/>
      <c r="H11" s="794"/>
      <c r="I11" s="794"/>
      <c r="J11" s="795"/>
      <c r="K11" s="532"/>
    </row>
    <row r="12" spans="1:11" s="224" customFormat="1" ht="36.75" hidden="1" customHeight="1">
      <c r="A12" s="790"/>
      <c r="B12" s="791"/>
      <c r="C12" s="791"/>
      <c r="D12" s="791"/>
      <c r="E12" s="791"/>
      <c r="F12" s="792"/>
      <c r="G12" s="793"/>
      <c r="H12" s="794"/>
      <c r="I12" s="794"/>
      <c r="J12" s="795"/>
      <c r="K12" s="532"/>
    </row>
    <row r="13" spans="1:11" s="224" customFormat="1" ht="24.75" hidden="1" customHeight="1">
      <c r="A13" s="790"/>
      <c r="B13" s="791"/>
      <c r="C13" s="791"/>
      <c r="D13" s="791"/>
      <c r="E13" s="791"/>
      <c r="F13" s="792"/>
      <c r="G13" s="793"/>
      <c r="H13" s="794"/>
      <c r="I13" s="794"/>
      <c r="J13" s="795"/>
      <c r="K13" s="532"/>
    </row>
    <row r="14" spans="1:11" s="224" customFormat="1" ht="24.75" hidden="1" customHeight="1">
      <c r="A14" s="790"/>
      <c r="B14" s="791"/>
      <c r="C14" s="791"/>
      <c r="D14" s="791"/>
      <c r="E14" s="791"/>
      <c r="F14" s="792"/>
      <c r="G14" s="793"/>
      <c r="H14" s="794"/>
      <c r="I14" s="794"/>
      <c r="J14" s="795"/>
      <c r="K14" s="532"/>
    </row>
    <row r="15" spans="1:11" s="224" customFormat="1" ht="30.75" hidden="1" customHeight="1">
      <c r="A15" s="790"/>
      <c r="B15" s="791"/>
      <c r="C15" s="791"/>
      <c r="D15" s="791"/>
      <c r="E15" s="791"/>
      <c r="F15" s="792"/>
      <c r="G15" s="793"/>
      <c r="H15" s="794"/>
      <c r="I15" s="794"/>
      <c r="J15" s="795"/>
      <c r="K15" s="532"/>
    </row>
    <row r="16" spans="1:11" s="224" customFormat="1" ht="30.75" hidden="1" customHeight="1">
      <c r="A16" s="790"/>
      <c r="B16" s="791"/>
      <c r="C16" s="791"/>
      <c r="D16" s="791"/>
      <c r="E16" s="791"/>
      <c r="F16" s="792"/>
      <c r="G16" s="793"/>
      <c r="H16" s="794"/>
      <c r="I16" s="794"/>
      <c r="J16" s="795"/>
      <c r="K16" s="532"/>
    </row>
    <row r="17" spans="1:13" ht="11.25" hidden="1" customHeight="1">
      <c r="A17" s="796"/>
      <c r="B17" s="797"/>
      <c r="C17" s="797"/>
      <c r="D17" s="797"/>
      <c r="E17" s="798"/>
      <c r="F17" s="799"/>
      <c r="G17" s="800"/>
      <c r="H17" s="801"/>
      <c r="I17" s="801"/>
      <c r="J17" s="802"/>
      <c r="K17" s="533"/>
      <c r="L17" s="534"/>
    </row>
    <row r="18" spans="1:13" ht="13.5" hidden="1" customHeight="1">
      <c r="A18" s="661"/>
      <c r="B18" s="132"/>
      <c r="C18" s="132"/>
      <c r="D18" s="132"/>
      <c r="E18" s="132"/>
      <c r="F18" s="132"/>
      <c r="G18" s="132"/>
      <c r="H18" s="132"/>
      <c r="I18" s="132"/>
      <c r="J18" s="132"/>
      <c r="K18" s="533"/>
    </row>
    <row r="19" spans="1:13" ht="11.25" hidden="1" customHeight="1">
      <c r="A19" s="895"/>
      <c r="B19" s="895"/>
      <c r="C19" s="895"/>
      <c r="D19" s="895"/>
      <c r="E19" s="895"/>
      <c r="F19" s="895"/>
      <c r="G19" s="895"/>
      <c r="H19" s="895"/>
      <c r="I19" s="895"/>
      <c r="J19" s="895"/>
      <c r="K19" s="533"/>
    </row>
    <row r="20" spans="1:13" ht="11.25" hidden="1" customHeight="1">
      <c r="A20" s="407"/>
      <c r="B20" s="407"/>
      <c r="C20" s="407"/>
      <c r="D20" s="407"/>
      <c r="E20" s="407"/>
      <c r="F20" s="407"/>
      <c r="G20" s="407"/>
      <c r="H20" s="407"/>
      <c r="I20" s="407"/>
      <c r="J20" s="407"/>
      <c r="K20" s="533"/>
      <c r="M20" s="534"/>
    </row>
    <row r="21" spans="1:13" ht="12.75" hidden="1" customHeight="1">
      <c r="A21" s="896"/>
      <c r="B21" s="896"/>
      <c r="C21" s="896"/>
      <c r="D21" s="896"/>
      <c r="E21" s="896"/>
      <c r="F21" s="896"/>
      <c r="G21" s="896"/>
      <c r="H21" s="896"/>
      <c r="I21" s="896"/>
      <c r="J21" s="896"/>
      <c r="K21" s="533"/>
      <c r="M21" s="534"/>
    </row>
    <row r="22" spans="1:13" ht="11.25" hidden="1" customHeight="1">
      <c r="A22" s="896"/>
      <c r="B22" s="896"/>
      <c r="C22" s="896"/>
      <c r="D22" s="896"/>
      <c r="E22" s="896"/>
      <c r="F22" s="896"/>
      <c r="G22" s="896"/>
      <c r="H22" s="896"/>
      <c r="I22" s="896"/>
      <c r="J22" s="896"/>
      <c r="K22" s="533"/>
      <c r="M22" s="534"/>
    </row>
    <row r="23" spans="1:13" ht="15" hidden="1" customHeight="1">
      <c r="A23" s="228"/>
      <c r="B23" s="225"/>
      <c r="C23" s="225"/>
      <c r="D23" s="225"/>
      <c r="E23" s="225"/>
      <c r="F23" s="225"/>
      <c r="G23" s="225"/>
      <c r="H23" s="229"/>
      <c r="I23" s="229"/>
      <c r="J23" s="229"/>
      <c r="K23" s="533"/>
    </row>
    <row r="24" spans="1:13" ht="11.25" hidden="1" customHeight="1">
      <c r="A24" s="228"/>
      <c r="B24" s="225"/>
      <c r="C24" s="225"/>
      <c r="D24" s="225"/>
      <c r="E24" s="225"/>
      <c r="F24" s="225"/>
      <c r="G24" s="225"/>
      <c r="H24" s="227"/>
      <c r="I24" s="227" t="s">
        <v>8</v>
      </c>
      <c r="J24" s="227"/>
      <c r="K24" s="533"/>
    </row>
    <row r="25" spans="1:13" ht="11.25" hidden="1" customHeight="1">
      <c r="A25" s="228"/>
      <c r="B25" s="225"/>
      <c r="C25" s="225"/>
      <c r="D25" s="225"/>
      <c r="E25" s="225"/>
      <c r="F25" s="225"/>
      <c r="G25" s="225"/>
      <c r="H25" s="227"/>
      <c r="I25" s="227"/>
      <c r="J25" s="227"/>
      <c r="K25" s="533"/>
    </row>
    <row r="26" spans="1:13" ht="11.25" hidden="1" customHeight="1">
      <c r="A26" s="228"/>
      <c r="B26" s="225"/>
      <c r="C26" s="225"/>
      <c r="D26" s="225"/>
      <c r="E26" s="225"/>
      <c r="F26" s="225"/>
      <c r="G26" s="225"/>
      <c r="H26" s="227"/>
      <c r="I26" s="227"/>
      <c r="J26" s="227"/>
      <c r="K26" s="533"/>
    </row>
    <row r="27" spans="1:13" ht="9" hidden="1" customHeight="1">
      <c r="A27" s="230"/>
      <c r="B27" s="152"/>
      <c r="C27" s="152"/>
      <c r="D27" s="152"/>
      <c r="E27" s="152"/>
      <c r="F27" s="152"/>
      <c r="G27" s="152"/>
      <c r="H27" s="231"/>
      <c r="I27" s="231"/>
      <c r="J27" s="231"/>
      <c r="K27" s="533"/>
    </row>
    <row r="28" spans="1:13" ht="9" hidden="1" customHeight="1">
      <c r="A28" s="232"/>
      <c r="B28" s="175"/>
      <c r="C28" s="175"/>
      <c r="D28" s="138"/>
      <c r="E28" s="138"/>
      <c r="F28" s="138"/>
      <c r="G28" s="138"/>
      <c r="H28" s="225"/>
      <c r="I28" s="225"/>
      <c r="J28" s="225"/>
      <c r="K28" s="533"/>
    </row>
    <row r="29" spans="1:13" ht="9" hidden="1" customHeight="1">
      <c r="A29" s="214"/>
      <c r="B29" s="138"/>
      <c r="C29" s="138"/>
      <c r="D29" s="138"/>
      <c r="E29" s="138"/>
      <c r="F29" s="138"/>
      <c r="G29" s="138"/>
      <c r="H29" s="225"/>
      <c r="I29" s="225"/>
      <c r="J29" s="225"/>
      <c r="K29" s="533"/>
    </row>
    <row r="30" spans="1:13" ht="11.25" hidden="1" customHeight="1">
      <c r="A30" s="214"/>
      <c r="B30" s="138"/>
      <c r="C30" s="138"/>
      <c r="D30" s="138"/>
      <c r="E30" s="138"/>
      <c r="F30" s="138"/>
      <c r="G30" s="138"/>
      <c r="H30" s="225"/>
      <c r="I30" s="225"/>
      <c r="J30" s="225"/>
      <c r="K30" s="533"/>
    </row>
    <row r="31" spans="1:13" ht="11.25" hidden="1" customHeight="1">
      <c r="A31" s="214"/>
      <c r="B31" s="138"/>
      <c r="C31" s="138"/>
      <c r="D31" s="138"/>
      <c r="E31" s="138"/>
      <c r="F31" s="138"/>
      <c r="G31" s="138"/>
      <c r="H31" s="153"/>
      <c r="I31" s="153"/>
      <c r="J31" s="153"/>
      <c r="K31" s="533"/>
    </row>
    <row r="32" spans="1:13" ht="11.25" hidden="1" customHeight="1">
      <c r="A32" s="17"/>
      <c r="B32" s="885"/>
      <c r="C32" s="885"/>
      <c r="D32" s="885"/>
      <c r="E32" s="885"/>
      <c r="F32" s="885"/>
      <c r="G32" s="885"/>
      <c r="H32" s="885"/>
      <c r="I32" s="885"/>
      <c r="J32" s="885"/>
      <c r="K32" s="885"/>
    </row>
    <row r="33" spans="1:15" ht="27" hidden="1" customHeight="1">
      <c r="B33" s="897"/>
      <c r="C33" s="897"/>
      <c r="D33" s="897"/>
      <c r="E33" s="897"/>
      <c r="F33" s="897"/>
      <c r="G33" s="897"/>
      <c r="H33" s="897"/>
    </row>
    <row r="34" spans="1:15" ht="11.25" customHeight="1">
      <c r="A34" s="17"/>
      <c r="B34" s="17"/>
      <c r="C34" s="17"/>
      <c r="D34" s="17"/>
      <c r="E34" s="17"/>
      <c r="F34" s="17"/>
      <c r="G34" s="17"/>
      <c r="H34" s="17"/>
      <c r="I34" s="17"/>
      <c r="J34" s="17"/>
      <c r="K34" s="533"/>
    </row>
    <row r="35" spans="1:15" ht="11.25" customHeight="1">
      <c r="A35" s="176" t="s">
        <v>382</v>
      </c>
      <c r="B35" s="132"/>
      <c r="C35" s="226"/>
      <c r="D35" s="132"/>
      <c r="E35" s="132"/>
      <c r="F35" s="132"/>
      <c r="G35" s="132"/>
      <c r="H35" s="132"/>
      <c r="I35" s="132"/>
      <c r="J35" s="132"/>
      <c r="K35" s="533"/>
    </row>
    <row r="36" spans="1:15" ht="11.25" customHeight="1">
      <c r="B36" s="132"/>
      <c r="C36" s="226"/>
      <c r="D36" s="132"/>
      <c r="E36" s="132"/>
      <c r="F36" s="132"/>
      <c r="G36" s="132"/>
      <c r="H36" s="132"/>
      <c r="I36" s="132"/>
      <c r="J36" s="132"/>
      <c r="K36" s="533"/>
    </row>
    <row r="37" spans="1:15" ht="21" customHeight="1">
      <c r="B37" s="883" t="s">
        <v>218</v>
      </c>
      <c r="C37" s="884"/>
      <c r="D37" s="475" t="str">
        <f>UPPER('1. Resumen'!Q4)&amp;" "&amp;'1. Resumen'!Q5</f>
        <v>MARZO 2020</v>
      </c>
      <c r="E37" s="475" t="str">
        <f>UPPER('1. Resumen'!Q4)&amp;" "&amp;'1. Resumen'!Q5-1</f>
        <v>MARZO 2019</v>
      </c>
      <c r="F37" s="476" t="s">
        <v>219</v>
      </c>
      <c r="G37" s="233"/>
      <c r="H37" s="233"/>
      <c r="I37" s="132"/>
      <c r="J37" s="132"/>
    </row>
    <row r="38" spans="1:15" ht="9.75" customHeight="1">
      <c r="B38" s="887" t="s">
        <v>215</v>
      </c>
      <c r="C38" s="888"/>
      <c r="D38" s="459">
        <v>5163.1192474999998</v>
      </c>
      <c r="E38" s="460">
        <v>5082.3492474999994</v>
      </c>
      <c r="F38" s="461">
        <f>+D38/E38-1</f>
        <v>1.5892256920307268E-2</v>
      </c>
      <c r="G38" s="233"/>
      <c r="H38" s="233"/>
      <c r="I38" s="132"/>
      <c r="J38" s="132"/>
      <c r="K38" s="533"/>
    </row>
    <row r="39" spans="1:15" ht="9.75" customHeight="1">
      <c r="B39" s="889" t="s">
        <v>216</v>
      </c>
      <c r="C39" s="890"/>
      <c r="D39" s="462">
        <f>7395.9645+H11+H14</f>
        <v>7395.9645</v>
      </c>
      <c r="E39" s="463">
        <v>7395.9645</v>
      </c>
      <c r="F39" s="464">
        <f>+D39/E39-1</f>
        <v>0</v>
      </c>
      <c r="G39" s="234"/>
      <c r="H39" s="234"/>
      <c r="M39" s="535"/>
      <c r="N39" s="535"/>
      <c r="O39" s="536"/>
    </row>
    <row r="40" spans="1:15" ht="9.75" customHeight="1">
      <c r="B40" s="891" t="s">
        <v>217</v>
      </c>
      <c r="C40" s="892"/>
      <c r="D40" s="465">
        <v>375.46</v>
      </c>
      <c r="E40" s="466">
        <v>375.46</v>
      </c>
      <c r="F40" s="467">
        <f>+D40/E40-1</f>
        <v>0</v>
      </c>
      <c r="G40" s="234"/>
      <c r="H40" s="234"/>
    </row>
    <row r="41" spans="1:15" ht="9.75" customHeight="1">
      <c r="B41" s="893" t="s">
        <v>80</v>
      </c>
      <c r="C41" s="894"/>
      <c r="D41" s="468">
        <v>285.02</v>
      </c>
      <c r="E41" s="469">
        <v>285.02</v>
      </c>
      <c r="F41" s="470">
        <f>+D41/E41-1</f>
        <v>0</v>
      </c>
      <c r="G41" s="234"/>
      <c r="H41" s="234"/>
    </row>
    <row r="42" spans="1:15" ht="10.5" customHeight="1">
      <c r="B42" s="881" t="s">
        <v>199</v>
      </c>
      <c r="C42" s="882"/>
      <c r="D42" s="471">
        <f>+D38+D39+D40+D41</f>
        <v>13219.5637475</v>
      </c>
      <c r="E42" s="472">
        <v>13138.7937475</v>
      </c>
      <c r="F42" s="473">
        <f>+D42/E42-1</f>
        <v>6.1474440920703532E-3</v>
      </c>
      <c r="G42" s="406"/>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marzo 2019 y marzo 2020</v>
      </c>
      <c r="C43" s="233"/>
      <c r="D43" s="233"/>
      <c r="E43" s="233"/>
      <c r="F43" s="233"/>
      <c r="G43" s="233"/>
      <c r="H43" s="233"/>
      <c r="I43" s="132"/>
      <c r="J43" s="132"/>
      <c r="K43" s="533"/>
    </row>
    <row r="44" spans="1:15" ht="9" customHeight="1">
      <c r="B44" s="276"/>
      <c r="C44" s="233"/>
      <c r="D44" s="233"/>
      <c r="E44" s="233"/>
      <c r="F44" s="233"/>
      <c r="G44" s="233"/>
      <c r="H44" s="233"/>
      <c r="I44" s="132"/>
      <c r="J44" s="132"/>
      <c r="K44" s="533"/>
    </row>
    <row r="45" spans="1:15" ht="25.5" customHeight="1">
      <c r="B45" s="276"/>
      <c r="C45" s="233"/>
      <c r="D45" s="233"/>
      <c r="E45" s="233"/>
      <c r="F45" s="233"/>
      <c r="G45" s="233"/>
      <c r="H45" s="233"/>
      <c r="I45" s="132"/>
      <c r="J45" s="132"/>
      <c r="K45" s="533"/>
    </row>
    <row r="46" spans="1:15" ht="11.25" customHeight="1">
      <c r="B46" s="276"/>
      <c r="C46" s="233"/>
      <c r="D46" s="233"/>
      <c r="E46" s="233"/>
      <c r="F46" s="233"/>
      <c r="G46" s="233"/>
      <c r="H46" s="233"/>
      <c r="I46" s="132"/>
      <c r="J46" s="132"/>
      <c r="K46" s="533"/>
    </row>
    <row r="47" spans="1:15" ht="11.25" customHeight="1">
      <c r="A47" s="132"/>
      <c r="C47" s="234"/>
      <c r="D47" s="233"/>
      <c r="E47" s="233"/>
      <c r="F47" s="233"/>
      <c r="G47" s="233"/>
      <c r="H47" s="233"/>
      <c r="I47" s="132"/>
      <c r="J47" s="132"/>
      <c r="K47" s="533"/>
    </row>
    <row r="48" spans="1:15" ht="11.25" customHeight="1">
      <c r="A48" s="132"/>
      <c r="B48" s="132"/>
      <c r="C48" s="132"/>
      <c r="D48" s="132"/>
      <c r="E48" s="132"/>
      <c r="F48" s="132"/>
      <c r="G48" s="132"/>
      <c r="H48" s="132"/>
      <c r="I48" s="132"/>
      <c r="J48" s="132"/>
      <c r="K48" s="533"/>
    </row>
    <row r="49" spans="1:11" ht="11.25" customHeight="1">
      <c r="A49" s="132"/>
      <c r="B49" s="132"/>
      <c r="C49" s="132"/>
      <c r="D49" s="132"/>
      <c r="E49" s="132"/>
      <c r="F49" s="132"/>
      <c r="G49" s="132"/>
      <c r="H49" s="132"/>
      <c r="I49" s="132"/>
      <c r="J49" s="132"/>
      <c r="K49" s="533"/>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05" t="str">
        <f>"Gráfico N° 3: Comparación de la potencia instalada en el SEIN al término de "&amp;'1. Resumen'!Q4&amp;" "&amp;'1. Resumen'!Q5-1&amp;" y "&amp;'1. Resumen'!Q4&amp;" "&amp;'1. Resumen'!Q5</f>
        <v>Gráfico N° 3: Comparación de la potencia instalada en el SEIN al término de marzo 2019 y marzo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115" zoomScaleNormal="100" zoomScaleSheetLayoutView="115" zoomScalePageLayoutView="85" workbookViewId="0">
      <selection activeCell="R40" sqref="R40"/>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2" t="s">
        <v>221</v>
      </c>
      <c r="B2" s="902"/>
      <c r="C2" s="902"/>
      <c r="D2" s="902"/>
      <c r="E2" s="902"/>
      <c r="F2" s="902"/>
      <c r="G2" s="902"/>
      <c r="H2" s="902"/>
      <c r="I2" s="902"/>
      <c r="J2" s="902"/>
      <c r="K2" s="902"/>
    </row>
    <row r="3" spans="1:11" ht="11.25" customHeight="1">
      <c r="A3" s="83"/>
      <c r="B3" s="84"/>
      <c r="C3" s="85"/>
      <c r="D3" s="86"/>
      <c r="E3" s="86"/>
      <c r="F3" s="86"/>
      <c r="G3" s="86"/>
      <c r="H3" s="83"/>
      <c r="I3" s="83"/>
      <c r="J3" s="83"/>
      <c r="K3" s="87"/>
    </row>
    <row r="4" spans="1:11" ht="11.25" customHeight="1">
      <c r="A4" s="903" t="str">
        <f>+"3.1. PRODUCCIÓN POR TIPO DE GENERACIÓN (GWh)"</f>
        <v>3.1. PRODUCCIÓN POR TIPO DE GENERACIÓN (GWh)</v>
      </c>
      <c r="B4" s="903"/>
      <c r="C4" s="903"/>
      <c r="D4" s="903"/>
      <c r="E4" s="903"/>
      <c r="F4" s="903"/>
      <c r="G4" s="903"/>
      <c r="H4" s="903"/>
      <c r="I4" s="903"/>
      <c r="J4" s="903"/>
      <c r="K4" s="903"/>
    </row>
    <row r="5" spans="1:11" ht="11.25" customHeight="1">
      <c r="A5" s="54"/>
      <c r="B5" s="88"/>
      <c r="C5" s="89"/>
      <c r="D5" s="90"/>
      <c r="E5" s="90"/>
      <c r="F5" s="90"/>
      <c r="G5" s="90"/>
      <c r="H5" s="91"/>
      <c r="I5" s="83"/>
      <c r="J5" s="83"/>
      <c r="K5" s="92"/>
    </row>
    <row r="6" spans="1:11" ht="18" customHeight="1">
      <c r="A6" s="900" t="s">
        <v>32</v>
      </c>
      <c r="B6" s="904" t="s">
        <v>33</v>
      </c>
      <c r="C6" s="905"/>
      <c r="D6" s="905"/>
      <c r="E6" s="905" t="s">
        <v>34</v>
      </c>
      <c r="F6" s="905"/>
      <c r="G6" s="906" t="str">
        <f>"Generación Acumulada a "&amp;'1. Resumen'!Q4</f>
        <v>Generación Acumulada a marzo</v>
      </c>
      <c r="H6" s="906"/>
      <c r="I6" s="906"/>
      <c r="J6" s="906"/>
      <c r="K6" s="907"/>
    </row>
    <row r="7" spans="1:11" ht="32.25" customHeight="1">
      <c r="A7" s="901"/>
      <c r="B7" s="477">
        <f>+C7-30</f>
        <v>43833</v>
      </c>
      <c r="C7" s="477">
        <f>+D7-28</f>
        <v>43863</v>
      </c>
      <c r="D7" s="477">
        <f>+'1. Resumen'!Q6</f>
        <v>43891</v>
      </c>
      <c r="E7" s="477">
        <f>+D7-365</f>
        <v>43526</v>
      </c>
      <c r="F7" s="478" t="s">
        <v>35</v>
      </c>
      <c r="G7" s="479">
        <v>2020</v>
      </c>
      <c r="H7" s="479">
        <v>2019</v>
      </c>
      <c r="I7" s="478" t="s">
        <v>500</v>
      </c>
      <c r="J7" s="479">
        <v>2018</v>
      </c>
      <c r="K7" s="480" t="s">
        <v>427</v>
      </c>
    </row>
    <row r="8" spans="1:11" ht="15" customHeight="1">
      <c r="A8" s="116" t="s">
        <v>36</v>
      </c>
      <c r="B8" s="351">
        <v>3224.7240291725007</v>
      </c>
      <c r="C8" s="347">
        <v>3030.9696211625001</v>
      </c>
      <c r="D8" s="352">
        <v>3109.2738750449998</v>
      </c>
      <c r="E8" s="351">
        <v>3029.7496984825048</v>
      </c>
      <c r="F8" s="242">
        <f>IF(E8=0,"",D8/E8-1)</f>
        <v>2.6247771095521788E-2</v>
      </c>
      <c r="G8" s="359">
        <v>9364.9675253799978</v>
      </c>
      <c r="H8" s="347">
        <v>8628.7302733500055</v>
      </c>
      <c r="I8" s="246">
        <f>IF(H8=0,"",G8/H8-1)</f>
        <v>8.5323938598923954E-2</v>
      </c>
      <c r="J8" s="351">
        <v>8568.9995954850019</v>
      </c>
      <c r="K8" s="242">
        <f t="shared" ref="K8:K15" si="0">IF(J8=0,"",H8/J8-1)</f>
        <v>6.9705544036291478E-3</v>
      </c>
    </row>
    <row r="9" spans="1:11" ht="15" customHeight="1">
      <c r="A9" s="117" t="s">
        <v>37</v>
      </c>
      <c r="B9" s="353">
        <v>1208.5929303574999</v>
      </c>
      <c r="C9" s="252">
        <v>1188.3665303400001</v>
      </c>
      <c r="D9" s="354">
        <v>699.34875741250005</v>
      </c>
      <c r="E9" s="353">
        <v>1339.2069948025003</v>
      </c>
      <c r="F9" s="243">
        <f t="shared" ref="F9:F15" si="1">IF(E9=0,"",D9/E9-1)</f>
        <v>-0.47778890035170662</v>
      </c>
      <c r="G9" s="360">
        <v>3096.3082181099999</v>
      </c>
      <c r="H9" s="252">
        <v>4069.2803228799999</v>
      </c>
      <c r="I9" s="247">
        <f t="shared" ref="I9:I15" si="2">IF(H9=0,"",G9/H9-1)</f>
        <v>-0.2391017643339417</v>
      </c>
      <c r="J9" s="353">
        <v>3481.9709932649998</v>
      </c>
      <c r="K9" s="243">
        <f t="shared" si="0"/>
        <v>0.16867151700890171</v>
      </c>
    </row>
    <row r="10" spans="1:11" ht="15" customHeight="1">
      <c r="A10" s="118" t="s">
        <v>38</v>
      </c>
      <c r="B10" s="355">
        <v>112.79455227750002</v>
      </c>
      <c r="C10" s="253">
        <v>124.22110090749999</v>
      </c>
      <c r="D10" s="356">
        <v>130.312314775</v>
      </c>
      <c r="E10" s="355">
        <v>152.49710963249993</v>
      </c>
      <c r="F10" s="244">
        <f>IF(E10=0,"",D10/E10-1)</f>
        <v>-0.14547682189493738</v>
      </c>
      <c r="G10" s="361">
        <v>367.32796796000002</v>
      </c>
      <c r="H10" s="253">
        <v>355.23755224999996</v>
      </c>
      <c r="I10" s="248">
        <f t="shared" si="2"/>
        <v>3.4034734316295889E-2</v>
      </c>
      <c r="J10" s="355">
        <v>271.67789598500002</v>
      </c>
      <c r="K10" s="244">
        <f t="shared" si="0"/>
        <v>0.30756884347195279</v>
      </c>
    </row>
    <row r="11" spans="1:11" ht="15" customHeight="1">
      <c r="A11" s="117" t="s">
        <v>30</v>
      </c>
      <c r="B11" s="353">
        <v>57.710546254999997</v>
      </c>
      <c r="C11" s="252">
        <v>54.229612817500005</v>
      </c>
      <c r="D11" s="354">
        <v>60.122201322499997</v>
      </c>
      <c r="E11" s="353">
        <v>68.403388252499965</v>
      </c>
      <c r="F11" s="243">
        <f>IF(E11=0,"",D11/E11-1)</f>
        <v>-0.12106398734856982</v>
      </c>
      <c r="G11" s="360">
        <v>172.06236039499998</v>
      </c>
      <c r="H11" s="252">
        <v>173.92783748999994</v>
      </c>
      <c r="I11" s="247">
        <f t="shared" si="2"/>
        <v>-1.0725580918622191E-2</v>
      </c>
      <c r="J11" s="353">
        <v>168.01405985</v>
      </c>
      <c r="K11" s="243">
        <f t="shared" si="0"/>
        <v>3.5198111665652565E-2</v>
      </c>
    </row>
    <row r="12" spans="1:11" ht="15" customHeight="1">
      <c r="A12" s="145" t="s">
        <v>42</v>
      </c>
      <c r="B12" s="357">
        <f>+SUM(B8:B11)</f>
        <v>4603.8220580625002</v>
      </c>
      <c r="C12" s="348">
        <f t="shared" ref="C12:E12" si="3">+SUM(C8:C11)</f>
        <v>4397.7868652275001</v>
      </c>
      <c r="D12" s="358">
        <f t="shared" si="3"/>
        <v>3999.0571485550004</v>
      </c>
      <c r="E12" s="357">
        <f t="shared" si="3"/>
        <v>4589.8571911700046</v>
      </c>
      <c r="F12" s="245">
        <f>IF(E12=0,"",D12/E12-1)</f>
        <v>-0.12871861106083848</v>
      </c>
      <c r="G12" s="357">
        <f t="shared" ref="G12:J12" si="4">+SUM(G8:G11)</f>
        <v>13000.666071844998</v>
      </c>
      <c r="H12" s="348">
        <f t="shared" si="4"/>
        <v>13227.175985970007</v>
      </c>
      <c r="I12" s="249">
        <f>IF(H12=0,"",G12/H12-1)</f>
        <v>-1.7124586107062134E-2</v>
      </c>
      <c r="J12" s="357">
        <f t="shared" si="4"/>
        <v>12490.662544585002</v>
      </c>
      <c r="K12" s="245">
        <f t="shared" si="0"/>
        <v>5.8965122046652496E-2</v>
      </c>
    </row>
    <row r="13" spans="1:11" ht="15" customHeight="1">
      <c r="A13" s="112"/>
      <c r="B13" s="112"/>
      <c r="C13" s="112"/>
      <c r="D13" s="112"/>
      <c r="E13" s="112"/>
      <c r="F13" s="114"/>
      <c r="G13" s="112"/>
      <c r="H13" s="112"/>
      <c r="I13" s="857"/>
      <c r="J13" s="113"/>
      <c r="K13" s="114" t="str">
        <f t="shared" si="0"/>
        <v/>
      </c>
    </row>
    <row r="14" spans="1:11" ht="15" customHeight="1">
      <c r="A14" s="119" t="s">
        <v>39</v>
      </c>
      <c r="B14" s="240">
        <v>0</v>
      </c>
      <c r="C14" s="241">
        <v>0</v>
      </c>
      <c r="D14" s="350">
        <v>0</v>
      </c>
      <c r="E14" s="240">
        <v>0.55231900000000023</v>
      </c>
      <c r="F14" s="120">
        <f t="shared" si="1"/>
        <v>-1</v>
      </c>
      <c r="G14" s="240">
        <v>0</v>
      </c>
      <c r="H14" s="241">
        <v>0.55231900000000023</v>
      </c>
      <c r="I14" s="123">
        <f t="shared" si="2"/>
        <v>-1</v>
      </c>
      <c r="J14" s="240">
        <v>2.1206869999999993</v>
      </c>
      <c r="K14" s="120">
        <f t="shared" si="0"/>
        <v>-0.7395565682252967</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0</v>
      </c>
      <c r="C16" s="251">
        <f t="shared" ref="C16:E16" si="5">+C15-C14</f>
        <v>0</v>
      </c>
      <c r="D16" s="411">
        <f t="shared" si="5"/>
        <v>0</v>
      </c>
      <c r="E16" s="250">
        <f t="shared" si="5"/>
        <v>-0.55231900000000023</v>
      </c>
      <c r="F16" s="122"/>
      <c r="G16" s="250">
        <f t="shared" ref="G16:H16" si="6">+G15-G14</f>
        <v>0</v>
      </c>
      <c r="H16" s="251">
        <f t="shared" si="6"/>
        <v>-0.55231900000000023</v>
      </c>
      <c r="I16" s="124"/>
      <c r="J16" s="250">
        <f>+J15-J14</f>
        <v>-2.1206869999999993</v>
      </c>
      <c r="K16" s="122"/>
    </row>
    <row r="17" spans="1:11" ht="11.25" customHeight="1">
      <c r="A17" s="236"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8"/>
      <c r="C42" s="898"/>
      <c r="D42" s="898"/>
      <c r="E42" s="93"/>
      <c r="F42" s="93"/>
      <c r="G42" s="899"/>
      <c r="H42" s="899"/>
      <c r="I42" s="899"/>
      <c r="J42" s="899"/>
      <c r="K42" s="89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marzo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Mensual-Marzo 2020
INFSGI-MES-03-2020
14/04/2020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60" zoomScaleNormal="100" zoomScaleSheetLayoutView="160" zoomScalePageLayoutView="145" workbookViewId="0">
      <selection activeCell="R40" sqref="R40"/>
    </sheetView>
  </sheetViews>
  <sheetFormatPr baseColWidth="10"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08" t="str">
        <f>+"3.2. PRODUCCIÓN POR TIPO DE RECURSO ENERGÉTICO (GWh)"</f>
        <v>3.2. PRODUCCIÓN POR TIPO DE RECURSO ENERGÉTICO (GWh)</v>
      </c>
      <c r="B2" s="908"/>
      <c r="C2" s="908"/>
      <c r="D2" s="908"/>
      <c r="E2" s="908"/>
      <c r="F2" s="908"/>
      <c r="G2" s="908"/>
      <c r="H2" s="908"/>
      <c r="I2" s="908"/>
      <c r="J2" s="908"/>
      <c r="K2" s="908"/>
    </row>
    <row r="3" spans="1:12" ht="18.75" customHeight="1">
      <c r="A3" s="126"/>
      <c r="B3" s="127"/>
      <c r="C3" s="128"/>
      <c r="D3" s="129"/>
      <c r="E3" s="129"/>
      <c r="F3" s="129"/>
      <c r="G3" s="130"/>
      <c r="H3" s="130"/>
      <c r="I3" s="130"/>
      <c r="J3" s="126"/>
      <c r="K3" s="126"/>
      <c r="L3" s="36"/>
    </row>
    <row r="4" spans="1:12" ht="14.25" customHeight="1">
      <c r="A4" s="912" t="s">
        <v>43</v>
      </c>
      <c r="B4" s="909" t="s">
        <v>33</v>
      </c>
      <c r="C4" s="910"/>
      <c r="D4" s="910"/>
      <c r="E4" s="910" t="s">
        <v>34</v>
      </c>
      <c r="F4" s="910"/>
      <c r="G4" s="911" t="str">
        <f>+'3. Tipo Generación'!G6:K6</f>
        <v>Generación Acumulada a marzo</v>
      </c>
      <c r="H4" s="911"/>
      <c r="I4" s="911"/>
      <c r="J4" s="911"/>
      <c r="K4" s="911"/>
      <c r="L4" s="131"/>
    </row>
    <row r="5" spans="1:12" ht="26.25" customHeight="1">
      <c r="A5" s="912"/>
      <c r="B5" s="481">
        <f>+'3. Tipo Generación'!B7</f>
        <v>43833</v>
      </c>
      <c r="C5" s="481">
        <f>+'3. Tipo Generación'!C7</f>
        <v>43863</v>
      </c>
      <c r="D5" s="481">
        <f>+'3. Tipo Generación'!D7</f>
        <v>43891</v>
      </c>
      <c r="E5" s="481">
        <f>+'3. Tipo Generación'!E7</f>
        <v>43526</v>
      </c>
      <c r="F5" s="482" t="s">
        <v>35</v>
      </c>
      <c r="G5" s="483">
        <v>2020</v>
      </c>
      <c r="H5" s="483">
        <v>2019</v>
      </c>
      <c r="I5" s="482" t="s">
        <v>500</v>
      </c>
      <c r="J5" s="483">
        <v>2018</v>
      </c>
      <c r="K5" s="482" t="s">
        <v>427</v>
      </c>
      <c r="L5" s="19"/>
    </row>
    <row r="6" spans="1:12" ht="11.25" customHeight="1">
      <c r="A6" s="139" t="s">
        <v>44</v>
      </c>
      <c r="B6" s="292">
        <v>3224.7240291725007</v>
      </c>
      <c r="C6" s="293">
        <v>3030.9696211625001</v>
      </c>
      <c r="D6" s="294">
        <v>3109.2738750449998</v>
      </c>
      <c r="E6" s="292">
        <v>3029.7496984825048</v>
      </c>
      <c r="F6" s="257">
        <f>IF(E6=0,"",D6/E6-1)</f>
        <v>2.6247771095521788E-2</v>
      </c>
      <c r="G6" s="292">
        <v>9364.9675253799978</v>
      </c>
      <c r="H6" s="293">
        <v>8628.7302733500055</v>
      </c>
      <c r="I6" s="257">
        <f t="shared" ref="I6:I16" si="0">IF(H6=0,"",G6/H6-1)</f>
        <v>8.5323938598923954E-2</v>
      </c>
      <c r="J6" s="292">
        <v>8568.9995954850019</v>
      </c>
      <c r="K6" s="257">
        <f>IF(J6=0,"",H6/J6-1)</f>
        <v>6.9705544036291478E-3</v>
      </c>
      <c r="L6" s="24"/>
    </row>
    <row r="7" spans="1:12" ht="11.25" customHeight="1">
      <c r="A7" s="140" t="s">
        <v>50</v>
      </c>
      <c r="B7" s="295">
        <v>1121.8780219674998</v>
      </c>
      <c r="C7" s="252">
        <v>1109.88527731</v>
      </c>
      <c r="D7" s="296">
        <v>645.55112891250008</v>
      </c>
      <c r="E7" s="295">
        <v>1229.4359231525002</v>
      </c>
      <c r="F7" s="258">
        <f t="shared" ref="F7:F18" si="1">IF(E7=0,"",D7/E7-1)</f>
        <v>-0.47492088301992341</v>
      </c>
      <c r="G7" s="295">
        <v>2877.3144281899999</v>
      </c>
      <c r="H7" s="252">
        <v>3738.5829622295314</v>
      </c>
      <c r="I7" s="258">
        <f t="shared" si="0"/>
        <v>-0.23037298964362363</v>
      </c>
      <c r="J7" s="295">
        <v>3201.4786680450002</v>
      </c>
      <c r="K7" s="258">
        <f t="shared" ref="K7:K19" si="2">IF(J7=0,"",H7/J7-1)</f>
        <v>0.16776756926277336</v>
      </c>
      <c r="L7" s="22"/>
    </row>
    <row r="8" spans="1:12" ht="11.25" customHeight="1">
      <c r="A8" s="141" t="s">
        <v>51</v>
      </c>
      <c r="B8" s="297">
        <v>54.747452270000004</v>
      </c>
      <c r="C8" s="253">
        <v>46.633775425000003</v>
      </c>
      <c r="D8" s="298">
        <v>28.289728122500001</v>
      </c>
      <c r="E8" s="297">
        <v>27.660493342499954</v>
      </c>
      <c r="F8" s="409">
        <f t="shared" si="1"/>
        <v>2.2748501706339352E-2</v>
      </c>
      <c r="G8" s="297">
        <v>129.67095581750002</v>
      </c>
      <c r="H8" s="253">
        <v>124.62211466499994</v>
      </c>
      <c r="I8" s="409">
        <f t="shared" si="0"/>
        <v>4.05132039852798E-2</v>
      </c>
      <c r="J8" s="297">
        <v>115.425600015</v>
      </c>
      <c r="K8" s="409">
        <f t="shared" si="2"/>
        <v>7.9674826457950543E-2</v>
      </c>
      <c r="L8" s="22"/>
    </row>
    <row r="9" spans="1:12" ht="11.25" customHeight="1">
      <c r="A9" s="140" t="s">
        <v>52</v>
      </c>
      <c r="B9" s="295">
        <v>7.2127218224999998</v>
      </c>
      <c r="C9" s="252">
        <v>8.6365410575000006</v>
      </c>
      <c r="D9" s="296">
        <v>0</v>
      </c>
      <c r="E9" s="295">
        <v>7.9362857324999974</v>
      </c>
      <c r="F9" s="258">
        <f t="shared" si="1"/>
        <v>-1</v>
      </c>
      <c r="G9" s="295">
        <v>15.849262879999999</v>
      </c>
      <c r="H9" s="252">
        <v>45.245062725000004</v>
      </c>
      <c r="I9" s="258">
        <f t="shared" si="0"/>
        <v>-0.64970182544928723</v>
      </c>
      <c r="J9" s="295">
        <v>65.598765225000008</v>
      </c>
      <c r="K9" s="258">
        <f t="shared" si="2"/>
        <v>-0.31027569543707068</v>
      </c>
      <c r="L9" s="22"/>
    </row>
    <row r="10" spans="1:12" ht="11.25" customHeight="1">
      <c r="A10" s="141" t="s">
        <v>53</v>
      </c>
      <c r="B10" s="297">
        <v>0</v>
      </c>
      <c r="C10" s="253">
        <v>0</v>
      </c>
      <c r="D10" s="298">
        <v>0</v>
      </c>
      <c r="E10" s="297">
        <v>0</v>
      </c>
      <c r="F10" s="409" t="str">
        <f t="shared" si="1"/>
        <v/>
      </c>
      <c r="G10" s="297">
        <v>0</v>
      </c>
      <c r="H10" s="253">
        <v>0</v>
      </c>
      <c r="I10" s="409" t="str">
        <f t="shared" si="0"/>
        <v/>
      </c>
      <c r="J10" s="297">
        <v>0</v>
      </c>
      <c r="K10" s="409" t="str">
        <f t="shared" si="2"/>
        <v/>
      </c>
      <c r="L10" s="22"/>
    </row>
    <row r="11" spans="1:12" ht="11.25" customHeight="1">
      <c r="A11" s="140" t="s">
        <v>26</v>
      </c>
      <c r="B11" s="295">
        <v>0</v>
      </c>
      <c r="C11" s="252">
        <v>0</v>
      </c>
      <c r="D11" s="296">
        <v>0</v>
      </c>
      <c r="E11" s="295">
        <v>0</v>
      </c>
      <c r="F11" s="258" t="str">
        <f t="shared" si="1"/>
        <v/>
      </c>
      <c r="G11" s="295">
        <v>0</v>
      </c>
      <c r="H11" s="252">
        <v>18.283256609999999</v>
      </c>
      <c r="I11" s="258">
        <f t="shared" si="0"/>
        <v>-1</v>
      </c>
      <c r="J11" s="295">
        <v>20.235010845000001</v>
      </c>
      <c r="K11" s="258">
        <f t="shared" si="2"/>
        <v>-9.6454321173851665E-2</v>
      </c>
      <c r="L11" s="24"/>
    </row>
    <row r="12" spans="1:12" ht="11.25" customHeight="1">
      <c r="A12" s="141" t="s">
        <v>45</v>
      </c>
      <c r="B12" s="297">
        <v>0</v>
      </c>
      <c r="C12" s="253">
        <v>0.38548680499999999</v>
      </c>
      <c r="D12" s="298">
        <v>0.83815456749999995</v>
      </c>
      <c r="E12" s="297">
        <v>18.24047812249999</v>
      </c>
      <c r="F12" s="409">
        <f t="shared" si="1"/>
        <v>-0.95404974793582198</v>
      </c>
      <c r="G12" s="297">
        <v>1.2236413724999999</v>
      </c>
      <c r="H12" s="253">
        <v>36.708258054999995</v>
      </c>
      <c r="I12" s="409">
        <f t="shared" si="0"/>
        <v>-0.96666577393384845</v>
      </c>
      <c r="J12" s="297">
        <v>1.7503584000000003</v>
      </c>
      <c r="K12" s="409">
        <f t="shared" si="2"/>
        <v>19.971852424623432</v>
      </c>
      <c r="L12" s="22"/>
    </row>
    <row r="13" spans="1:12" ht="11.25" customHeight="1">
      <c r="A13" s="140" t="s">
        <v>46</v>
      </c>
      <c r="B13" s="295">
        <v>0</v>
      </c>
      <c r="C13" s="252">
        <v>0</v>
      </c>
      <c r="D13" s="296">
        <v>0</v>
      </c>
      <c r="E13" s="295">
        <v>0</v>
      </c>
      <c r="F13" s="258" t="str">
        <f>IF(E13=0,"",D13/E13-1)</f>
        <v/>
      </c>
      <c r="G13" s="295">
        <v>0</v>
      </c>
      <c r="H13" s="252">
        <v>6.4617880000000003E-2</v>
      </c>
      <c r="I13" s="258">
        <f t="shared" si="0"/>
        <v>-1</v>
      </c>
      <c r="J13" s="295">
        <v>1.3940739974999998</v>
      </c>
      <c r="K13" s="258">
        <f t="shared" si="2"/>
        <v>-0.95364817067395302</v>
      </c>
      <c r="L13" s="22"/>
    </row>
    <row r="14" spans="1:12" ht="11.25" customHeight="1">
      <c r="A14" s="141" t="s">
        <v>47</v>
      </c>
      <c r="B14" s="297">
        <v>0.72036455499999996</v>
      </c>
      <c r="C14" s="253">
        <v>2.1768834875</v>
      </c>
      <c r="D14" s="298">
        <v>1.4583466525000002</v>
      </c>
      <c r="E14" s="297">
        <v>34.470011722500033</v>
      </c>
      <c r="F14" s="409">
        <f>IF(E14=0,"",D14/E14-1)</f>
        <v>-0.95769230761392299</v>
      </c>
      <c r="G14" s="297">
        <v>4.3555946950000006</v>
      </c>
      <c r="H14" s="253">
        <v>57.35700473296879</v>
      </c>
      <c r="I14" s="409">
        <f t="shared" si="0"/>
        <v>-0.9240616779889762</v>
      </c>
      <c r="J14" s="297">
        <v>42.771222889999997</v>
      </c>
      <c r="K14" s="409">
        <f t="shared" si="2"/>
        <v>0.34101858346395275</v>
      </c>
      <c r="L14" s="22"/>
    </row>
    <row r="15" spans="1:12" ht="11.25" customHeight="1">
      <c r="A15" s="140" t="s">
        <v>48</v>
      </c>
      <c r="B15" s="295">
        <v>18.995276042500002</v>
      </c>
      <c r="C15" s="252">
        <v>15.622573404999999</v>
      </c>
      <c r="D15" s="296">
        <v>18.440101082499996</v>
      </c>
      <c r="E15" s="295">
        <v>15.076702807500006</v>
      </c>
      <c r="F15" s="258">
        <f t="shared" si="1"/>
        <v>0.22308579786601923</v>
      </c>
      <c r="G15" s="295">
        <v>53.057950529999999</v>
      </c>
      <c r="H15" s="252">
        <v>30.590131572500006</v>
      </c>
      <c r="I15" s="258">
        <f>IF(H15=0,"",G15/H15-1)</f>
        <v>0.73447931743118655</v>
      </c>
      <c r="J15" s="295">
        <v>20.527350567499997</v>
      </c>
      <c r="K15" s="258">
        <f t="shared" si="2"/>
        <v>0.49021333619799634</v>
      </c>
      <c r="L15" s="22"/>
    </row>
    <row r="16" spans="1:12" ht="11.25" customHeight="1">
      <c r="A16" s="141" t="s">
        <v>49</v>
      </c>
      <c r="B16" s="297">
        <v>5.0390936999999996</v>
      </c>
      <c r="C16" s="253">
        <v>5.0259928500000006</v>
      </c>
      <c r="D16" s="298">
        <v>4.7712980750000007</v>
      </c>
      <c r="E16" s="297">
        <v>6.3870999224999983</v>
      </c>
      <c r="F16" s="409">
        <f t="shared" si="1"/>
        <v>-0.25297895243629609</v>
      </c>
      <c r="G16" s="297">
        <v>14.836384625000001</v>
      </c>
      <c r="H16" s="253">
        <v>17.826914409999997</v>
      </c>
      <c r="I16" s="409">
        <f t="shared" si="0"/>
        <v>-0.16775364015448802</v>
      </c>
      <c r="J16" s="297">
        <v>12.789943279999999</v>
      </c>
      <c r="K16" s="409">
        <f t="shared" si="2"/>
        <v>0.3938227887121637</v>
      </c>
      <c r="L16" s="22"/>
    </row>
    <row r="17" spans="1:12" ht="11.25" customHeight="1">
      <c r="A17" s="140" t="s">
        <v>30</v>
      </c>
      <c r="B17" s="295">
        <v>57.710546254999997</v>
      </c>
      <c r="C17" s="252">
        <v>54.229612817500005</v>
      </c>
      <c r="D17" s="296">
        <v>60.122201322499997</v>
      </c>
      <c r="E17" s="295">
        <v>68.403388252499965</v>
      </c>
      <c r="F17" s="258">
        <f t="shared" si="1"/>
        <v>-0.12106398734856982</v>
      </c>
      <c r="G17" s="295">
        <v>172.06236039499998</v>
      </c>
      <c r="H17" s="252">
        <v>173.92783748999994</v>
      </c>
      <c r="I17" s="258">
        <f>IF(H17=0,"",G17/H17-1)</f>
        <v>-1.0725580918622191E-2</v>
      </c>
      <c r="J17" s="295">
        <v>168.01405985</v>
      </c>
      <c r="K17" s="258">
        <f t="shared" si="2"/>
        <v>3.5198111665652565E-2</v>
      </c>
      <c r="L17" s="22"/>
    </row>
    <row r="18" spans="1:12" ht="11.25" customHeight="1">
      <c r="A18" s="141" t="s">
        <v>29</v>
      </c>
      <c r="B18" s="297">
        <v>112.79455227750002</v>
      </c>
      <c r="C18" s="253">
        <v>124.22110090749999</v>
      </c>
      <c r="D18" s="298">
        <v>130.312314775</v>
      </c>
      <c r="E18" s="297">
        <v>152.49710963249993</v>
      </c>
      <c r="F18" s="409">
        <f t="shared" si="1"/>
        <v>-0.14547682189493738</v>
      </c>
      <c r="G18" s="297">
        <v>367.32796796000002</v>
      </c>
      <c r="H18" s="253">
        <v>355.23755224999996</v>
      </c>
      <c r="I18" s="409">
        <f>IF(H18=0,"",G18/H18-1)</f>
        <v>3.4034734316295889E-2</v>
      </c>
      <c r="J18" s="297">
        <v>271.67789598500002</v>
      </c>
      <c r="K18" s="409">
        <f t="shared" si="2"/>
        <v>0.30756884347195279</v>
      </c>
      <c r="L18" s="22"/>
    </row>
    <row r="19" spans="1:12" ht="11.25" customHeight="1">
      <c r="A19" s="146" t="s">
        <v>42</v>
      </c>
      <c r="B19" s="299">
        <f>SUM(B6:B18)</f>
        <v>4603.8220580625002</v>
      </c>
      <c r="C19" s="300">
        <f>SUM(C6:C18)</f>
        <v>4397.786865227501</v>
      </c>
      <c r="D19" s="750">
        <f>SUM(D6:D18)</f>
        <v>3999.0571485549999</v>
      </c>
      <c r="E19" s="299">
        <f>SUM(E6:E18)</f>
        <v>4589.8571911700046</v>
      </c>
      <c r="F19" s="410">
        <f>IF(E19=0,"",D19/E19-1)</f>
        <v>-0.12871861106083859</v>
      </c>
      <c r="G19" s="299">
        <f>SUM(G6:G18)</f>
        <v>13000.666071844998</v>
      </c>
      <c r="H19" s="300">
        <f>SUM(H6:H18)</f>
        <v>13227.175985970007</v>
      </c>
      <c r="I19" s="410">
        <f>IF(H19=0,"",G19/H19-1)</f>
        <v>-1.7124586107062134E-2</v>
      </c>
      <c r="J19" s="299">
        <f>SUM(J6:J18)</f>
        <v>12490.662544585002</v>
      </c>
      <c r="K19" s="410">
        <f t="shared" si="2"/>
        <v>5.8965122046652496E-2</v>
      </c>
      <c r="L19" s="30"/>
    </row>
    <row r="20" spans="1:12" ht="11.25" customHeight="1">
      <c r="A20" s="22"/>
      <c r="B20" s="22"/>
      <c r="C20" s="22"/>
      <c r="D20" s="22"/>
      <c r="E20" s="22"/>
      <c r="F20" s="22"/>
      <c r="G20" s="22"/>
      <c r="H20" s="22"/>
      <c r="I20" s="22"/>
      <c r="J20" s="22"/>
      <c r="K20" s="22"/>
      <c r="L20" s="22"/>
    </row>
    <row r="21" spans="1:12" ht="11.25" customHeight="1">
      <c r="A21" s="142" t="s">
        <v>39</v>
      </c>
      <c r="B21" s="240">
        <v>0</v>
      </c>
      <c r="C21" s="241">
        <v>0</v>
      </c>
      <c r="D21" s="350">
        <v>0</v>
      </c>
      <c r="E21" s="704">
        <v>0.55231900000000023</v>
      </c>
      <c r="F21" s="120">
        <f>IF(E21=0,"",D21/E21-1)</f>
        <v>-1</v>
      </c>
      <c r="G21" s="240">
        <v>0</v>
      </c>
      <c r="H21" s="349">
        <v>0.55231900000000023</v>
      </c>
      <c r="I21" s="123">
        <f>IF(H21=0,"",G21/H21-1)</f>
        <v>-1</v>
      </c>
      <c r="J21" s="240">
        <v>2.1206869999999993</v>
      </c>
      <c r="K21" s="120">
        <f>IF(J21=0,"",H21/J21-1)</f>
        <v>-0.7395565682252967</v>
      </c>
      <c r="L21" s="22"/>
    </row>
    <row r="22" spans="1:12" ht="11.25" customHeight="1">
      <c r="A22" s="143" t="s">
        <v>40</v>
      </c>
      <c r="B22" s="237">
        <v>0</v>
      </c>
      <c r="C22" s="238">
        <v>0</v>
      </c>
      <c r="D22" s="239">
        <v>0</v>
      </c>
      <c r="E22" s="705">
        <v>0</v>
      </c>
      <c r="F22" s="703" t="str">
        <f>IF(E22=0,"",D22/E22-1)</f>
        <v/>
      </c>
      <c r="G22" s="237">
        <v>0</v>
      </c>
      <c r="H22" s="238">
        <v>0</v>
      </c>
      <c r="I22" s="115" t="str">
        <f>IF(H22=0,"",G22/H22-1)</f>
        <v/>
      </c>
      <c r="J22" s="237">
        <v>0</v>
      </c>
      <c r="K22" s="121" t="str">
        <f>IF(J22=0,"",H22/J22-1)</f>
        <v/>
      </c>
      <c r="L22" s="22"/>
    </row>
    <row r="23" spans="1:12" ht="23.25" customHeight="1">
      <c r="A23" s="144" t="s">
        <v>41</v>
      </c>
      <c r="B23" s="250">
        <f>+B22-B21</f>
        <v>0</v>
      </c>
      <c r="C23" s="251">
        <f>+C22-C21</f>
        <v>0</v>
      </c>
      <c r="D23" s="411">
        <f>+D22-D21</f>
        <v>0</v>
      </c>
      <c r="E23" s="706">
        <f>+E22-E21</f>
        <v>-0.55231900000000023</v>
      </c>
      <c r="F23" s="251"/>
      <c r="G23" s="250">
        <f>+G22-G21</f>
        <v>0</v>
      </c>
      <c r="H23" s="251">
        <f>+H22-H21</f>
        <v>-0.55231900000000023</v>
      </c>
      <c r="I23" s="124"/>
      <c r="J23" s="250">
        <f>+J22-J21</f>
        <v>-2.1206869999999993</v>
      </c>
      <c r="K23" s="122"/>
      <c r="L23" s="30"/>
    </row>
    <row r="24" spans="1:12" ht="11.25" customHeight="1">
      <c r="A24" s="235"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marzo.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Mensual-Marzo 2020
INFSGI-MES-03-2020
14/04/2020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115" zoomScaleNormal="100" zoomScaleSheetLayoutView="115" zoomScalePageLayoutView="145" workbookViewId="0">
      <selection activeCell="R40" sqref="R40"/>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65"/>
  </cols>
  <sheetData>
    <row r="1" spans="1:12" ht="11.25" customHeight="1"/>
    <row r="2" spans="1:12" ht="11.25" customHeight="1">
      <c r="A2" s="914" t="s">
        <v>230</v>
      </c>
      <c r="B2" s="914"/>
      <c r="C2" s="914"/>
      <c r="D2" s="914"/>
      <c r="E2" s="914"/>
      <c r="F2" s="914"/>
      <c r="G2" s="914"/>
      <c r="H2" s="914"/>
      <c r="I2" s="914"/>
      <c r="J2" s="914"/>
      <c r="K2" s="914"/>
      <c r="L2" s="566"/>
    </row>
    <row r="3" spans="1:12" ht="11.25" customHeight="1">
      <c r="A3" s="74"/>
      <c r="B3" s="73"/>
      <c r="C3" s="73"/>
      <c r="D3" s="73"/>
      <c r="E3" s="73"/>
      <c r="F3" s="73"/>
      <c r="G3" s="73"/>
      <c r="H3" s="73"/>
      <c r="I3" s="73"/>
      <c r="J3" s="73"/>
      <c r="K3" s="73"/>
      <c r="L3" s="566"/>
    </row>
    <row r="4" spans="1:12" ht="15.75" customHeight="1">
      <c r="A4" s="912" t="s">
        <v>226</v>
      </c>
      <c r="B4" s="909" t="s">
        <v>33</v>
      </c>
      <c r="C4" s="910"/>
      <c r="D4" s="910"/>
      <c r="E4" s="910" t="s">
        <v>34</v>
      </c>
      <c r="F4" s="910"/>
      <c r="G4" s="911" t="str">
        <f>+'4. Tipo Recurso'!G4:K4</f>
        <v>Generación Acumulada a marzo</v>
      </c>
      <c r="H4" s="911"/>
      <c r="I4" s="911"/>
      <c r="J4" s="911"/>
      <c r="K4" s="911"/>
      <c r="L4" s="567"/>
    </row>
    <row r="5" spans="1:12" ht="29.25" customHeight="1">
      <c r="A5" s="912"/>
      <c r="B5" s="481">
        <f>+'4. Tipo Recurso'!B5</f>
        <v>43833</v>
      </c>
      <c r="C5" s="481">
        <f>+'4. Tipo Recurso'!C5</f>
        <v>43863</v>
      </c>
      <c r="D5" s="481">
        <f>+'4. Tipo Recurso'!D5</f>
        <v>43891</v>
      </c>
      <c r="E5" s="481">
        <f>+'4. Tipo Recurso'!E5</f>
        <v>43526</v>
      </c>
      <c r="F5" s="481" t="s">
        <v>35</v>
      </c>
      <c r="G5" s="483">
        <v>2020</v>
      </c>
      <c r="H5" s="483">
        <v>2019</v>
      </c>
      <c r="I5" s="482" t="s">
        <v>500</v>
      </c>
      <c r="J5" s="483">
        <v>2018</v>
      </c>
      <c r="K5" s="482" t="s">
        <v>427</v>
      </c>
      <c r="L5" s="568"/>
    </row>
    <row r="6" spans="1:12" ht="11.25" customHeight="1">
      <c r="A6" s="139" t="s">
        <v>44</v>
      </c>
      <c r="B6" s="292">
        <v>231.14771608749996</v>
      </c>
      <c r="C6" s="293">
        <v>217.83093042749999</v>
      </c>
      <c r="D6" s="294">
        <v>240.75035519750003</v>
      </c>
      <c r="E6" s="292">
        <v>176.43664973750003</v>
      </c>
      <c r="F6" s="257">
        <f t="shared" ref="F6:F11" si="0">IF(E6=0,"",D6/E6-1)</f>
        <v>0.36451443368305303</v>
      </c>
      <c r="G6" s="292">
        <v>689.72900171249989</v>
      </c>
      <c r="H6" s="293">
        <v>471.03825487000006</v>
      </c>
      <c r="I6" s="261">
        <f t="shared" ref="I6:I11" si="1">IF(H6=0,"",G6/H6-1)</f>
        <v>0.46427385585244108</v>
      </c>
      <c r="J6" s="292">
        <v>345.17591021750007</v>
      </c>
      <c r="K6" s="257">
        <f t="shared" ref="K6:K11" si="2">IF(J6=0,"",H6/J6-1)</f>
        <v>0.36463246978386299</v>
      </c>
      <c r="L6" s="569"/>
    </row>
    <row r="7" spans="1:12" ht="11.25" customHeight="1">
      <c r="A7" s="140" t="s">
        <v>38</v>
      </c>
      <c r="B7" s="295">
        <v>112.79455227750002</v>
      </c>
      <c r="C7" s="252">
        <v>124.22110090749999</v>
      </c>
      <c r="D7" s="296">
        <v>130.312314775</v>
      </c>
      <c r="E7" s="295">
        <v>152.49710963249993</v>
      </c>
      <c r="F7" s="258">
        <f t="shared" si="0"/>
        <v>-0.14547682189493738</v>
      </c>
      <c r="G7" s="295">
        <v>367.32796796000002</v>
      </c>
      <c r="H7" s="252">
        <v>355.23755224999996</v>
      </c>
      <c r="I7" s="247">
        <f t="shared" si="1"/>
        <v>3.4034734316295889E-2</v>
      </c>
      <c r="J7" s="295">
        <v>271.67789598500002</v>
      </c>
      <c r="K7" s="258">
        <f t="shared" si="2"/>
        <v>0.30756884347195279</v>
      </c>
      <c r="L7" s="569"/>
    </row>
    <row r="8" spans="1:12" ht="11.25" customHeight="1">
      <c r="A8" s="255" t="s">
        <v>30</v>
      </c>
      <c r="B8" s="422">
        <v>57.710546254999997</v>
      </c>
      <c r="C8" s="301">
        <v>54.229612817500005</v>
      </c>
      <c r="D8" s="423">
        <v>60.122201322499997</v>
      </c>
      <c r="E8" s="422">
        <v>68.403388252499965</v>
      </c>
      <c r="F8" s="259">
        <f t="shared" si="0"/>
        <v>-0.12106398734856982</v>
      </c>
      <c r="G8" s="422">
        <v>172.06236039499998</v>
      </c>
      <c r="H8" s="301">
        <v>173.92783748999994</v>
      </c>
      <c r="I8" s="254">
        <f t="shared" si="1"/>
        <v>-1.0725580918622191E-2</v>
      </c>
      <c r="J8" s="422">
        <v>168.01405985</v>
      </c>
      <c r="K8" s="259">
        <f t="shared" si="2"/>
        <v>3.5198111665652565E-2</v>
      </c>
      <c r="L8" s="569"/>
    </row>
    <row r="9" spans="1:12" ht="11.25" customHeight="1">
      <c r="A9" s="140" t="s">
        <v>48</v>
      </c>
      <c r="B9" s="295">
        <v>18.995276042500002</v>
      </c>
      <c r="C9" s="252">
        <v>15.622573404999999</v>
      </c>
      <c r="D9" s="296">
        <v>18.440101082499996</v>
      </c>
      <c r="E9" s="295">
        <v>15.076702807500006</v>
      </c>
      <c r="F9" s="258">
        <f t="shared" si="0"/>
        <v>0.22308579786601923</v>
      </c>
      <c r="G9" s="295">
        <v>53.057950529999999</v>
      </c>
      <c r="H9" s="252">
        <v>30.590131572500006</v>
      </c>
      <c r="I9" s="247">
        <f t="shared" si="1"/>
        <v>0.73447931743118655</v>
      </c>
      <c r="J9" s="295">
        <v>20.527350567499997</v>
      </c>
      <c r="K9" s="258">
        <f t="shared" si="2"/>
        <v>0.49021333619799634</v>
      </c>
      <c r="L9" s="570"/>
    </row>
    <row r="10" spans="1:12" ht="11.25" customHeight="1">
      <c r="A10" s="256" t="s">
        <v>49</v>
      </c>
      <c r="B10" s="424">
        <v>5.0390936999999996</v>
      </c>
      <c r="C10" s="425">
        <v>5.0259928500000006</v>
      </c>
      <c r="D10" s="426">
        <v>4.7712980750000007</v>
      </c>
      <c r="E10" s="424">
        <v>6.3870999224999983</v>
      </c>
      <c r="F10" s="260">
        <f t="shared" si="0"/>
        <v>-0.25297895243629609</v>
      </c>
      <c r="G10" s="424">
        <v>14.836384625000001</v>
      </c>
      <c r="H10" s="425">
        <v>17.826914409999997</v>
      </c>
      <c r="I10" s="262">
        <f t="shared" si="1"/>
        <v>-0.16775364015448802</v>
      </c>
      <c r="J10" s="424">
        <v>12.789943279999999</v>
      </c>
      <c r="K10" s="260">
        <f t="shared" si="2"/>
        <v>0.3938227887121637</v>
      </c>
      <c r="L10" s="569"/>
    </row>
    <row r="11" spans="1:12" ht="11.25" customHeight="1">
      <c r="A11" s="263" t="s">
        <v>223</v>
      </c>
      <c r="B11" s="362">
        <f>+B6+B7+B8+B9+B10</f>
        <v>425.68718436249998</v>
      </c>
      <c r="C11" s="363">
        <f t="shared" ref="C11:D11" si="3">+C6+C7+C8+C9+C10</f>
        <v>416.93021040750006</v>
      </c>
      <c r="D11" s="364">
        <f t="shared" si="3"/>
        <v>454.39627045250006</v>
      </c>
      <c r="E11" s="365">
        <f>+E6+E7+E8+E9+E10</f>
        <v>418.80095035249991</v>
      </c>
      <c r="F11" s="264">
        <f t="shared" si="0"/>
        <v>8.4993408133481996E-2</v>
      </c>
      <c r="G11" s="420">
        <f>+G6+G7+G8+G9+G10</f>
        <v>1297.0136652224999</v>
      </c>
      <c r="H11" s="421">
        <f>+H6+H7+H8+H9+H10</f>
        <v>1048.6206905925001</v>
      </c>
      <c r="I11" s="265">
        <f t="shared" si="1"/>
        <v>0.23687590456531127</v>
      </c>
      <c r="J11" s="420">
        <f>+J6+J7+J8+J9+J10</f>
        <v>818.18515990000003</v>
      </c>
      <c r="K11" s="264">
        <f t="shared" si="2"/>
        <v>0.2816422760841375</v>
      </c>
      <c r="L11" s="567"/>
    </row>
    <row r="12" spans="1:12" ht="24.75" customHeight="1">
      <c r="A12" s="266" t="s">
        <v>224</v>
      </c>
      <c r="B12" s="267">
        <f>B11/'4. Tipo Recurso'!B19</f>
        <v>9.246386567374168E-2</v>
      </c>
      <c r="C12" s="740">
        <f>C11/'4. Tipo Recurso'!C19</f>
        <v>9.4804551285577576E-2</v>
      </c>
      <c r="D12" s="573">
        <f>D11/'4. Tipo Recurso'!D19</f>
        <v>0.11362585068750253</v>
      </c>
      <c r="E12" s="267">
        <f>E11/'4. Tipo Recurso'!E19</f>
        <v>9.1244876018842541E-2</v>
      </c>
      <c r="F12" s="268"/>
      <c r="G12" s="267">
        <f>G11/'4. Tipo Recurso'!G19</f>
        <v>9.9765170342417178E-2</v>
      </c>
      <c r="H12" s="265">
        <f>H11/'4. Tipo Recurso'!H19</f>
        <v>7.9277745431433455E-2</v>
      </c>
      <c r="I12" s="265"/>
      <c r="J12" s="267">
        <f>J11/'4. Tipo Recurso'!J19</f>
        <v>6.5503743855020932E-2</v>
      </c>
      <c r="K12" s="268"/>
      <c r="L12" s="567"/>
    </row>
    <row r="13" spans="1:12" ht="11.25" customHeight="1">
      <c r="A13" s="269" t="s">
        <v>225</v>
      </c>
      <c r="B13" s="134"/>
      <c r="C13" s="134"/>
      <c r="D13" s="134"/>
      <c r="E13" s="134"/>
      <c r="F13" s="134"/>
      <c r="G13" s="134"/>
      <c r="H13" s="134"/>
      <c r="I13" s="134"/>
      <c r="J13" s="134"/>
      <c r="K13" s="135"/>
      <c r="L13" s="567"/>
    </row>
    <row r="14" spans="1:12" ht="35.25" customHeight="1">
      <c r="A14" s="915" t="s">
        <v>482</v>
      </c>
      <c r="B14" s="915"/>
      <c r="C14" s="915"/>
      <c r="D14" s="915"/>
      <c r="E14" s="915"/>
      <c r="F14" s="915"/>
      <c r="G14" s="915"/>
      <c r="H14" s="915"/>
      <c r="I14" s="915"/>
      <c r="J14" s="915"/>
      <c r="K14" s="915"/>
      <c r="L14" s="567"/>
    </row>
    <row r="15" spans="1:12" ht="11.25" customHeight="1">
      <c r="A15" s="31"/>
      <c r="L15" s="567"/>
    </row>
    <row r="16" spans="1:12" ht="11.25" customHeight="1">
      <c r="A16" s="136"/>
      <c r="B16" s="147"/>
      <c r="C16" s="147"/>
      <c r="D16" s="147"/>
      <c r="E16" s="147"/>
      <c r="F16" s="147"/>
      <c r="G16" s="147"/>
      <c r="H16" s="147"/>
      <c r="I16" s="147"/>
      <c r="J16" s="147"/>
      <c r="K16" s="147"/>
      <c r="L16" s="567"/>
    </row>
    <row r="17" spans="1:12" ht="11.25" customHeight="1">
      <c r="A17" s="147"/>
      <c r="B17" s="147"/>
      <c r="C17" s="147"/>
      <c r="D17" s="147"/>
      <c r="E17" s="147"/>
      <c r="F17" s="147"/>
      <c r="G17" s="147"/>
      <c r="H17" s="147"/>
      <c r="I17" s="147"/>
      <c r="J17" s="147"/>
      <c r="K17" s="147"/>
      <c r="L17" s="567"/>
    </row>
    <row r="18" spans="1:12" ht="11.25" customHeight="1">
      <c r="A18" s="147"/>
      <c r="B18" s="147"/>
      <c r="C18" s="147"/>
      <c r="D18" s="147"/>
      <c r="E18" s="147"/>
      <c r="F18" s="147"/>
      <c r="G18" s="147"/>
      <c r="H18" s="147"/>
      <c r="I18" s="147"/>
      <c r="J18" s="147"/>
      <c r="K18" s="147"/>
      <c r="L18" s="571"/>
    </row>
    <row r="19" spans="1:12" ht="11.25" customHeight="1">
      <c r="A19" s="136"/>
      <c r="B19" s="138"/>
      <c r="C19" s="138"/>
      <c r="D19" s="138"/>
      <c r="E19" s="138"/>
      <c r="F19" s="138"/>
      <c r="G19" s="138"/>
      <c r="H19" s="138"/>
      <c r="I19" s="138"/>
      <c r="J19" s="138"/>
      <c r="K19" s="138"/>
      <c r="L19" s="567"/>
    </row>
    <row r="20" spans="1:12" ht="11.25" customHeight="1">
      <c r="A20" s="136"/>
      <c r="B20" s="138"/>
      <c r="C20" s="138"/>
      <c r="D20" s="138"/>
      <c r="E20" s="138"/>
      <c r="F20" s="138"/>
      <c r="G20" s="138"/>
      <c r="H20" s="138"/>
      <c r="I20" s="138"/>
      <c r="J20" s="138"/>
      <c r="K20" s="138"/>
      <c r="L20" s="567"/>
    </row>
    <row r="21" spans="1:12" ht="11.25" customHeight="1">
      <c r="A21" s="136"/>
      <c r="B21" s="138"/>
      <c r="C21" s="138"/>
      <c r="D21" s="138"/>
      <c r="E21" s="138"/>
      <c r="F21" s="138"/>
      <c r="G21" s="138"/>
      <c r="H21" s="138"/>
      <c r="I21" s="138"/>
      <c r="J21" s="138"/>
      <c r="K21" s="138"/>
      <c r="L21" s="567"/>
    </row>
    <row r="22" spans="1:12" ht="11.25" customHeight="1">
      <c r="A22" s="136"/>
      <c r="B22" s="138"/>
      <c r="C22" s="138"/>
      <c r="D22" s="138"/>
      <c r="E22" s="138"/>
      <c r="F22" s="138"/>
      <c r="G22" s="138"/>
      <c r="H22" s="138"/>
      <c r="I22" s="138"/>
      <c r="J22" s="138"/>
      <c r="K22" s="138"/>
      <c r="L22" s="571"/>
    </row>
    <row r="23" spans="1:12" ht="11.25" customHeight="1">
      <c r="A23" s="136"/>
      <c r="B23" s="138"/>
      <c r="C23" s="138"/>
      <c r="D23" s="138"/>
      <c r="E23" s="138"/>
      <c r="F23" s="138"/>
      <c r="G23" s="138"/>
      <c r="H23" s="138"/>
      <c r="I23" s="138"/>
      <c r="J23" s="138"/>
      <c r="K23" s="138"/>
      <c r="L23" s="567"/>
    </row>
    <row r="24" spans="1:12" ht="11.25" customHeight="1">
      <c r="A24" s="136"/>
      <c r="B24" s="138"/>
      <c r="C24" s="138"/>
      <c r="D24" s="138"/>
      <c r="E24" s="138"/>
      <c r="F24" s="138"/>
      <c r="G24" s="138"/>
      <c r="H24" s="138"/>
      <c r="I24" s="138"/>
      <c r="J24" s="138"/>
      <c r="K24" s="138"/>
      <c r="L24" s="567"/>
    </row>
    <row r="25" spans="1:12" ht="11.25" customHeight="1">
      <c r="A25" s="136"/>
      <c r="B25" s="138"/>
      <c r="C25" s="138"/>
      <c r="D25" s="138"/>
      <c r="E25" s="138"/>
      <c r="F25" s="138"/>
      <c r="G25" s="138"/>
      <c r="H25" s="138"/>
      <c r="I25" s="138"/>
      <c r="J25" s="138"/>
      <c r="K25" s="138"/>
      <c r="L25" s="567"/>
    </row>
    <row r="26" spans="1:12" ht="11.25" customHeight="1">
      <c r="A26" s="136"/>
      <c r="B26" s="138"/>
      <c r="C26" s="138"/>
      <c r="D26" s="138"/>
      <c r="E26" s="138"/>
      <c r="F26" s="138"/>
      <c r="G26" s="138"/>
      <c r="H26" s="138"/>
      <c r="I26" s="138"/>
      <c r="J26" s="138"/>
      <c r="K26" s="138"/>
      <c r="L26" s="567"/>
    </row>
    <row r="27" spans="1:12" ht="11.25" customHeight="1">
      <c r="A27" s="136"/>
      <c r="B27" s="138"/>
      <c r="C27" s="138"/>
      <c r="D27" s="138"/>
      <c r="E27" s="138"/>
      <c r="F27" s="138"/>
      <c r="G27" s="138"/>
      <c r="H27" s="138"/>
      <c r="I27" s="138"/>
      <c r="J27" s="138"/>
      <c r="K27" s="138"/>
      <c r="L27" s="567"/>
    </row>
    <row r="28" spans="1:12" ht="11.25" customHeight="1">
      <c r="A28" s="136"/>
      <c r="B28" s="138"/>
      <c r="C28" s="138"/>
      <c r="D28" s="138"/>
      <c r="E28" s="138"/>
      <c r="F28" s="138"/>
      <c r="G28" s="138"/>
      <c r="H28" s="138"/>
      <c r="I28" s="138"/>
      <c r="J28" s="138"/>
      <c r="K28" s="138"/>
      <c r="L28" s="567"/>
    </row>
    <row r="29" spans="1:12" ht="11.25" customHeight="1">
      <c r="A29" s="136"/>
      <c r="B29" s="138"/>
      <c r="C29" s="138"/>
      <c r="D29" s="138"/>
      <c r="E29" s="138"/>
      <c r="F29" s="138"/>
      <c r="G29" s="138"/>
      <c r="H29" s="138"/>
      <c r="I29" s="138"/>
      <c r="J29" s="138"/>
      <c r="K29" s="138"/>
      <c r="L29" s="567"/>
    </row>
    <row r="30" spans="1:12" ht="11.25" customHeight="1">
      <c r="A30" s="136"/>
      <c r="B30" s="138"/>
      <c r="C30" s="138"/>
      <c r="D30" s="138"/>
      <c r="E30" s="138"/>
      <c r="F30" s="138"/>
      <c r="G30" s="138"/>
      <c r="H30" s="138"/>
      <c r="I30" s="138"/>
      <c r="J30" s="138"/>
      <c r="K30" s="138"/>
      <c r="L30" s="567"/>
    </row>
    <row r="31" spans="1:12" ht="11.25" customHeight="1">
      <c r="A31" s="136"/>
      <c r="B31" s="138"/>
      <c r="C31" s="138"/>
      <c r="D31" s="138"/>
      <c r="E31" s="138"/>
      <c r="F31" s="138"/>
      <c r="G31" s="138"/>
      <c r="H31" s="138"/>
      <c r="I31" s="138"/>
      <c r="J31" s="138"/>
      <c r="K31" s="138"/>
      <c r="L31" s="567"/>
    </row>
    <row r="32" spans="1:12" ht="11.25" customHeight="1">
      <c r="A32" s="136"/>
      <c r="B32" s="138"/>
      <c r="C32" s="138"/>
      <c r="D32" s="138"/>
      <c r="E32" s="138"/>
      <c r="F32" s="138"/>
      <c r="G32" s="138"/>
      <c r="H32" s="138"/>
      <c r="I32" s="138"/>
      <c r="J32" s="138"/>
      <c r="K32" s="138"/>
      <c r="L32" s="567"/>
    </row>
    <row r="33" spans="1:16" ht="11.25" customHeight="1">
      <c r="A33" s="136"/>
      <c r="B33" s="138"/>
      <c r="C33" s="138"/>
      <c r="D33" s="138"/>
      <c r="E33" s="138"/>
      <c r="F33" s="138"/>
      <c r="G33" s="138"/>
      <c r="H33" s="138"/>
      <c r="I33" s="138"/>
      <c r="J33" s="138"/>
      <c r="K33" s="138"/>
      <c r="L33" s="567"/>
    </row>
    <row r="34" spans="1:16" ht="11.25" customHeight="1">
      <c r="A34" s="913" t="str">
        <f>"Gráfico N° 6: Comparación de la producción de energía eléctrica acumulada (GWh) con recursos energéticos renovables en "&amp;'1. Resumen'!Q4&amp;"."</f>
        <v>Gráfico N° 6: Comparación de la producción de energía eléctrica acumulada (GWh) con recursos energéticos renovables en marzo.</v>
      </c>
      <c r="B34" s="913"/>
      <c r="C34" s="913"/>
      <c r="D34" s="913"/>
      <c r="E34" s="913"/>
      <c r="F34" s="913"/>
      <c r="G34" s="913"/>
      <c r="H34" s="913"/>
      <c r="I34" s="913"/>
      <c r="J34" s="913"/>
      <c r="K34" s="913"/>
      <c r="L34" s="865"/>
      <c r="M34" s="291"/>
      <c r="N34" s="291"/>
      <c r="O34" s="291"/>
    </row>
    <row r="35" spans="1:16" ht="11.25" customHeight="1">
      <c r="L35" s="866"/>
      <c r="M35" s="291"/>
      <c r="N35" s="291"/>
      <c r="O35" s="291"/>
    </row>
    <row r="36" spans="1:16" ht="11.25" customHeight="1">
      <c r="A36" s="136"/>
      <c r="B36" s="138"/>
      <c r="C36" s="138"/>
      <c r="D36" s="138"/>
      <c r="E36" s="138"/>
      <c r="F36" s="138"/>
      <c r="G36" s="138"/>
      <c r="H36" s="138"/>
      <c r="I36" s="138"/>
      <c r="J36" s="138"/>
      <c r="K36" s="138"/>
      <c r="L36" s="865"/>
      <c r="M36" s="291"/>
      <c r="N36" s="291"/>
      <c r="O36" s="291"/>
    </row>
    <row r="37" spans="1:16" ht="11.25" customHeight="1">
      <c r="A37" s="136"/>
      <c r="B37" s="138"/>
      <c r="C37" s="138"/>
      <c r="D37" s="138"/>
      <c r="E37" s="138"/>
      <c r="F37" s="138"/>
      <c r="G37" s="138"/>
      <c r="H37" s="138"/>
      <c r="I37" s="138"/>
      <c r="J37" s="138"/>
      <c r="K37" s="138"/>
      <c r="L37" s="865"/>
      <c r="M37" s="291"/>
      <c r="N37" s="291"/>
      <c r="O37" s="291"/>
    </row>
    <row r="38" spans="1:16" ht="11.25" customHeight="1">
      <c r="A38" s="136"/>
      <c r="B38" s="138"/>
      <c r="C38" s="138"/>
      <c r="D38" s="138"/>
      <c r="E38" s="138"/>
      <c r="F38" s="138"/>
      <c r="G38" s="138"/>
      <c r="H38" s="138"/>
      <c r="I38" s="138"/>
      <c r="J38" s="138"/>
      <c r="K38" s="138"/>
      <c r="L38" s="865"/>
      <c r="M38" s="291"/>
      <c r="N38" s="291"/>
      <c r="O38" s="291"/>
    </row>
    <row r="39" spans="1:16" ht="11.25" customHeight="1">
      <c r="A39" s="136"/>
      <c r="B39" s="138"/>
      <c r="C39" s="270" t="s">
        <v>228</v>
      </c>
      <c r="D39" s="158"/>
      <c r="E39" s="158"/>
      <c r="F39" s="419">
        <f>+'4. Tipo Recurso'!D19</f>
        <v>3999.0571485549999</v>
      </c>
      <c r="G39" s="270" t="s">
        <v>227</v>
      </c>
      <c r="H39" s="138"/>
      <c r="I39" s="138"/>
      <c r="J39" s="138"/>
      <c r="K39" s="138"/>
      <c r="L39" s="865"/>
      <c r="M39" s="867">
        <f>+F39-F40</f>
        <v>3544.6571485549998</v>
      </c>
      <c r="N39" s="291"/>
      <c r="O39" s="291"/>
      <c r="P39" s="572"/>
    </row>
    <row r="40" spans="1:16" ht="11.25" customHeight="1">
      <c r="A40" s="136"/>
      <c r="B40" s="138"/>
      <c r="C40" s="270" t="s">
        <v>229</v>
      </c>
      <c r="D40" s="158"/>
      <c r="E40" s="158"/>
      <c r="F40" s="419">
        <f>ROUND(D11,2)</f>
        <v>454.4</v>
      </c>
      <c r="G40" s="270" t="s">
        <v>227</v>
      </c>
      <c r="H40" s="138"/>
      <c r="I40" s="138"/>
      <c r="J40" s="138"/>
      <c r="K40" s="138"/>
      <c r="L40" s="865"/>
      <c r="M40" s="868"/>
      <c r="N40" s="291"/>
      <c r="O40" s="291"/>
      <c r="P40" s="572"/>
    </row>
    <row r="41" spans="1:16" ht="11.25" customHeight="1">
      <c r="A41" s="136"/>
      <c r="B41" s="138"/>
      <c r="C41" s="138"/>
      <c r="D41" s="138"/>
      <c r="E41" s="138"/>
      <c r="F41" s="138"/>
      <c r="G41" s="138"/>
      <c r="H41" s="138"/>
      <c r="I41" s="138"/>
      <c r="J41" s="138"/>
      <c r="K41" s="138"/>
      <c r="L41" s="865"/>
      <c r="M41" s="291"/>
      <c r="N41" s="291"/>
      <c r="O41" s="291"/>
      <c r="P41" s="572"/>
    </row>
    <row r="42" spans="1:16" ht="11.25" customHeight="1">
      <c r="A42" s="136"/>
      <c r="B42" s="138"/>
      <c r="C42" s="138"/>
      <c r="D42" s="138"/>
      <c r="E42" s="138"/>
      <c r="F42" s="138"/>
      <c r="G42" s="138"/>
      <c r="H42" s="138"/>
      <c r="I42" s="138"/>
      <c r="J42" s="138"/>
      <c r="K42" s="138"/>
      <c r="L42" s="865"/>
      <c r="M42" s="291"/>
      <c r="N42" s="291"/>
      <c r="O42" s="291"/>
      <c r="P42" s="572"/>
    </row>
    <row r="43" spans="1:16" ht="11.25" customHeight="1">
      <c r="A43" s="136"/>
      <c r="B43" s="138"/>
      <c r="C43" s="138"/>
      <c r="D43" s="138"/>
      <c r="E43" s="138"/>
      <c r="F43" s="138"/>
      <c r="G43" s="138"/>
      <c r="H43" s="138"/>
      <c r="I43" s="138"/>
      <c r="J43" s="138"/>
      <c r="K43" s="138"/>
      <c r="L43" s="567"/>
      <c r="P43" s="572"/>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marzo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115" zoomScaleNormal="100" zoomScaleSheetLayoutView="115" zoomScalePageLayoutView="85" workbookViewId="0">
      <selection activeCell="R40" sqref="R40"/>
    </sheetView>
  </sheetViews>
  <sheetFormatPr baseColWidth="10"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4" t="s">
        <v>235</v>
      </c>
      <c r="B2" s="914"/>
      <c r="C2" s="914"/>
      <c r="D2" s="914"/>
      <c r="E2" s="914"/>
      <c r="F2" s="914"/>
      <c r="G2" s="914"/>
      <c r="H2" s="914"/>
      <c r="I2" s="914"/>
      <c r="J2" s="17"/>
    </row>
    <row r="3" spans="1:14" ht="6" customHeight="1">
      <c r="A3" s="17"/>
      <c r="B3" s="17"/>
      <c r="C3" s="17"/>
      <c r="D3" s="17"/>
      <c r="E3" s="17"/>
      <c r="F3" s="17"/>
      <c r="G3" s="17"/>
      <c r="H3" s="17"/>
      <c r="I3" s="17"/>
      <c r="J3" s="17"/>
      <c r="K3" s="334"/>
      <c r="L3" s="334"/>
    </row>
    <row r="4" spans="1:14" ht="11.25" customHeight="1">
      <c r="A4" s="918" t="s">
        <v>245</v>
      </c>
      <c r="B4" s="919" t="str">
        <f>+'1. Resumen'!Q4</f>
        <v>marzo</v>
      </c>
      <c r="C4" s="920"/>
      <c r="D4" s="920"/>
      <c r="E4" s="138"/>
      <c r="F4" s="138"/>
      <c r="G4" s="921" t="s">
        <v>501</v>
      </c>
      <c r="H4" s="921"/>
      <c r="I4" s="921"/>
      <c r="J4" s="138"/>
      <c r="L4" s="335"/>
      <c r="M4" s="336">
        <v>2020</v>
      </c>
      <c r="N4" s="336">
        <v>2019</v>
      </c>
    </row>
    <row r="5" spans="1:14" ht="11.25" customHeight="1">
      <c r="A5" s="918"/>
      <c r="B5" s="484">
        <f>+'1. Resumen'!Q5</f>
        <v>2020</v>
      </c>
      <c r="C5" s="485">
        <f>+B5-1</f>
        <v>2019</v>
      </c>
      <c r="D5" s="485" t="s">
        <v>35</v>
      </c>
      <c r="E5" s="138"/>
      <c r="F5" s="138"/>
      <c r="G5" s="138"/>
      <c r="H5" s="138"/>
      <c r="I5" s="138"/>
      <c r="J5" s="138"/>
      <c r="K5" s="337"/>
      <c r="L5" s="341" t="s">
        <v>105</v>
      </c>
      <c r="M5" s="339">
        <v>0</v>
      </c>
      <c r="N5" s="339">
        <v>7.9362857324999982</v>
      </c>
    </row>
    <row r="6" spans="1:14" ht="10.5" customHeight="1">
      <c r="A6" s="395" t="s">
        <v>89</v>
      </c>
      <c r="B6" s="412">
        <v>578.28590052000015</v>
      </c>
      <c r="C6" s="413">
        <v>615.24603204000584</v>
      </c>
      <c r="D6" s="396">
        <f>IF(C6=0,"",B6/C6-1)</f>
        <v>-6.0073742202700453E-2</v>
      </c>
      <c r="E6" s="138"/>
      <c r="F6" s="138"/>
      <c r="G6" s="138"/>
      <c r="H6" s="138"/>
      <c r="I6" s="138"/>
      <c r="J6" s="138"/>
      <c r="K6" s="340"/>
      <c r="L6" s="341" t="s">
        <v>244</v>
      </c>
      <c r="M6" s="339">
        <v>0</v>
      </c>
      <c r="N6" s="339">
        <v>0.39424732999999995</v>
      </c>
    </row>
    <row r="7" spans="1:14" ht="10.5" customHeight="1">
      <c r="A7" s="397" t="s">
        <v>88</v>
      </c>
      <c r="B7" s="414">
        <v>501.10765055000007</v>
      </c>
      <c r="C7" s="414">
        <v>625.1504230325005</v>
      </c>
      <c r="D7" s="398">
        <f t="shared" ref="D7:D64" si="0">IF(C7=0,"",B7/C7-1)</f>
        <v>-0.19842068070719621</v>
      </c>
      <c r="E7" s="408"/>
      <c r="F7" s="138"/>
      <c r="G7" s="138"/>
      <c r="H7" s="138"/>
      <c r="I7" s="138"/>
      <c r="J7" s="138"/>
      <c r="L7" s="339" t="s">
        <v>236</v>
      </c>
      <c r="M7" s="339">
        <v>0</v>
      </c>
      <c r="N7" s="339">
        <v>0</v>
      </c>
    </row>
    <row r="8" spans="1:14" ht="10.5" customHeight="1">
      <c r="A8" s="395" t="s">
        <v>413</v>
      </c>
      <c r="B8" s="413">
        <v>405.7590323325</v>
      </c>
      <c r="C8" s="413">
        <v>571.52723051000009</v>
      </c>
      <c r="D8" s="396">
        <f t="shared" si="0"/>
        <v>-0.29004426968348906</v>
      </c>
      <c r="E8" s="138"/>
      <c r="F8" s="138"/>
      <c r="G8" s="138"/>
      <c r="H8" s="138"/>
      <c r="I8" s="138"/>
      <c r="J8" s="138"/>
      <c r="L8" s="341" t="s">
        <v>121</v>
      </c>
      <c r="M8" s="339">
        <v>0</v>
      </c>
      <c r="N8" s="339">
        <v>4.1045960774999983</v>
      </c>
    </row>
    <row r="9" spans="1:14" ht="10.5" customHeight="1">
      <c r="A9" s="397" t="s">
        <v>87</v>
      </c>
      <c r="B9" s="414">
        <v>390.99026932750002</v>
      </c>
      <c r="C9" s="414">
        <v>381.01805673000001</v>
      </c>
      <c r="D9" s="398">
        <f t="shared" si="0"/>
        <v>2.6172545949880277E-2</v>
      </c>
      <c r="E9" s="138"/>
      <c r="F9" s="138"/>
      <c r="G9" s="138"/>
      <c r="H9" s="138"/>
      <c r="I9" s="138"/>
      <c r="J9" s="138"/>
      <c r="L9" s="341" t="s">
        <v>416</v>
      </c>
      <c r="M9" s="339">
        <v>0.19839899999999999</v>
      </c>
      <c r="N9" s="339">
        <v>0.51303150000000064</v>
      </c>
    </row>
    <row r="10" spans="1:14" ht="10.5" customHeight="1">
      <c r="A10" s="395" t="s">
        <v>90</v>
      </c>
      <c r="B10" s="413">
        <v>261.68172815000003</v>
      </c>
      <c r="C10" s="413">
        <v>253.06915443750006</v>
      </c>
      <c r="D10" s="396">
        <f t="shared" si="0"/>
        <v>3.4032490967313755E-2</v>
      </c>
      <c r="E10" s="138"/>
      <c r="F10" s="138"/>
      <c r="G10" s="138"/>
      <c r="H10" s="138"/>
      <c r="I10" s="138"/>
      <c r="J10" s="138"/>
      <c r="K10" s="337"/>
      <c r="L10" s="339" t="s">
        <v>118</v>
      </c>
      <c r="M10" s="339">
        <v>0.38917514249999996</v>
      </c>
      <c r="N10" s="339">
        <v>0.29388901250000005</v>
      </c>
    </row>
    <row r="11" spans="1:14" ht="10.5" customHeight="1">
      <c r="A11" s="397" t="s">
        <v>237</v>
      </c>
      <c r="B11" s="414">
        <v>258.05347482249999</v>
      </c>
      <c r="C11" s="414">
        <v>293.13882698750007</v>
      </c>
      <c r="D11" s="398">
        <f t="shared" si="0"/>
        <v>-0.11968851934614644</v>
      </c>
      <c r="E11" s="138"/>
      <c r="F11" s="138"/>
      <c r="G11" s="138"/>
      <c r="H11" s="138"/>
      <c r="I11" s="138"/>
      <c r="J11" s="138"/>
      <c r="K11" s="340"/>
      <c r="L11" s="339" t="s">
        <v>243</v>
      </c>
      <c r="M11" s="339">
        <v>0.58010283249999994</v>
      </c>
      <c r="N11" s="339">
        <v>0</v>
      </c>
    </row>
    <row r="12" spans="1:14" ht="10.5" customHeight="1">
      <c r="A12" s="395" t="s">
        <v>241</v>
      </c>
      <c r="B12" s="413">
        <v>257.81253351750001</v>
      </c>
      <c r="C12" s="413">
        <v>241.03782233249984</v>
      </c>
      <c r="D12" s="396">
        <f t="shared" si="0"/>
        <v>6.9593688752548788E-2</v>
      </c>
      <c r="E12" s="138"/>
      <c r="F12" s="138"/>
      <c r="G12" s="138"/>
      <c r="H12" s="138"/>
      <c r="I12" s="138"/>
      <c r="J12" s="138"/>
      <c r="K12" s="340"/>
      <c r="L12" s="339" t="s">
        <v>460</v>
      </c>
      <c r="M12" s="339">
        <v>0.61246642750000002</v>
      </c>
      <c r="N12" s="339">
        <v>4.5796630000000053E-2</v>
      </c>
    </row>
    <row r="13" spans="1:14" ht="10.5" customHeight="1">
      <c r="A13" s="397" t="s">
        <v>94</v>
      </c>
      <c r="B13" s="414">
        <v>148.91854442749997</v>
      </c>
      <c r="C13" s="414">
        <v>151.41145608499994</v>
      </c>
      <c r="D13" s="399">
        <f t="shared" si="0"/>
        <v>-1.6464485065783241E-2</v>
      </c>
      <c r="E13" s="138"/>
      <c r="F13" s="138"/>
      <c r="G13" s="138"/>
      <c r="H13" s="138"/>
      <c r="I13" s="138"/>
      <c r="J13" s="138"/>
      <c r="K13" s="340"/>
      <c r="L13" s="341" t="s">
        <v>119</v>
      </c>
      <c r="M13" s="339">
        <v>0.83815456749999995</v>
      </c>
      <c r="N13" s="339">
        <v>18.409838889999989</v>
      </c>
    </row>
    <row r="14" spans="1:14" ht="10.5" customHeight="1">
      <c r="A14" s="395" t="s">
        <v>91</v>
      </c>
      <c r="B14" s="413">
        <v>126.77993473749996</v>
      </c>
      <c r="C14" s="413">
        <v>117.59070845749994</v>
      </c>
      <c r="D14" s="396">
        <f t="shared" si="0"/>
        <v>7.8145853533327481E-2</v>
      </c>
      <c r="E14" s="138"/>
      <c r="F14" s="138"/>
      <c r="G14" s="138"/>
      <c r="H14" s="138"/>
      <c r="I14" s="138"/>
      <c r="J14" s="138"/>
      <c r="K14" s="340"/>
      <c r="L14" s="341" t="s">
        <v>117</v>
      </c>
      <c r="M14" s="339">
        <v>1.9293764824999999</v>
      </c>
      <c r="N14" s="339">
        <v>1.3730487500000019</v>
      </c>
    </row>
    <row r="15" spans="1:14" ht="10.5" customHeight="1">
      <c r="A15" s="397" t="s">
        <v>93</v>
      </c>
      <c r="B15" s="414">
        <v>121.23679420000001</v>
      </c>
      <c r="C15" s="414">
        <v>108.96512791249992</v>
      </c>
      <c r="D15" s="398">
        <f t="shared" si="0"/>
        <v>0.11262012464533022</v>
      </c>
      <c r="E15" s="138"/>
      <c r="F15" s="138"/>
      <c r="G15" s="138"/>
      <c r="H15" s="138"/>
      <c r="I15" s="138"/>
      <c r="J15" s="138"/>
      <c r="K15" s="340"/>
      <c r="L15" s="339" t="s">
        <v>622</v>
      </c>
      <c r="M15" s="339">
        <v>2.5413475275000001</v>
      </c>
      <c r="N15" s="339"/>
    </row>
    <row r="16" spans="1:14" ht="10.5" customHeight="1">
      <c r="A16" s="395" t="s">
        <v>239</v>
      </c>
      <c r="B16" s="413">
        <v>106.9974427825</v>
      </c>
      <c r="C16" s="413">
        <v>214.72006534750017</v>
      </c>
      <c r="D16" s="396">
        <f t="shared" si="0"/>
        <v>-0.50168866328660655</v>
      </c>
      <c r="E16" s="138"/>
      <c r="F16" s="138"/>
      <c r="G16" s="138"/>
      <c r="H16" s="138"/>
      <c r="I16" s="138"/>
      <c r="J16" s="138" t="s">
        <v>8</v>
      </c>
      <c r="K16" s="340"/>
      <c r="L16" s="339" t="s">
        <v>116</v>
      </c>
      <c r="M16" s="339">
        <v>2.5821000000000001</v>
      </c>
      <c r="N16" s="339">
        <v>2.5378000000001144</v>
      </c>
    </row>
    <row r="17" spans="1:14" ht="10.5" customHeight="1">
      <c r="A17" s="397" t="s">
        <v>92</v>
      </c>
      <c r="B17" s="414">
        <v>92.068668492499995</v>
      </c>
      <c r="C17" s="414">
        <v>123.57826838499999</v>
      </c>
      <c r="D17" s="398">
        <f t="shared" si="0"/>
        <v>-0.25497686854078505</v>
      </c>
      <c r="E17" s="138"/>
      <c r="F17" s="138"/>
      <c r="G17" s="138"/>
      <c r="H17" s="138"/>
      <c r="I17" s="138"/>
      <c r="J17" s="138"/>
      <c r="K17" s="340"/>
      <c r="L17" s="339" t="s">
        <v>115</v>
      </c>
      <c r="M17" s="339">
        <v>2.6403305499999998</v>
      </c>
      <c r="N17" s="339">
        <v>2.2362401824999947</v>
      </c>
    </row>
    <row r="18" spans="1:14" ht="10.5" customHeight="1">
      <c r="A18" s="395" t="s">
        <v>100</v>
      </c>
      <c r="B18" s="413">
        <v>83.499016690000005</v>
      </c>
      <c r="C18" s="413">
        <v>177.88556034249979</v>
      </c>
      <c r="D18" s="396">
        <f t="shared" si="0"/>
        <v>-0.53060261592210467</v>
      </c>
      <c r="E18" s="138"/>
      <c r="F18" s="138"/>
      <c r="G18" s="138"/>
      <c r="H18" s="138"/>
      <c r="I18" s="138"/>
      <c r="J18" s="138"/>
      <c r="K18" s="343"/>
      <c r="L18" s="339" t="s">
        <v>112</v>
      </c>
      <c r="M18" s="339">
        <v>3.4606206225</v>
      </c>
      <c r="N18" s="339">
        <v>3.9595181199999985</v>
      </c>
    </row>
    <row r="19" spans="1:14" ht="10.5" customHeight="1">
      <c r="A19" s="397" t="s">
        <v>98</v>
      </c>
      <c r="B19" s="414">
        <v>76.706314362499995</v>
      </c>
      <c r="C19" s="414">
        <v>91.497038912499903</v>
      </c>
      <c r="D19" s="398">
        <f t="shared" si="0"/>
        <v>-0.16165249417682814</v>
      </c>
      <c r="E19" s="138"/>
      <c r="F19" s="138"/>
      <c r="G19" s="138"/>
      <c r="H19" s="138"/>
      <c r="I19" s="138"/>
      <c r="J19" s="138"/>
      <c r="K19" s="340"/>
      <c r="L19" s="341" t="s">
        <v>114</v>
      </c>
      <c r="M19" s="339">
        <v>3.5931083225</v>
      </c>
      <c r="N19" s="339">
        <v>2.9748708674999977</v>
      </c>
    </row>
    <row r="20" spans="1:14" ht="10.5" customHeight="1">
      <c r="A20" s="395" t="s">
        <v>95</v>
      </c>
      <c r="B20" s="413">
        <v>66.232919159999994</v>
      </c>
      <c r="C20" s="413">
        <v>81.505072820000009</v>
      </c>
      <c r="D20" s="396">
        <f t="shared" si="0"/>
        <v>-0.18737672554109386</v>
      </c>
      <c r="E20" s="138"/>
      <c r="F20" s="138"/>
      <c r="G20" s="138"/>
      <c r="H20" s="138"/>
      <c r="I20" s="138"/>
      <c r="J20" s="138"/>
      <c r="K20" s="340"/>
      <c r="L20" s="339" t="s">
        <v>110</v>
      </c>
      <c r="M20" s="339">
        <v>3.6113244249999998</v>
      </c>
      <c r="N20" s="339">
        <v>4.3965500774999953</v>
      </c>
    </row>
    <row r="21" spans="1:14" ht="10.5" customHeight="1">
      <c r="A21" s="397" t="s">
        <v>435</v>
      </c>
      <c r="B21" s="414">
        <v>51.470511979999998</v>
      </c>
      <c r="C21" s="414">
        <v>66.617895147500022</v>
      </c>
      <c r="D21" s="398">
        <f t="shared" si="0"/>
        <v>-0.22737709040434106</v>
      </c>
      <c r="E21" s="138"/>
      <c r="F21" s="138"/>
      <c r="G21" s="138"/>
      <c r="H21" s="138"/>
      <c r="I21" s="138"/>
      <c r="J21" s="138"/>
      <c r="K21" s="340"/>
      <c r="L21" s="341" t="s">
        <v>111</v>
      </c>
      <c r="M21" s="339">
        <v>3.7421603000000001</v>
      </c>
      <c r="N21" s="339">
        <v>4.0272974424999983</v>
      </c>
    </row>
    <row r="22" spans="1:14" ht="10.5" customHeight="1">
      <c r="A22" s="395" t="s">
        <v>465</v>
      </c>
      <c r="B22" s="413">
        <v>50.153221312500001</v>
      </c>
      <c r="C22" s="413">
        <v>51.133396575000006</v>
      </c>
      <c r="D22" s="396">
        <f t="shared" si="0"/>
        <v>-1.9168984033015146E-2</v>
      </c>
      <c r="E22" s="138"/>
      <c r="F22" s="138"/>
      <c r="G22" s="138"/>
      <c r="H22" s="138"/>
      <c r="I22" s="138"/>
      <c r="J22" s="138"/>
      <c r="K22" s="343"/>
      <c r="L22" s="339" t="s">
        <v>109</v>
      </c>
      <c r="M22" s="339">
        <v>3.9183697999999998</v>
      </c>
      <c r="N22" s="339">
        <v>4.7288161700000053</v>
      </c>
    </row>
    <row r="23" spans="1:14" ht="10.5" customHeight="1">
      <c r="A23" s="397" t="s">
        <v>108</v>
      </c>
      <c r="B23" s="414">
        <v>46.415177182500003</v>
      </c>
      <c r="C23" s="414">
        <v>23.791657720000007</v>
      </c>
      <c r="D23" s="398">
        <f t="shared" si="0"/>
        <v>0.95090135074875271</v>
      </c>
      <c r="E23" s="138"/>
      <c r="F23" s="138"/>
      <c r="G23" s="138"/>
      <c r="H23" s="138"/>
      <c r="I23" s="138"/>
      <c r="J23" s="138"/>
      <c r="K23" s="340"/>
      <c r="L23" s="341" t="s">
        <v>107</v>
      </c>
      <c r="M23" s="339">
        <v>4.0166999925000004</v>
      </c>
      <c r="N23" s="339">
        <v>4.7602555000000022</v>
      </c>
    </row>
    <row r="24" spans="1:14" ht="10.5" customHeight="1">
      <c r="A24" s="395" t="s">
        <v>99</v>
      </c>
      <c r="B24" s="413">
        <v>40.093562445000003</v>
      </c>
      <c r="C24" s="413">
        <v>48.806111047500011</v>
      </c>
      <c r="D24" s="396">
        <f t="shared" si="0"/>
        <v>-0.1785134774213134</v>
      </c>
      <c r="E24" s="138"/>
      <c r="F24" s="138"/>
      <c r="G24" s="138"/>
      <c r="H24" s="138"/>
      <c r="I24" s="138"/>
      <c r="J24" s="138"/>
      <c r="K24" s="340"/>
      <c r="L24" s="341" t="s">
        <v>414</v>
      </c>
      <c r="M24" s="339">
        <v>4.7712980749999998</v>
      </c>
      <c r="N24" s="339">
        <v>6.3870999224999991</v>
      </c>
    </row>
    <row r="25" spans="1:14" ht="10.5" customHeight="1">
      <c r="A25" s="397" t="s">
        <v>238</v>
      </c>
      <c r="B25" s="414">
        <v>33.63841386</v>
      </c>
      <c r="C25" s="414">
        <v>36.639661237499993</v>
      </c>
      <c r="D25" s="398">
        <f t="shared" si="0"/>
        <v>-8.1912530742185852E-2</v>
      </c>
      <c r="E25" s="138"/>
      <c r="F25" s="138"/>
      <c r="G25" s="138"/>
      <c r="H25" s="138"/>
      <c r="I25" s="138"/>
      <c r="J25" s="138"/>
      <c r="K25" s="340"/>
      <c r="L25" s="341" t="s">
        <v>436</v>
      </c>
      <c r="M25" s="339">
        <v>5.7953986249999998</v>
      </c>
      <c r="N25" s="339">
        <v>3.2791699999999988</v>
      </c>
    </row>
    <row r="26" spans="1:14" ht="10.5" customHeight="1">
      <c r="A26" s="395" t="s">
        <v>97</v>
      </c>
      <c r="B26" s="413">
        <v>33.458428797499998</v>
      </c>
      <c r="C26" s="413">
        <v>32.665406682499963</v>
      </c>
      <c r="D26" s="396">
        <f t="shared" si="0"/>
        <v>2.4277123585449978E-2</v>
      </c>
      <c r="E26" s="138"/>
      <c r="F26" s="138"/>
      <c r="G26" s="138"/>
      <c r="H26" s="138"/>
      <c r="I26" s="138"/>
      <c r="J26" s="138"/>
      <c r="K26" s="340"/>
      <c r="L26" s="339" t="s">
        <v>477</v>
      </c>
      <c r="M26" s="339">
        <v>6.0877739999999996</v>
      </c>
      <c r="N26" s="339"/>
    </row>
    <row r="27" spans="1:14" ht="10.5" customHeight="1">
      <c r="A27" s="397" t="s">
        <v>96</v>
      </c>
      <c r="B27" s="414">
        <v>28.289728122500001</v>
      </c>
      <c r="C27" s="414">
        <v>40.516591054999942</v>
      </c>
      <c r="D27" s="398">
        <f t="shared" si="0"/>
        <v>-0.30177422665945353</v>
      </c>
      <c r="E27" s="138"/>
      <c r="F27" s="138"/>
      <c r="G27" s="138"/>
      <c r="H27" s="138"/>
      <c r="I27" s="138"/>
      <c r="J27" s="138"/>
      <c r="K27" s="340"/>
      <c r="L27" s="341" t="s">
        <v>106</v>
      </c>
      <c r="M27" s="339">
        <v>6.5569284574999998</v>
      </c>
      <c r="N27" s="339">
        <v>7.6929367300000076</v>
      </c>
    </row>
    <row r="28" spans="1:14" ht="10.5" customHeight="1">
      <c r="A28" s="400" t="s">
        <v>113</v>
      </c>
      <c r="B28" s="413">
        <v>21.279247067500002</v>
      </c>
      <c r="C28" s="413">
        <v>4.7874892349999945</v>
      </c>
      <c r="D28" s="396">
        <f t="shared" si="0"/>
        <v>3.4447613400221098</v>
      </c>
      <c r="E28" s="138"/>
      <c r="F28" s="138"/>
      <c r="G28" s="138"/>
      <c r="H28" s="138"/>
      <c r="I28" s="138"/>
      <c r="J28" s="138"/>
      <c r="K28" s="340"/>
      <c r="L28" s="341" t="s">
        <v>425</v>
      </c>
      <c r="M28" s="339">
        <v>7.2299754350000001</v>
      </c>
      <c r="N28" s="339">
        <v>10.372847454999985</v>
      </c>
    </row>
    <row r="29" spans="1:14" ht="10.5" customHeight="1">
      <c r="A29" s="401" t="s">
        <v>403</v>
      </c>
      <c r="B29" s="414">
        <v>14.935345385</v>
      </c>
      <c r="C29" s="414">
        <v>12.887593042499995</v>
      </c>
      <c r="D29" s="398">
        <f t="shared" si="0"/>
        <v>0.15889331202087464</v>
      </c>
      <c r="E29" s="138"/>
      <c r="F29" s="138"/>
      <c r="G29" s="138"/>
      <c r="H29" s="138"/>
      <c r="I29" s="138"/>
      <c r="J29" s="138"/>
      <c r="K29" s="340"/>
      <c r="L29" s="341" t="s">
        <v>102</v>
      </c>
      <c r="M29" s="339">
        <v>10.081287702499999</v>
      </c>
      <c r="N29" s="339">
        <v>20.230995025000045</v>
      </c>
    </row>
    <row r="30" spans="1:14" ht="10.5" customHeight="1">
      <c r="A30" s="402" t="s">
        <v>451</v>
      </c>
      <c r="B30" s="413">
        <v>14.7821646225</v>
      </c>
      <c r="C30" s="413"/>
      <c r="D30" s="396" t="str">
        <f t="shared" si="0"/>
        <v/>
      </c>
      <c r="E30" s="138"/>
      <c r="F30" s="138"/>
      <c r="G30" s="138"/>
      <c r="H30" s="138"/>
      <c r="I30" s="138"/>
      <c r="J30" s="138"/>
      <c r="K30" s="340"/>
      <c r="L30" s="339" t="s">
        <v>101</v>
      </c>
      <c r="M30" s="339">
        <v>10.436583175000001</v>
      </c>
      <c r="N30" s="339">
        <v>15.595717727499997</v>
      </c>
    </row>
    <row r="31" spans="1:14" ht="10.5" customHeight="1">
      <c r="A31" s="401" t="s">
        <v>103</v>
      </c>
      <c r="B31" s="414">
        <v>14.4516282425</v>
      </c>
      <c r="C31" s="414">
        <v>14.392465999999967</v>
      </c>
      <c r="D31" s="398">
        <f t="shared" si="0"/>
        <v>4.1106397263701577E-3</v>
      </c>
      <c r="E31" s="138"/>
      <c r="F31" s="138"/>
      <c r="G31" s="138"/>
      <c r="H31" s="138"/>
      <c r="I31" s="138"/>
      <c r="J31" s="138"/>
      <c r="K31" s="340"/>
      <c r="L31" s="339" t="s">
        <v>422</v>
      </c>
      <c r="M31" s="339">
        <v>11.0699511325</v>
      </c>
      <c r="N31" s="339">
        <v>14.325506229999972</v>
      </c>
    </row>
    <row r="32" spans="1:14" ht="10.5" customHeight="1">
      <c r="A32" s="402" t="s">
        <v>120</v>
      </c>
      <c r="B32" s="413">
        <v>14.2234413475</v>
      </c>
      <c r="C32" s="413">
        <v>13.214694925000002</v>
      </c>
      <c r="D32" s="396">
        <f t="shared" si="0"/>
        <v>7.6335203213175884E-2</v>
      </c>
      <c r="E32" s="138"/>
      <c r="F32" s="138"/>
      <c r="G32" s="138"/>
      <c r="H32" s="138"/>
      <c r="I32" s="138"/>
      <c r="J32" s="138"/>
      <c r="K32" s="340"/>
      <c r="L32" s="339" t="s">
        <v>478</v>
      </c>
      <c r="M32" s="339">
        <v>11.37651507</v>
      </c>
      <c r="N32" s="339"/>
    </row>
    <row r="33" spans="1:14" ht="18">
      <c r="A33" s="718" t="s">
        <v>429</v>
      </c>
      <c r="B33" s="414">
        <v>14.033587905000001</v>
      </c>
      <c r="C33" s="414">
        <v>13.433331355000018</v>
      </c>
      <c r="D33" s="398">
        <f t="shared" si="0"/>
        <v>4.4684117002485868E-2</v>
      </c>
      <c r="E33" s="138"/>
      <c r="F33" s="138"/>
      <c r="G33" s="138"/>
      <c r="H33" s="138"/>
      <c r="I33" s="138"/>
      <c r="J33" s="138"/>
      <c r="K33" s="340"/>
      <c r="L33" s="341" t="s">
        <v>240</v>
      </c>
      <c r="M33" s="339">
        <v>11.4904932525</v>
      </c>
      <c r="N33" s="339">
        <v>12.288164489999993</v>
      </c>
    </row>
    <row r="34" spans="1:14">
      <c r="A34" s="538" t="s">
        <v>242</v>
      </c>
      <c r="B34" s="413">
        <v>13.8185211275</v>
      </c>
      <c r="C34" s="413">
        <v>16.876416860000006</v>
      </c>
      <c r="D34" s="396">
        <f>IF(C34=0,"",B34/C34-1)</f>
        <v>-0.18119342262442817</v>
      </c>
      <c r="E34" s="138"/>
      <c r="F34" s="138"/>
      <c r="G34" s="138"/>
      <c r="H34" s="138"/>
      <c r="I34" s="138"/>
      <c r="J34" s="138"/>
      <c r="K34" s="344"/>
      <c r="L34" s="341" t="s">
        <v>104</v>
      </c>
      <c r="M34" s="339">
        <v>12.3340041675</v>
      </c>
      <c r="N34" s="339">
        <v>13.889116092499993</v>
      </c>
    </row>
    <row r="35" spans="1:14">
      <c r="A35" s="718" t="s">
        <v>104</v>
      </c>
      <c r="B35" s="414">
        <v>12.3340041675</v>
      </c>
      <c r="C35" s="414">
        <v>13.889116092499993</v>
      </c>
      <c r="D35" s="398">
        <f t="shared" si="0"/>
        <v>-0.11196622698256087</v>
      </c>
      <c r="E35" s="138"/>
      <c r="F35" s="138"/>
      <c r="G35" s="138"/>
      <c r="H35" s="138"/>
      <c r="I35" s="138"/>
      <c r="J35" s="138"/>
      <c r="K35" s="344"/>
      <c r="L35" s="341" t="s">
        <v>242</v>
      </c>
      <c r="M35" s="339">
        <v>13.8185211275</v>
      </c>
      <c r="N35" s="339">
        <v>16.876416860000006</v>
      </c>
    </row>
    <row r="36" spans="1:14" ht="11.25" customHeight="1">
      <c r="A36" s="538" t="s">
        <v>240</v>
      </c>
      <c r="B36" s="413">
        <v>11.4904932525</v>
      </c>
      <c r="C36" s="413">
        <v>12.288164489999993</v>
      </c>
      <c r="D36" s="396">
        <f t="shared" si="0"/>
        <v>-6.4913782538403519E-2</v>
      </c>
      <c r="E36" s="138"/>
      <c r="F36" s="138"/>
      <c r="G36" s="138"/>
      <c r="H36" s="138"/>
      <c r="I36" s="138"/>
      <c r="J36" s="138"/>
      <c r="K36" s="343"/>
      <c r="L36" s="341" t="s">
        <v>429</v>
      </c>
      <c r="M36" s="339">
        <v>14.033587905000001</v>
      </c>
      <c r="N36" s="339">
        <v>13.433331355000018</v>
      </c>
    </row>
    <row r="37" spans="1:14" ht="10.5" customHeight="1">
      <c r="A37" s="401" t="s">
        <v>478</v>
      </c>
      <c r="B37" s="414">
        <v>11.37651507</v>
      </c>
      <c r="C37" s="414"/>
      <c r="D37" s="398" t="str">
        <f t="shared" si="0"/>
        <v/>
      </c>
      <c r="E37" s="138"/>
      <c r="F37" s="138"/>
      <c r="G37" s="138"/>
      <c r="H37" s="138"/>
      <c r="I37" s="138"/>
      <c r="J37" s="138"/>
      <c r="K37" s="343"/>
      <c r="L37" s="339" t="s">
        <v>120</v>
      </c>
      <c r="M37" s="339">
        <v>14.2234413475</v>
      </c>
      <c r="N37" s="339">
        <v>13.214694925000002</v>
      </c>
    </row>
    <row r="38" spans="1:14" ht="10.5" customHeight="1">
      <c r="A38" s="538" t="s">
        <v>422</v>
      </c>
      <c r="B38" s="413">
        <v>11.0699511325</v>
      </c>
      <c r="C38" s="413">
        <v>14.325506229999972</v>
      </c>
      <c r="D38" s="396">
        <f t="shared" si="0"/>
        <v>-0.22725585017598215</v>
      </c>
      <c r="E38" s="138"/>
      <c r="F38" s="138"/>
      <c r="G38" s="138"/>
      <c r="H38" s="138"/>
      <c r="I38" s="138"/>
      <c r="J38" s="138"/>
      <c r="K38" s="343"/>
      <c r="L38" s="341" t="s">
        <v>103</v>
      </c>
      <c r="M38" s="339">
        <v>14.4516282425</v>
      </c>
      <c r="N38" s="339">
        <v>14.392465999999967</v>
      </c>
    </row>
    <row r="39" spans="1:14" ht="10.5" customHeight="1">
      <c r="A39" s="718" t="s">
        <v>101</v>
      </c>
      <c r="B39" s="414">
        <v>10.436583175000001</v>
      </c>
      <c r="C39" s="414">
        <v>15.595717727499997</v>
      </c>
      <c r="D39" s="398">
        <f t="shared" si="0"/>
        <v>-0.33080456075470455</v>
      </c>
      <c r="E39" s="138"/>
      <c r="F39" s="138"/>
      <c r="G39" s="138"/>
      <c r="H39" s="138"/>
      <c r="I39" s="138"/>
      <c r="J39" s="138"/>
      <c r="K39" s="344"/>
      <c r="L39" s="339" t="s">
        <v>451</v>
      </c>
      <c r="M39" s="339">
        <v>14.7821646225</v>
      </c>
      <c r="N39" s="339"/>
    </row>
    <row r="40" spans="1:14" ht="10.5" customHeight="1">
      <c r="A40" s="538" t="s">
        <v>102</v>
      </c>
      <c r="B40" s="413">
        <v>10.081287702499999</v>
      </c>
      <c r="C40" s="413">
        <v>20.230995025000045</v>
      </c>
      <c r="D40" s="396">
        <f t="shared" si="0"/>
        <v>-0.50169096032882954</v>
      </c>
      <c r="E40" s="138"/>
      <c r="F40" s="138"/>
      <c r="G40" s="138"/>
      <c r="H40" s="138"/>
      <c r="I40" s="138"/>
      <c r="J40" s="138"/>
      <c r="K40" s="344"/>
      <c r="L40" s="341" t="s">
        <v>403</v>
      </c>
      <c r="M40" s="339">
        <v>14.935345385</v>
      </c>
      <c r="N40" s="339">
        <v>12.887593042499995</v>
      </c>
    </row>
    <row r="41" spans="1:14" ht="10.5" customHeight="1">
      <c r="A41" s="401" t="s">
        <v>425</v>
      </c>
      <c r="B41" s="414">
        <v>7.2299754350000001</v>
      </c>
      <c r="C41" s="414">
        <v>10.372847454999985</v>
      </c>
      <c r="D41" s="398">
        <f t="shared" si="0"/>
        <v>-0.30299028628682256</v>
      </c>
      <c r="E41" s="138"/>
      <c r="F41" s="138"/>
      <c r="G41" s="138"/>
      <c r="H41" s="138"/>
      <c r="I41" s="138"/>
      <c r="J41" s="138"/>
      <c r="K41" s="344"/>
      <c r="L41" s="339" t="s">
        <v>113</v>
      </c>
      <c r="M41" s="339">
        <v>21.279247067500002</v>
      </c>
      <c r="N41" s="339">
        <v>4.7874892349999945</v>
      </c>
    </row>
    <row r="42" spans="1:14" ht="10.5" customHeight="1">
      <c r="A42" s="402" t="s">
        <v>106</v>
      </c>
      <c r="B42" s="413">
        <v>6.5569284574999998</v>
      </c>
      <c r="C42" s="413">
        <v>7.6929367300000076</v>
      </c>
      <c r="D42" s="396">
        <f t="shared" si="0"/>
        <v>-0.14766899980730852</v>
      </c>
      <c r="E42" s="138"/>
      <c r="F42" s="138"/>
      <c r="G42" s="138"/>
      <c r="H42" s="138"/>
      <c r="I42" s="138"/>
      <c r="J42" s="138"/>
      <c r="L42" s="341" t="s">
        <v>96</v>
      </c>
      <c r="M42" s="339">
        <v>28.289728122500001</v>
      </c>
      <c r="N42" s="339">
        <v>40.516591054999942</v>
      </c>
    </row>
    <row r="43" spans="1:14" ht="10.5" customHeight="1">
      <c r="A43" s="401" t="s">
        <v>477</v>
      </c>
      <c r="B43" s="414">
        <v>6.0877739999999996</v>
      </c>
      <c r="C43" s="414"/>
      <c r="D43" s="398" t="str">
        <f t="shared" si="0"/>
        <v/>
      </c>
      <c r="E43" s="138"/>
      <c r="F43" s="138"/>
      <c r="G43" s="138"/>
      <c r="H43" s="138"/>
      <c r="I43" s="138"/>
      <c r="J43" s="138"/>
      <c r="L43" s="341" t="s">
        <v>97</v>
      </c>
      <c r="M43" s="339">
        <v>33.458428797499998</v>
      </c>
      <c r="N43" s="339">
        <v>32.665406682499963</v>
      </c>
    </row>
    <row r="44" spans="1:14" ht="10.5" customHeight="1">
      <c r="A44" s="402" t="s">
        <v>436</v>
      </c>
      <c r="B44" s="413">
        <v>5.7953986249999998</v>
      </c>
      <c r="C44" s="413">
        <v>3.2791699999999988</v>
      </c>
      <c r="D44" s="396">
        <f t="shared" si="0"/>
        <v>0.76733704717962214</v>
      </c>
      <c r="E44" s="138"/>
      <c r="F44" s="138"/>
      <c r="G44" s="138"/>
      <c r="H44" s="138"/>
      <c r="I44" s="138"/>
      <c r="J44" s="138"/>
      <c r="L44" s="342" t="s">
        <v>238</v>
      </c>
      <c r="M44" s="339">
        <v>33.63841386</v>
      </c>
      <c r="N44" s="339">
        <v>36.639661237499993</v>
      </c>
    </row>
    <row r="45" spans="1:14" ht="10.5" customHeight="1">
      <c r="A45" s="401" t="s">
        <v>414</v>
      </c>
      <c r="B45" s="414">
        <v>4.7712980749999998</v>
      </c>
      <c r="C45" s="414">
        <v>6.3870999224999991</v>
      </c>
      <c r="D45" s="398">
        <f t="shared" si="0"/>
        <v>-0.25297895243629631</v>
      </c>
      <c r="E45" s="138"/>
      <c r="F45" s="138"/>
      <c r="G45" s="138"/>
      <c r="H45" s="138"/>
      <c r="I45" s="138"/>
      <c r="J45" s="138"/>
      <c r="L45" s="341" t="s">
        <v>99</v>
      </c>
      <c r="M45" s="339">
        <v>40.093562445000003</v>
      </c>
      <c r="N45" s="339">
        <v>48.806111047500011</v>
      </c>
    </row>
    <row r="46" spans="1:14" ht="10.5" customHeight="1">
      <c r="A46" s="402" t="s">
        <v>107</v>
      </c>
      <c r="B46" s="413">
        <v>4.0166999925000004</v>
      </c>
      <c r="C46" s="413">
        <v>4.7602555000000022</v>
      </c>
      <c r="D46" s="396">
        <f t="shared" si="0"/>
        <v>-0.1562007559258114</v>
      </c>
      <c r="E46" s="138"/>
      <c r="F46" s="138"/>
      <c r="G46" s="138"/>
      <c r="H46" s="138"/>
      <c r="I46" s="138"/>
      <c r="J46" s="138"/>
      <c r="L46" s="341" t="s">
        <v>108</v>
      </c>
      <c r="M46" s="339">
        <v>46.415177182500003</v>
      </c>
      <c r="N46" s="339">
        <v>23.791657720000007</v>
      </c>
    </row>
    <row r="47" spans="1:14" ht="10.5" customHeight="1">
      <c r="A47" s="401" t="s">
        <v>109</v>
      </c>
      <c r="B47" s="414">
        <v>3.9183697999999998</v>
      </c>
      <c r="C47" s="414">
        <v>4.7288161700000053</v>
      </c>
      <c r="D47" s="398">
        <f t="shared" si="0"/>
        <v>-0.1713846216187348</v>
      </c>
      <c r="E47" s="138"/>
      <c r="F47" s="138"/>
      <c r="G47" s="138"/>
      <c r="H47" s="138"/>
      <c r="I47" s="138"/>
      <c r="J47" s="138"/>
      <c r="L47" s="341" t="s">
        <v>465</v>
      </c>
      <c r="M47" s="339">
        <v>50.153221312500001</v>
      </c>
      <c r="N47" s="339">
        <v>51.133396575000006</v>
      </c>
    </row>
    <row r="48" spans="1:14" ht="10.5" customHeight="1">
      <c r="A48" s="402" t="s">
        <v>111</v>
      </c>
      <c r="B48" s="413">
        <v>3.7421603000000001</v>
      </c>
      <c r="C48" s="413">
        <v>4.0272974424999983</v>
      </c>
      <c r="D48" s="396">
        <f t="shared" si="0"/>
        <v>-7.0801113295221541E-2</v>
      </c>
      <c r="E48" s="138"/>
      <c r="F48" s="138"/>
      <c r="G48" s="138"/>
      <c r="H48" s="138"/>
      <c r="I48" s="138"/>
      <c r="J48" s="138"/>
      <c r="L48" s="339" t="s">
        <v>435</v>
      </c>
      <c r="M48" s="339">
        <v>51.470511979999998</v>
      </c>
      <c r="N48" s="339">
        <v>66.617895147500022</v>
      </c>
    </row>
    <row r="49" spans="1:14" ht="10.5" customHeight="1">
      <c r="A49" s="401" t="s">
        <v>110</v>
      </c>
      <c r="B49" s="414">
        <v>3.6113244249999998</v>
      </c>
      <c r="C49" s="414">
        <v>4.3965500774999953</v>
      </c>
      <c r="D49" s="398">
        <f t="shared" si="0"/>
        <v>-0.17860041138130223</v>
      </c>
      <c r="E49" s="138"/>
      <c r="F49" s="138"/>
      <c r="G49" s="138"/>
      <c r="H49" s="138"/>
      <c r="I49" s="138"/>
      <c r="J49" s="138"/>
      <c r="L49" s="338" t="s">
        <v>95</v>
      </c>
      <c r="M49" s="339">
        <v>66.232919159999994</v>
      </c>
      <c r="N49" s="339">
        <v>81.505072820000009</v>
      </c>
    </row>
    <row r="50" spans="1:14" ht="10.5" customHeight="1">
      <c r="A50" s="402" t="s">
        <v>114</v>
      </c>
      <c r="B50" s="413">
        <v>3.5931083225</v>
      </c>
      <c r="C50" s="413">
        <v>2.9748708674999977</v>
      </c>
      <c r="D50" s="396">
        <f t="shared" si="0"/>
        <v>0.20781992985112407</v>
      </c>
      <c r="E50" s="138"/>
      <c r="F50" s="138"/>
      <c r="G50" s="138"/>
      <c r="H50" s="138"/>
      <c r="I50" s="138"/>
      <c r="J50" s="138"/>
      <c r="L50" s="341" t="s">
        <v>98</v>
      </c>
      <c r="M50" s="339">
        <v>76.706314362499995</v>
      </c>
      <c r="N50" s="339">
        <v>91.497038912499903</v>
      </c>
    </row>
    <row r="51" spans="1:14" ht="10.5" customHeight="1">
      <c r="A51" s="401" t="s">
        <v>112</v>
      </c>
      <c r="B51" s="414">
        <v>3.4606206225</v>
      </c>
      <c r="C51" s="414">
        <v>3.9595181199999985</v>
      </c>
      <c r="D51" s="398">
        <f t="shared" si="0"/>
        <v>-0.12599954903098121</v>
      </c>
      <c r="E51" s="138"/>
      <c r="F51" s="138"/>
      <c r="G51" s="138"/>
      <c r="H51" s="138"/>
      <c r="I51" s="138"/>
      <c r="J51" s="138"/>
      <c r="L51" s="341" t="s">
        <v>100</v>
      </c>
      <c r="M51" s="339">
        <v>83.499016690000005</v>
      </c>
      <c r="N51" s="339">
        <v>177.88556034249979</v>
      </c>
    </row>
    <row r="52" spans="1:14" ht="10.5" customHeight="1">
      <c r="A52" s="402" t="s">
        <v>115</v>
      </c>
      <c r="B52" s="413">
        <v>2.6403305499999998</v>
      </c>
      <c r="C52" s="413">
        <v>2.2362401824999947</v>
      </c>
      <c r="D52" s="396">
        <f t="shared" si="0"/>
        <v>0.1807007899519335</v>
      </c>
      <c r="E52" s="138"/>
      <c r="F52" s="138"/>
      <c r="G52" s="138"/>
      <c r="H52" s="138"/>
      <c r="I52" s="138"/>
      <c r="J52" s="138"/>
      <c r="L52" s="341" t="s">
        <v>92</v>
      </c>
      <c r="M52" s="339">
        <v>92.068668492499995</v>
      </c>
      <c r="N52" s="339">
        <v>123.57826838499999</v>
      </c>
    </row>
    <row r="53" spans="1:14" ht="10.5" customHeight="1">
      <c r="A53" s="401" t="s">
        <v>116</v>
      </c>
      <c r="B53" s="414">
        <v>2.5821000000000001</v>
      </c>
      <c r="C53" s="414">
        <v>2.5378000000001144</v>
      </c>
      <c r="D53" s="398">
        <f t="shared" si="0"/>
        <v>1.7456064307622254E-2</v>
      </c>
      <c r="E53" s="138"/>
      <c r="F53" s="138"/>
      <c r="G53" s="138"/>
      <c r="H53" s="138"/>
      <c r="I53" s="138"/>
      <c r="J53" s="138"/>
      <c r="L53" s="341" t="s">
        <v>239</v>
      </c>
      <c r="M53" s="339">
        <v>106.9974427825</v>
      </c>
      <c r="N53" s="339">
        <v>214.72006534750017</v>
      </c>
    </row>
    <row r="54" spans="1:14" ht="10.5" customHeight="1">
      <c r="A54" s="402" t="s">
        <v>622</v>
      </c>
      <c r="B54" s="413">
        <v>2.5413475275000001</v>
      </c>
      <c r="C54" s="413"/>
      <c r="D54" s="396" t="str">
        <f t="shared" si="0"/>
        <v/>
      </c>
      <c r="E54" s="138"/>
      <c r="F54" s="138"/>
      <c r="G54" s="138"/>
      <c r="H54" s="138"/>
      <c r="I54" s="138"/>
      <c r="J54" s="138"/>
      <c r="L54" s="341" t="s">
        <v>93</v>
      </c>
      <c r="M54" s="339">
        <v>121.23679420000001</v>
      </c>
      <c r="N54" s="339">
        <v>108.96512791249992</v>
      </c>
    </row>
    <row r="55" spans="1:14" ht="10.5" customHeight="1">
      <c r="A55" s="401" t="s">
        <v>117</v>
      </c>
      <c r="B55" s="414">
        <v>1.9293764824999999</v>
      </c>
      <c r="C55" s="414">
        <v>1.3730487500000019</v>
      </c>
      <c r="D55" s="398">
        <f t="shared" si="0"/>
        <v>0.40517697022774835</v>
      </c>
      <c r="E55" s="138"/>
      <c r="F55" s="138"/>
      <c r="G55" s="138"/>
      <c r="H55" s="138"/>
      <c r="I55" s="138"/>
      <c r="J55" s="138"/>
      <c r="L55" s="341" t="s">
        <v>91</v>
      </c>
      <c r="M55" s="339">
        <v>126.77993473749996</v>
      </c>
      <c r="N55" s="339">
        <v>117.59070845749994</v>
      </c>
    </row>
    <row r="56" spans="1:14" ht="10.5" customHeight="1">
      <c r="A56" s="538" t="s">
        <v>119</v>
      </c>
      <c r="B56" s="413">
        <v>0.83815456749999995</v>
      </c>
      <c r="C56" s="413">
        <v>18.409838889999989</v>
      </c>
      <c r="D56" s="396">
        <f t="shared" si="0"/>
        <v>-0.95447246591846735</v>
      </c>
      <c r="E56" s="138"/>
      <c r="F56" s="138"/>
      <c r="G56" s="138"/>
      <c r="H56" s="138"/>
      <c r="I56" s="138"/>
      <c r="J56" s="138"/>
      <c r="L56" s="339" t="s">
        <v>94</v>
      </c>
      <c r="M56" s="339">
        <v>148.91854442749997</v>
      </c>
      <c r="N56" s="339">
        <v>151.41145608499994</v>
      </c>
    </row>
    <row r="57" spans="1:14" ht="10.5" customHeight="1">
      <c r="A57" s="401" t="s">
        <v>460</v>
      </c>
      <c r="B57" s="414">
        <v>0.61246642750000002</v>
      </c>
      <c r="C57" s="414">
        <v>4.5796630000000053E-2</v>
      </c>
      <c r="D57" s="398">
        <f t="shared" si="0"/>
        <v>12.373613462387938</v>
      </c>
      <c r="E57" s="138"/>
      <c r="F57" s="138"/>
      <c r="G57" s="138"/>
      <c r="H57" s="138"/>
      <c r="I57" s="138"/>
      <c r="J57" s="138"/>
      <c r="L57" s="341" t="s">
        <v>241</v>
      </c>
      <c r="M57" s="339">
        <v>257.81253351750001</v>
      </c>
      <c r="N57" s="339">
        <v>241.03782233249984</v>
      </c>
    </row>
    <row r="58" spans="1:14" ht="10.5" customHeight="1">
      <c r="A58" s="402" t="s">
        <v>243</v>
      </c>
      <c r="B58" s="413">
        <v>0.58010283249999994</v>
      </c>
      <c r="C58" s="413">
        <v>0</v>
      </c>
      <c r="D58" s="396" t="str">
        <f>IF(C58=0,"",B58/C58-1)</f>
        <v/>
      </c>
      <c r="E58" s="138"/>
      <c r="F58" s="138"/>
      <c r="G58" s="138"/>
      <c r="H58" s="138"/>
      <c r="I58" s="138"/>
      <c r="J58" s="138"/>
      <c r="L58" s="341" t="s">
        <v>237</v>
      </c>
      <c r="M58" s="339">
        <v>258.05347482249999</v>
      </c>
      <c r="N58" s="339">
        <v>293.13882698750007</v>
      </c>
    </row>
    <row r="59" spans="1:14" ht="10.5" customHeight="1">
      <c r="A59" s="401" t="s">
        <v>118</v>
      </c>
      <c r="B59" s="414">
        <v>0.38917514249999996</v>
      </c>
      <c r="C59" s="414">
        <v>0.29388901250000005</v>
      </c>
      <c r="D59" s="398">
        <f t="shared" si="0"/>
        <v>0.32422488064265376</v>
      </c>
      <c r="E59" s="138"/>
      <c r="F59" s="138"/>
      <c r="G59" s="138"/>
      <c r="H59" s="138"/>
      <c r="I59" s="138"/>
      <c r="J59" s="138"/>
      <c r="L59" s="339" t="s">
        <v>90</v>
      </c>
      <c r="M59" s="339">
        <v>261.68172815000003</v>
      </c>
      <c r="N59" s="339">
        <v>253.06915443750006</v>
      </c>
    </row>
    <row r="60" spans="1:14" ht="10.5" customHeight="1">
      <c r="A60" s="402" t="s">
        <v>416</v>
      </c>
      <c r="B60" s="415">
        <v>0.19839899999999999</v>
      </c>
      <c r="C60" s="415">
        <v>0.51303150000000064</v>
      </c>
      <c r="D60" s="403">
        <f t="shared" si="0"/>
        <v>-0.61328105584160086</v>
      </c>
      <c r="E60" s="138"/>
      <c r="F60" s="138"/>
      <c r="G60" s="138"/>
      <c r="H60" s="138"/>
      <c r="I60" s="138"/>
      <c r="J60" s="138"/>
      <c r="L60" s="341" t="s">
        <v>87</v>
      </c>
      <c r="M60" s="339">
        <v>390.99026932750002</v>
      </c>
      <c r="N60" s="339">
        <v>381.01805673000001</v>
      </c>
    </row>
    <row r="61" spans="1:14" ht="10.5" customHeight="1">
      <c r="A61" s="404" t="s">
        <v>121</v>
      </c>
      <c r="B61" s="414">
        <v>0</v>
      </c>
      <c r="C61" s="414">
        <v>4.1045960774999983</v>
      </c>
      <c r="D61" s="398">
        <f t="shared" si="0"/>
        <v>-1</v>
      </c>
      <c r="E61" s="138"/>
      <c r="F61" s="138"/>
      <c r="G61" s="138"/>
      <c r="H61" s="138"/>
      <c r="I61" s="138"/>
      <c r="J61" s="138"/>
      <c r="L61" s="341" t="s">
        <v>413</v>
      </c>
      <c r="M61" s="339">
        <v>405.7590323325</v>
      </c>
      <c r="N61" s="339">
        <v>571.52723051000009</v>
      </c>
    </row>
    <row r="62" spans="1:14" s="741" customFormat="1" ht="10.5" customHeight="1">
      <c r="A62" s="402" t="s">
        <v>236</v>
      </c>
      <c r="B62" s="415">
        <v>0</v>
      </c>
      <c r="C62" s="415">
        <v>0</v>
      </c>
      <c r="D62" s="403" t="str">
        <f t="shared" si="0"/>
        <v/>
      </c>
      <c r="E62" s="138"/>
      <c r="F62" s="138"/>
      <c r="G62" s="138"/>
      <c r="H62" s="138"/>
      <c r="I62" s="138"/>
      <c r="J62" s="138"/>
      <c r="L62" s="341" t="s">
        <v>88</v>
      </c>
      <c r="M62" s="339">
        <v>501.10765055000007</v>
      </c>
      <c r="N62" s="339">
        <v>625.1504230325005</v>
      </c>
    </row>
    <row r="63" spans="1:14" s="741" customFormat="1" ht="10.5" customHeight="1">
      <c r="A63" s="404" t="s">
        <v>244</v>
      </c>
      <c r="B63" s="414">
        <v>0</v>
      </c>
      <c r="C63" s="414">
        <v>0.39424732999999995</v>
      </c>
      <c r="D63" s="398">
        <f t="shared" si="0"/>
        <v>-1</v>
      </c>
      <c r="E63" s="138"/>
      <c r="F63" s="138"/>
      <c r="G63" s="138"/>
      <c r="H63" s="138"/>
      <c r="I63" s="138"/>
      <c r="J63" s="138"/>
      <c r="L63" s="341" t="s">
        <v>89</v>
      </c>
      <c r="M63" s="339">
        <v>578.28590052000015</v>
      </c>
      <c r="N63" s="339">
        <v>615.24603204000584</v>
      </c>
    </row>
    <row r="64" spans="1:14" s="741" customFormat="1" ht="10.5" customHeight="1">
      <c r="A64" s="861" t="s">
        <v>105</v>
      </c>
      <c r="B64" s="862">
        <v>0</v>
      </c>
      <c r="C64" s="862">
        <v>7.9362857324999982</v>
      </c>
      <c r="D64" s="863">
        <f t="shared" si="0"/>
        <v>-1</v>
      </c>
      <c r="E64" s="138"/>
      <c r="F64" s="138"/>
      <c r="G64" s="138"/>
      <c r="H64" s="138"/>
      <c r="I64" s="138"/>
      <c r="J64" s="138"/>
      <c r="L64" s="341"/>
      <c r="M64" s="339"/>
      <c r="N64" s="339"/>
    </row>
    <row r="65" spans="1:14" ht="10.5" customHeight="1">
      <c r="A65" s="751" t="s">
        <v>42</v>
      </c>
      <c r="B65" s="752">
        <f>+SUM(B6:B64)</f>
        <v>3999.0571485550004</v>
      </c>
      <c r="C65" s="752">
        <f>+SUM(C6:C64)</f>
        <v>4589.8571911700083</v>
      </c>
      <c r="D65" s="369">
        <f>IF(C65=0,"",B65/C65-1)</f>
        <v>-0.12871861106083915</v>
      </c>
      <c r="E65" s="138"/>
      <c r="F65" s="138"/>
      <c r="G65" s="138"/>
      <c r="H65" s="138"/>
      <c r="I65" s="138"/>
      <c r="J65" s="138"/>
      <c r="L65" s="341"/>
      <c r="M65" s="339"/>
      <c r="N65" s="339"/>
    </row>
    <row r="66" spans="1:14" ht="40.5" customHeight="1">
      <c r="A66" s="923" t="str">
        <f>"Cuadro N° 6: Participación de las empresas generadoras del COES en la producción de energía eléctrica (GWh) en "&amp;'1. Resumen'!Q4</f>
        <v>Cuadro N° 6: Participación de las empresas generadoras del COES en la producción de energía eléctrica (GWh) en marzo</v>
      </c>
      <c r="B66" s="923"/>
      <c r="C66" s="923"/>
      <c r="D66" s="536"/>
      <c r="E66" s="922" t="str">
        <f>"Gráfico N° 10: Comparación de producción energética (GWh) de las empresas generadoras del COES en "&amp;'1. Resumen'!Q4</f>
        <v>Gráfico N° 10: Comparación de producción energética (GWh) de las empresas generadoras del COES en marzo</v>
      </c>
      <c r="F66" s="922"/>
      <c r="G66" s="922"/>
      <c r="H66" s="922"/>
      <c r="I66" s="922"/>
      <c r="J66" s="922"/>
    </row>
    <row r="67" spans="1:14" ht="24" customHeight="1">
      <c r="A67" s="925"/>
      <c r="B67" s="925"/>
      <c r="C67" s="925"/>
      <c r="D67" s="925"/>
      <c r="E67" s="925"/>
      <c r="F67" s="925"/>
      <c r="G67" s="925"/>
      <c r="H67" s="925"/>
      <c r="I67" s="925"/>
      <c r="J67" s="925"/>
    </row>
    <row r="68" spans="1:14" ht="12.75" customHeight="1">
      <c r="A68" s="924"/>
      <c r="B68" s="924"/>
      <c r="C68" s="924"/>
      <c r="D68" s="924"/>
      <c r="E68" s="924"/>
      <c r="F68" s="924"/>
      <c r="G68" s="924"/>
      <c r="H68" s="924"/>
      <c r="I68" s="924"/>
      <c r="J68" s="924"/>
    </row>
    <row r="69" spans="1:14" ht="12.75" customHeight="1">
      <c r="A69" s="749"/>
      <c r="B69" s="749"/>
      <c r="C69" s="749"/>
      <c r="D69" s="749"/>
      <c r="E69" s="749"/>
      <c r="F69" s="749"/>
      <c r="G69" s="749"/>
      <c r="H69" s="749"/>
      <c r="I69" s="749"/>
      <c r="J69" s="749"/>
    </row>
    <row r="70" spans="1:14">
      <c r="A70" s="924"/>
      <c r="B70" s="924"/>
      <c r="C70" s="924"/>
      <c r="D70" s="924"/>
      <c r="E70" s="924"/>
      <c r="F70" s="924"/>
      <c r="G70" s="924"/>
      <c r="H70" s="924"/>
      <c r="I70" s="924"/>
      <c r="J70" s="924"/>
    </row>
    <row r="71" spans="1:14">
      <c r="A71" s="916"/>
      <c r="B71" s="916"/>
      <c r="C71" s="916"/>
      <c r="D71" s="916"/>
      <c r="E71" s="916"/>
      <c r="F71" s="916"/>
      <c r="G71" s="916"/>
      <c r="H71" s="916"/>
      <c r="I71" s="916"/>
      <c r="J71" s="916"/>
    </row>
    <row r="72" spans="1:14">
      <c r="A72" s="917"/>
      <c r="B72" s="917"/>
      <c r="C72" s="917"/>
      <c r="D72" s="917"/>
      <c r="E72" s="917"/>
      <c r="F72" s="917"/>
      <c r="G72" s="917"/>
      <c r="H72" s="917"/>
      <c r="I72" s="917"/>
      <c r="J72" s="917"/>
    </row>
    <row r="73" spans="1:14">
      <c r="A73" s="916"/>
      <c r="B73" s="916"/>
      <c r="C73" s="916"/>
      <c r="D73" s="916"/>
      <c r="E73" s="916"/>
      <c r="F73" s="916"/>
      <c r="G73" s="916"/>
      <c r="H73" s="916"/>
      <c r="I73" s="916"/>
      <c r="J73" s="916"/>
    </row>
    <row r="74" spans="1:14">
      <c r="A74" s="917"/>
      <c r="B74" s="917"/>
      <c r="C74" s="917"/>
      <c r="D74" s="917"/>
      <c r="E74" s="917"/>
      <c r="F74" s="917"/>
      <c r="G74" s="917"/>
      <c r="H74" s="917"/>
      <c r="I74" s="917"/>
      <c r="J74" s="917"/>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160" workbookViewId="0">
      <selection activeCell="R40" sqref="R40"/>
    </sheetView>
  </sheetViews>
  <sheetFormatPr baseColWidth="10" defaultColWidth="9.33203125" defaultRowHeight="11.25"/>
  <cols>
    <col min="1" max="11" width="10.33203125" customWidth="1"/>
    <col min="12" max="12" width="21.1640625" style="723" bestFit="1" customWidth="1"/>
    <col min="13" max="14" width="9.33203125" style="723"/>
    <col min="15" max="15" width="11.83203125" style="723" customWidth="1"/>
    <col min="16" max="17" width="9.33203125" style="723"/>
    <col min="18" max="18" width="9.33203125" style="742"/>
    <col min="19" max="19" width="9.33203125" style="768"/>
    <col min="20" max="20" width="15" style="768" customWidth="1"/>
    <col min="21" max="22" width="9.33203125" style="768"/>
    <col min="23" max="24" width="9.33203125" style="565"/>
    <col min="25" max="25" width="17.83203125" style="565" bestFit="1" customWidth="1"/>
  </cols>
  <sheetData>
    <row r="2" spans="1:25" ht="11.25" customHeight="1">
      <c r="A2" s="926" t="s">
        <v>234</v>
      </c>
      <c r="B2" s="926"/>
      <c r="C2" s="926"/>
      <c r="D2" s="926"/>
      <c r="E2" s="926"/>
      <c r="F2" s="926"/>
      <c r="G2" s="926"/>
      <c r="H2" s="926"/>
      <c r="I2" s="926"/>
      <c r="J2" s="926"/>
      <c r="K2" s="926"/>
    </row>
    <row r="3" spans="1:25" ht="11.25" customHeight="1"/>
    <row r="4" spans="1:25" ht="11.25" customHeight="1">
      <c r="L4" s="724" t="s">
        <v>54</v>
      </c>
      <c r="M4" s="725" t="s">
        <v>31</v>
      </c>
      <c r="N4" s="724"/>
      <c r="O4" s="726"/>
      <c r="P4" s="727"/>
      <c r="Q4" s="727"/>
    </row>
    <row r="5" spans="1:25" ht="10.5" customHeight="1">
      <c r="A5" s="149"/>
      <c r="B5" s="138"/>
      <c r="C5" s="138"/>
      <c r="D5" s="138"/>
      <c r="E5" s="138"/>
      <c r="F5" s="138"/>
      <c r="G5" s="138"/>
      <c r="H5" s="138"/>
      <c r="I5" s="138"/>
      <c r="J5" s="138"/>
      <c r="K5" s="138"/>
      <c r="L5" s="724"/>
      <c r="M5" s="725"/>
      <c r="N5" s="724"/>
      <c r="O5" s="724" t="s">
        <v>55</v>
      </c>
      <c r="P5" s="724" t="s">
        <v>56</v>
      </c>
      <c r="Q5" s="724"/>
      <c r="U5" s="768">
        <v>2020</v>
      </c>
      <c r="V5" s="771">
        <v>2019</v>
      </c>
      <c r="W5" s="744"/>
    </row>
    <row r="6" spans="1:25" ht="10.5" customHeight="1">
      <c r="A6" s="111"/>
      <c r="B6" s="138"/>
      <c r="C6" s="138"/>
      <c r="D6" s="138"/>
      <c r="E6" s="138"/>
      <c r="F6" s="138"/>
      <c r="G6" s="138"/>
      <c r="H6" s="138"/>
      <c r="I6" s="138"/>
      <c r="J6" s="138"/>
      <c r="K6" s="138"/>
      <c r="L6" s="728" t="s">
        <v>409</v>
      </c>
      <c r="M6" s="728" t="s">
        <v>58</v>
      </c>
      <c r="N6" s="729">
        <v>19.605</v>
      </c>
      <c r="O6" s="730">
        <v>14.935345385</v>
      </c>
      <c r="P6" s="730">
        <v>1</v>
      </c>
      <c r="Q6" s="730"/>
      <c r="S6" s="768" t="s">
        <v>458</v>
      </c>
      <c r="T6" s="768" t="s">
        <v>75</v>
      </c>
      <c r="U6" s="769">
        <v>0.37712138053991906</v>
      </c>
      <c r="V6" s="770">
        <v>0.13168884715739662</v>
      </c>
      <c r="W6" s="745"/>
      <c r="X6" s="768" t="s">
        <v>59</v>
      </c>
      <c r="Y6" s="769">
        <v>0.99498750277777748</v>
      </c>
    </row>
    <row r="7" spans="1:25" ht="10.5" customHeight="1">
      <c r="A7" s="136"/>
      <c r="B7" s="138"/>
      <c r="C7" s="138"/>
      <c r="D7" s="138"/>
      <c r="E7" s="138"/>
      <c r="F7" s="138"/>
      <c r="G7" s="138"/>
      <c r="H7" s="138"/>
      <c r="I7" s="138"/>
      <c r="J7" s="138"/>
      <c r="K7" s="138"/>
      <c r="L7" s="728" t="s">
        <v>57</v>
      </c>
      <c r="M7" s="728" t="s">
        <v>58</v>
      </c>
      <c r="N7" s="729">
        <v>19.966000000000001</v>
      </c>
      <c r="O7" s="730">
        <v>14.848510195000001</v>
      </c>
      <c r="P7" s="730">
        <v>1</v>
      </c>
      <c r="Q7" s="730"/>
      <c r="T7" s="768" t="s">
        <v>479</v>
      </c>
      <c r="U7" s="769">
        <v>0.50824590964590965</v>
      </c>
      <c r="V7" s="770"/>
      <c r="W7" s="745"/>
      <c r="X7" s="768" t="s">
        <v>57</v>
      </c>
      <c r="Y7" s="769">
        <v>0.98364203277516193</v>
      </c>
    </row>
    <row r="8" spans="1:25" ht="10.5" customHeight="1">
      <c r="A8" s="136"/>
      <c r="B8" s="138"/>
      <c r="C8" s="138"/>
      <c r="D8" s="138"/>
      <c r="E8" s="138"/>
      <c r="F8" s="138"/>
      <c r="G8" s="138"/>
      <c r="H8" s="138"/>
      <c r="I8" s="138"/>
      <c r="J8" s="138"/>
      <c r="K8" s="138"/>
      <c r="L8" s="728" t="s">
        <v>481</v>
      </c>
      <c r="M8" s="728" t="s">
        <v>58</v>
      </c>
      <c r="N8" s="729">
        <v>20</v>
      </c>
      <c r="O8" s="730">
        <v>14.782588337500002</v>
      </c>
      <c r="P8" s="730">
        <v>1</v>
      </c>
      <c r="Q8" s="730"/>
      <c r="T8" s="768" t="s">
        <v>424</v>
      </c>
      <c r="U8" s="769">
        <v>0.68309133510760067</v>
      </c>
      <c r="V8" s="770">
        <v>0.7646755539351846</v>
      </c>
      <c r="W8" s="745"/>
      <c r="X8" s="768" t="s">
        <v>65</v>
      </c>
      <c r="Y8" s="769">
        <v>0.91381247391426945</v>
      </c>
    </row>
    <row r="9" spans="1:25" ht="10.5" customHeight="1">
      <c r="A9" s="136"/>
      <c r="B9" s="138"/>
      <c r="C9" s="138"/>
      <c r="D9" s="138"/>
      <c r="E9" s="138"/>
      <c r="F9" s="138"/>
      <c r="G9" s="138"/>
      <c r="H9" s="138"/>
      <c r="I9" s="138"/>
      <c r="J9" s="138"/>
      <c r="K9" s="138"/>
      <c r="L9" s="728" t="s">
        <v>480</v>
      </c>
      <c r="M9" s="731" t="s">
        <v>58</v>
      </c>
      <c r="N9" s="729">
        <v>20</v>
      </c>
      <c r="O9" s="730">
        <v>14.7821646225</v>
      </c>
      <c r="P9" s="730">
        <v>1</v>
      </c>
      <c r="Q9" s="730"/>
      <c r="T9" s="768" t="s">
        <v>69</v>
      </c>
      <c r="U9" s="769">
        <v>0.6836195301449195</v>
      </c>
      <c r="V9" s="770">
        <v>0.53344547589940428</v>
      </c>
      <c r="W9" s="745"/>
      <c r="X9" s="768" t="s">
        <v>64</v>
      </c>
      <c r="Y9" s="769">
        <v>0.90594081517623581</v>
      </c>
    </row>
    <row r="10" spans="1:25" ht="10.5" customHeight="1">
      <c r="A10" s="136"/>
      <c r="B10" s="138"/>
      <c r="C10" s="138"/>
      <c r="D10" s="138"/>
      <c r="E10" s="138"/>
      <c r="F10" s="138"/>
      <c r="G10" s="138"/>
      <c r="H10" s="138"/>
      <c r="I10" s="138"/>
      <c r="J10" s="138"/>
      <c r="K10" s="138"/>
      <c r="L10" s="728" t="s">
        <v>419</v>
      </c>
      <c r="M10" s="731" t="s">
        <v>58</v>
      </c>
      <c r="N10" s="729">
        <v>20.16</v>
      </c>
      <c r="O10" s="730">
        <v>14.499096502499999</v>
      </c>
      <c r="P10" s="730">
        <v>1</v>
      </c>
      <c r="Q10" s="730"/>
      <c r="T10" s="768" t="s">
        <v>483</v>
      </c>
      <c r="U10" s="769">
        <v>0.68722433469491029</v>
      </c>
      <c r="V10" s="770"/>
      <c r="W10" s="745"/>
      <c r="X10" s="768" t="s">
        <v>63</v>
      </c>
      <c r="Y10" s="769">
        <v>0.90554166986553131</v>
      </c>
    </row>
    <row r="11" spans="1:25" ht="10.5" customHeight="1">
      <c r="A11" s="136"/>
      <c r="B11" s="138"/>
      <c r="C11" s="138"/>
      <c r="D11" s="138"/>
      <c r="E11" s="138"/>
      <c r="F11" s="138"/>
      <c r="G11" s="138"/>
      <c r="H11" s="138"/>
      <c r="I11" s="138"/>
      <c r="J11" s="138"/>
      <c r="K11" s="138"/>
      <c r="L11" s="728" t="s">
        <v>63</v>
      </c>
      <c r="M11" s="731" t="s">
        <v>58</v>
      </c>
      <c r="N11" s="729">
        <v>19.899999999999999</v>
      </c>
      <c r="O11" s="730">
        <v>14.2234413475</v>
      </c>
      <c r="P11" s="730">
        <v>1</v>
      </c>
      <c r="Q11" s="730"/>
      <c r="T11" s="768" t="s">
        <v>61</v>
      </c>
      <c r="U11" s="769">
        <v>0.69783796596122438</v>
      </c>
      <c r="V11" s="770">
        <v>0.83858880282858417</v>
      </c>
      <c r="W11" s="745"/>
      <c r="X11" s="768" t="s">
        <v>409</v>
      </c>
      <c r="Y11" s="769">
        <v>0.89762929353575716</v>
      </c>
    </row>
    <row r="12" spans="1:25" ht="10.5" customHeight="1">
      <c r="A12" s="136"/>
      <c r="B12" s="138"/>
      <c r="C12" s="138"/>
      <c r="D12" s="138"/>
      <c r="E12" s="138"/>
      <c r="F12" s="138"/>
      <c r="G12" s="138"/>
      <c r="H12" s="138"/>
      <c r="I12" s="138"/>
      <c r="J12" s="138"/>
      <c r="K12" s="138"/>
      <c r="L12" s="728" t="s">
        <v>417</v>
      </c>
      <c r="M12" s="728" t="s">
        <v>58</v>
      </c>
      <c r="N12" s="729">
        <v>20.16</v>
      </c>
      <c r="O12" s="730">
        <v>14.102105352500001</v>
      </c>
      <c r="P12" s="730">
        <v>1</v>
      </c>
      <c r="Q12" s="730"/>
      <c r="T12" s="768" t="s">
        <v>428</v>
      </c>
      <c r="U12" s="769">
        <v>0.71228634629259635</v>
      </c>
      <c r="V12" s="770">
        <v>0.52464586744177844</v>
      </c>
      <c r="W12" s="745"/>
      <c r="X12" s="768" t="s">
        <v>60</v>
      </c>
      <c r="Y12" s="769">
        <v>0.87452205363386726</v>
      </c>
    </row>
    <row r="13" spans="1:25" ht="10.5" customHeight="1">
      <c r="A13" s="136"/>
      <c r="B13" s="138"/>
      <c r="C13" s="138"/>
      <c r="D13" s="138"/>
      <c r="E13" s="138"/>
      <c r="F13" s="138"/>
      <c r="G13" s="138"/>
      <c r="H13" s="138"/>
      <c r="I13" s="138"/>
      <c r="J13" s="138"/>
      <c r="K13" s="138"/>
      <c r="L13" s="728" t="s">
        <v>418</v>
      </c>
      <c r="M13" s="728" t="s">
        <v>58</v>
      </c>
      <c r="N13" s="729">
        <v>20.16</v>
      </c>
      <c r="O13" s="730">
        <v>13.6711418275</v>
      </c>
      <c r="P13" s="730">
        <v>0.97432763662966382</v>
      </c>
      <c r="Q13" s="730"/>
      <c r="T13" s="768" t="s">
        <v>66</v>
      </c>
      <c r="U13" s="769">
        <v>0.71617163974394449</v>
      </c>
      <c r="V13" s="770">
        <v>0.64081155838294712</v>
      </c>
      <c r="W13" s="745"/>
      <c r="X13" s="768" t="s">
        <v>68</v>
      </c>
      <c r="Y13" s="769">
        <v>0.87078372749725796</v>
      </c>
    </row>
    <row r="14" spans="1:25" ht="10.5" customHeight="1">
      <c r="A14" s="136"/>
      <c r="B14" s="138"/>
      <c r="C14" s="138"/>
      <c r="D14" s="138"/>
      <c r="E14" s="138"/>
      <c r="F14" s="138"/>
      <c r="G14" s="138"/>
      <c r="H14" s="138"/>
      <c r="I14" s="138"/>
      <c r="J14" s="138"/>
      <c r="K14" s="138"/>
      <c r="L14" s="728" t="s">
        <v>60</v>
      </c>
      <c r="M14" s="728" t="s">
        <v>58</v>
      </c>
      <c r="N14" s="729">
        <v>19.966999999999999</v>
      </c>
      <c r="O14" s="730">
        <v>13.2150296075</v>
      </c>
      <c r="P14" s="730">
        <v>0.95092460084282759</v>
      </c>
      <c r="Q14" s="730"/>
      <c r="T14" s="768" t="s">
        <v>68</v>
      </c>
      <c r="U14" s="769">
        <v>0.77630086741011217</v>
      </c>
      <c r="V14" s="770">
        <v>0.87078372749725796</v>
      </c>
      <c r="W14" s="745"/>
      <c r="X14" s="768" t="s">
        <v>71</v>
      </c>
      <c r="Y14" s="769">
        <v>0.86895336056404748</v>
      </c>
    </row>
    <row r="15" spans="1:25" ht="11.25" customHeight="1">
      <c r="A15" s="136"/>
      <c r="B15" s="138"/>
      <c r="C15" s="138"/>
      <c r="D15" s="138"/>
      <c r="E15" s="138"/>
      <c r="F15" s="138"/>
      <c r="G15" s="138"/>
      <c r="H15" s="138"/>
      <c r="I15" s="138"/>
      <c r="J15" s="138"/>
      <c r="K15" s="138"/>
      <c r="L15" s="728" t="s">
        <v>61</v>
      </c>
      <c r="M15" s="728" t="s">
        <v>58</v>
      </c>
      <c r="N15" s="729">
        <v>19.1995</v>
      </c>
      <c r="O15" s="730">
        <v>12.3340041675</v>
      </c>
      <c r="P15" s="730">
        <v>0.9230068676581914</v>
      </c>
      <c r="Q15" s="730"/>
      <c r="T15" s="768" t="s">
        <v>72</v>
      </c>
      <c r="U15" s="769">
        <v>0.77644119787061605</v>
      </c>
      <c r="V15" s="770">
        <v>0.60441514939868057</v>
      </c>
      <c r="W15" s="745"/>
      <c r="X15" s="768" t="s">
        <v>67</v>
      </c>
      <c r="Y15" s="769">
        <v>0.84652394542474829</v>
      </c>
    </row>
    <row r="16" spans="1:25" ht="11.25" customHeight="1">
      <c r="A16" s="136"/>
      <c r="B16" s="138"/>
      <c r="C16" s="138"/>
      <c r="D16" s="138"/>
      <c r="E16" s="138"/>
      <c r="F16" s="138"/>
      <c r="G16" s="138"/>
      <c r="H16" s="138"/>
      <c r="I16" s="138"/>
      <c r="J16" s="138"/>
      <c r="K16" s="138"/>
      <c r="L16" s="728" t="s">
        <v>59</v>
      </c>
      <c r="M16" s="728" t="s">
        <v>58</v>
      </c>
      <c r="N16" s="729">
        <v>15</v>
      </c>
      <c r="O16" s="730">
        <v>11.4904932525</v>
      </c>
      <c r="P16" s="730">
        <v>1</v>
      </c>
      <c r="Q16" s="730"/>
      <c r="T16" s="768" t="s">
        <v>67</v>
      </c>
      <c r="U16" s="769">
        <v>0.79963336890132575</v>
      </c>
      <c r="V16" s="770">
        <v>0.84652394542474829</v>
      </c>
      <c r="W16" s="745"/>
      <c r="X16" s="768" t="s">
        <v>74</v>
      </c>
      <c r="Y16" s="769">
        <v>0.84160219755579324</v>
      </c>
    </row>
    <row r="17" spans="1:25" ht="11.25" customHeight="1">
      <c r="A17" s="136"/>
      <c r="B17" s="138"/>
      <c r="C17" s="138"/>
      <c r="D17" s="138"/>
      <c r="E17" s="138"/>
      <c r="F17" s="138"/>
      <c r="G17" s="138"/>
      <c r="H17" s="138"/>
      <c r="I17" s="138"/>
      <c r="J17" s="138"/>
      <c r="K17" s="138"/>
      <c r="L17" s="728" t="s">
        <v>483</v>
      </c>
      <c r="M17" s="728" t="s">
        <v>58</v>
      </c>
      <c r="N17" s="729">
        <v>19</v>
      </c>
      <c r="O17" s="730">
        <v>11.37651507</v>
      </c>
      <c r="P17" s="730">
        <v>0.86029303312159711</v>
      </c>
      <c r="Q17" s="730"/>
      <c r="T17" s="768" t="s">
        <v>420</v>
      </c>
      <c r="U17" s="769">
        <v>0.80594907607273691</v>
      </c>
      <c r="V17" s="770">
        <v>0.42336856977513226</v>
      </c>
      <c r="W17" s="745"/>
      <c r="X17" s="768" t="s">
        <v>61</v>
      </c>
      <c r="Y17" s="769">
        <v>0.83858880282858417</v>
      </c>
    </row>
    <row r="18" spans="1:25">
      <c r="A18" s="136"/>
      <c r="B18" s="138"/>
      <c r="C18" s="138"/>
      <c r="D18" s="138"/>
      <c r="E18" s="138"/>
      <c r="F18" s="138"/>
      <c r="G18" s="138"/>
      <c r="H18" s="138"/>
      <c r="I18" s="138"/>
      <c r="J18" s="138"/>
      <c r="K18" s="138"/>
      <c r="L18" s="728" t="s">
        <v>424</v>
      </c>
      <c r="M18" s="728" t="s">
        <v>58</v>
      </c>
      <c r="N18" s="729">
        <v>20</v>
      </c>
      <c r="O18" s="730">
        <v>11.0699511325</v>
      </c>
      <c r="P18" s="730">
        <v>0.79525511009339078</v>
      </c>
      <c r="Q18" s="730"/>
      <c r="T18" s="768" t="s">
        <v>70</v>
      </c>
      <c r="U18" s="769">
        <v>0.83490725286549383</v>
      </c>
      <c r="V18" s="770">
        <v>0.78544517961785232</v>
      </c>
      <c r="W18" s="745"/>
      <c r="X18" s="768" t="s">
        <v>62</v>
      </c>
      <c r="Y18" s="769">
        <v>0.83730770330394888</v>
      </c>
    </row>
    <row r="19" spans="1:25">
      <c r="A19" s="136"/>
      <c r="B19" s="138"/>
      <c r="C19" s="138"/>
      <c r="D19" s="138"/>
      <c r="E19" s="138"/>
      <c r="F19" s="138"/>
      <c r="G19" s="138"/>
      <c r="H19" s="138"/>
      <c r="I19" s="138"/>
      <c r="J19" s="138"/>
      <c r="K19" s="138"/>
      <c r="L19" s="728" t="s">
        <v>62</v>
      </c>
      <c r="M19" s="728" t="s">
        <v>58</v>
      </c>
      <c r="N19" s="729">
        <v>9.9830000000000005</v>
      </c>
      <c r="O19" s="730">
        <v>7.3027550149999998</v>
      </c>
      <c r="P19" s="730">
        <v>1</v>
      </c>
      <c r="Q19" s="730"/>
      <c r="T19" s="768" t="s">
        <v>71</v>
      </c>
      <c r="U19" s="769">
        <v>0.85150960852052116</v>
      </c>
      <c r="V19" s="770">
        <v>0.86895336056404748</v>
      </c>
      <c r="W19" s="745"/>
      <c r="X19" s="768" t="s">
        <v>70</v>
      </c>
      <c r="Y19" s="769">
        <v>0.78544517961785232</v>
      </c>
    </row>
    <row r="20" spans="1:25">
      <c r="A20" s="136"/>
      <c r="B20" s="138"/>
      <c r="C20" s="138"/>
      <c r="D20" s="138"/>
      <c r="E20" s="138"/>
      <c r="F20" s="138"/>
      <c r="G20" s="138"/>
      <c r="H20" s="138"/>
      <c r="I20" s="138"/>
      <c r="J20" s="138"/>
      <c r="K20" s="138"/>
      <c r="L20" s="728" t="s">
        <v>428</v>
      </c>
      <c r="M20" s="728" t="s">
        <v>58</v>
      </c>
      <c r="N20" s="729">
        <v>13.2</v>
      </c>
      <c r="O20" s="730">
        <v>7.2299754350000001</v>
      </c>
      <c r="P20" s="730">
        <v>0.78696179848049475</v>
      </c>
      <c r="Q20" s="730"/>
      <c r="T20" s="768" t="s">
        <v>74</v>
      </c>
      <c r="U20" s="769">
        <v>0.85334170538509602</v>
      </c>
      <c r="V20" s="770">
        <v>0.84160219755579324</v>
      </c>
      <c r="W20" s="745"/>
      <c r="X20" s="768" t="s">
        <v>424</v>
      </c>
      <c r="Y20" s="769">
        <v>0.7646755539351846</v>
      </c>
    </row>
    <row r="21" spans="1:25">
      <c r="A21" s="136"/>
      <c r="B21" s="138"/>
      <c r="C21" s="138"/>
      <c r="D21" s="138"/>
      <c r="E21" s="138"/>
      <c r="F21" s="138"/>
      <c r="G21" s="138"/>
      <c r="H21" s="138"/>
      <c r="I21" s="138"/>
      <c r="J21" s="138"/>
      <c r="K21" s="138"/>
      <c r="L21" s="728" t="s">
        <v>64</v>
      </c>
      <c r="M21" s="728" t="s">
        <v>58</v>
      </c>
      <c r="N21" s="729">
        <v>10.222</v>
      </c>
      <c r="O21" s="730">
        <v>7.1539316175000005</v>
      </c>
      <c r="P21" s="730">
        <v>1</v>
      </c>
      <c r="Q21" s="730"/>
      <c r="T21" s="768" t="s">
        <v>60</v>
      </c>
      <c r="U21" s="769">
        <v>0.87775984455166045</v>
      </c>
      <c r="V21" s="770">
        <v>0.87452205363386726</v>
      </c>
      <c r="W21" s="745"/>
      <c r="X21" s="768" t="s">
        <v>73</v>
      </c>
      <c r="Y21" s="769">
        <v>0.65072822172788503</v>
      </c>
    </row>
    <row r="22" spans="1:25">
      <c r="A22" s="136"/>
      <c r="B22" s="138"/>
      <c r="C22" s="138"/>
      <c r="D22" s="138"/>
      <c r="E22" s="138"/>
      <c r="F22" s="138"/>
      <c r="G22" s="138"/>
      <c r="H22" s="138"/>
      <c r="I22" s="138"/>
      <c r="J22" s="138"/>
      <c r="K22" s="138"/>
      <c r="L22" s="728" t="s">
        <v>65</v>
      </c>
      <c r="M22" s="728" t="s">
        <v>58</v>
      </c>
      <c r="N22" s="729">
        <v>9.85</v>
      </c>
      <c r="O22" s="730">
        <v>6.9550761925</v>
      </c>
      <c r="P22" s="730">
        <v>1</v>
      </c>
      <c r="Q22" s="730"/>
      <c r="T22" s="768" t="s">
        <v>73</v>
      </c>
      <c r="U22" s="769">
        <v>0.88836846132436131</v>
      </c>
      <c r="V22" s="770">
        <v>0.65072822172788503</v>
      </c>
      <c r="W22" s="745"/>
      <c r="X22" s="768" t="s">
        <v>66</v>
      </c>
      <c r="Y22" s="769">
        <v>0.64081155838294712</v>
      </c>
    </row>
    <row r="23" spans="1:25">
      <c r="A23" s="136"/>
      <c r="B23" s="138"/>
      <c r="C23" s="138"/>
      <c r="D23" s="138"/>
      <c r="E23" s="138"/>
      <c r="F23" s="138"/>
      <c r="G23" s="138"/>
      <c r="H23" s="138"/>
      <c r="I23" s="138"/>
      <c r="J23" s="138"/>
      <c r="K23" s="138"/>
      <c r="L23" s="728" t="s">
        <v>69</v>
      </c>
      <c r="M23" s="728" t="s">
        <v>58</v>
      </c>
      <c r="N23" s="729">
        <v>9.5660000000000007</v>
      </c>
      <c r="O23" s="730">
        <v>6.49665873</v>
      </c>
      <c r="P23" s="730">
        <v>0.97577668664883532</v>
      </c>
      <c r="Q23" s="730"/>
      <c r="T23" s="768" t="s">
        <v>63</v>
      </c>
      <c r="U23" s="769">
        <v>0.9295104031489867</v>
      </c>
      <c r="V23" s="770">
        <v>0.90554166986553131</v>
      </c>
      <c r="W23" s="745"/>
      <c r="X23" s="768" t="s">
        <v>72</v>
      </c>
      <c r="Y23" s="769">
        <v>0.60441514939868057</v>
      </c>
    </row>
    <row r="24" spans="1:25">
      <c r="A24" s="136"/>
      <c r="B24" s="138"/>
      <c r="C24" s="138"/>
      <c r="D24" s="138"/>
      <c r="E24" s="138"/>
      <c r="F24" s="138"/>
      <c r="G24" s="138"/>
      <c r="H24" s="138"/>
      <c r="I24" s="138"/>
      <c r="J24" s="138"/>
      <c r="K24" s="138"/>
      <c r="L24" s="728" t="s">
        <v>67</v>
      </c>
      <c r="M24" s="728" t="s">
        <v>58</v>
      </c>
      <c r="N24" s="729">
        <v>7.4240000000000004</v>
      </c>
      <c r="O24" s="730">
        <v>4.1518005224999994</v>
      </c>
      <c r="P24" s="730">
        <v>0.80350628175860206</v>
      </c>
      <c r="Q24" s="730"/>
      <c r="T24" s="768" t="s">
        <v>480</v>
      </c>
      <c r="U24" s="769">
        <v>0.93089897762133689</v>
      </c>
      <c r="V24" s="770"/>
      <c r="W24" s="745"/>
      <c r="X24" s="768" t="s">
        <v>69</v>
      </c>
      <c r="Y24" s="769">
        <v>0.53344547589940428</v>
      </c>
    </row>
    <row r="25" spans="1:25">
      <c r="A25" s="136"/>
      <c r="B25" s="138"/>
      <c r="C25" s="138"/>
      <c r="D25" s="138"/>
      <c r="E25" s="138"/>
      <c r="F25" s="138"/>
      <c r="G25" s="138"/>
      <c r="H25" s="138"/>
      <c r="I25" s="138"/>
      <c r="J25" s="138"/>
      <c r="K25" s="138"/>
      <c r="L25" s="728" t="s">
        <v>66</v>
      </c>
      <c r="M25" s="728" t="s">
        <v>58</v>
      </c>
      <c r="N25" s="729">
        <v>7.7450000000000001</v>
      </c>
      <c r="O25" s="730">
        <v>4.1428335000000001</v>
      </c>
      <c r="P25" s="730">
        <v>0.76854060461699425</v>
      </c>
      <c r="Q25" s="730"/>
      <c r="T25" s="768" t="s">
        <v>64</v>
      </c>
      <c r="U25" s="769">
        <v>0.94216851330857898</v>
      </c>
      <c r="V25" s="770">
        <v>0.90594081517623581</v>
      </c>
      <c r="W25" s="745"/>
      <c r="X25" s="768" t="s">
        <v>428</v>
      </c>
      <c r="Y25" s="769">
        <v>0.52464586744177844</v>
      </c>
    </row>
    <row r="26" spans="1:25">
      <c r="A26" s="136"/>
      <c r="B26" s="138"/>
      <c r="C26" s="138"/>
      <c r="D26" s="138"/>
      <c r="E26" s="138"/>
      <c r="F26" s="138"/>
      <c r="G26" s="138"/>
      <c r="H26" s="138"/>
      <c r="I26" s="138"/>
      <c r="J26" s="138"/>
      <c r="K26" s="138"/>
      <c r="L26" s="728" t="s">
        <v>71</v>
      </c>
      <c r="M26" s="728" t="s">
        <v>58</v>
      </c>
      <c r="N26" s="729">
        <v>5.67</v>
      </c>
      <c r="O26" s="730">
        <v>3.8712544475000001</v>
      </c>
      <c r="P26" s="730">
        <v>0.98097834121409322</v>
      </c>
      <c r="Q26" s="730"/>
      <c r="T26" s="768" t="s">
        <v>65</v>
      </c>
      <c r="U26" s="769">
        <v>0.95002187900931556</v>
      </c>
      <c r="V26" s="770">
        <v>0.91381247391426945</v>
      </c>
      <c r="W26" s="745"/>
      <c r="X26" s="768" t="s">
        <v>417</v>
      </c>
      <c r="Y26" s="769">
        <v>0.43661076262584492</v>
      </c>
    </row>
    <row r="27" spans="1:25">
      <c r="A27" s="136"/>
      <c r="B27" s="138"/>
      <c r="C27" s="138"/>
      <c r="D27" s="138"/>
      <c r="E27" s="138"/>
      <c r="F27" s="138"/>
      <c r="G27" s="138"/>
      <c r="H27" s="138"/>
      <c r="I27" s="138"/>
      <c r="J27" s="138"/>
      <c r="K27" s="138"/>
      <c r="L27" s="728" t="s">
        <v>68</v>
      </c>
      <c r="M27" s="728" t="s">
        <v>58</v>
      </c>
      <c r="N27" s="729">
        <v>6.9580000000000002</v>
      </c>
      <c r="O27" s="730">
        <v>3.8288731775000002</v>
      </c>
      <c r="P27" s="730">
        <v>0.79063733333911501</v>
      </c>
      <c r="Q27" s="730"/>
      <c r="T27" s="768" t="s">
        <v>418</v>
      </c>
      <c r="U27" s="769">
        <v>0.95008853508016455</v>
      </c>
      <c r="V27" s="770">
        <v>0.4179286269450877</v>
      </c>
      <c r="W27" s="745"/>
      <c r="X27" s="768" t="s">
        <v>420</v>
      </c>
      <c r="Y27" s="769">
        <v>0.42336856977513226</v>
      </c>
    </row>
    <row r="28" spans="1:25">
      <c r="A28" s="136"/>
      <c r="B28" s="138"/>
      <c r="C28" s="138"/>
      <c r="D28" s="138"/>
      <c r="E28" s="138"/>
      <c r="F28" s="138"/>
      <c r="G28" s="138"/>
      <c r="H28" s="138"/>
      <c r="I28" s="138"/>
      <c r="J28" s="138"/>
      <c r="K28" s="138"/>
      <c r="L28" s="728" t="s">
        <v>70</v>
      </c>
      <c r="M28" s="728" t="s">
        <v>58</v>
      </c>
      <c r="N28" s="729">
        <v>5.1890000000000001</v>
      </c>
      <c r="O28" s="730">
        <v>3.5931083225</v>
      </c>
      <c r="P28" s="730">
        <v>0.99489534739158658</v>
      </c>
      <c r="Q28" s="730"/>
      <c r="T28" s="768" t="s">
        <v>481</v>
      </c>
      <c r="U28" s="769">
        <v>0.97247827936126374</v>
      </c>
      <c r="V28" s="770"/>
      <c r="W28" s="745"/>
      <c r="X28" s="768" t="s">
        <v>418</v>
      </c>
      <c r="Y28" s="769">
        <v>0.4179286269450877</v>
      </c>
    </row>
    <row r="29" spans="1:25">
      <c r="A29" s="136"/>
      <c r="B29" s="138"/>
      <c r="C29" s="138"/>
      <c r="D29" s="138"/>
      <c r="E29" s="138"/>
      <c r="F29" s="138"/>
      <c r="G29" s="138"/>
      <c r="H29" s="138"/>
      <c r="I29" s="138"/>
      <c r="J29" s="138"/>
      <c r="K29" s="138"/>
      <c r="L29" s="728" t="s">
        <v>73</v>
      </c>
      <c r="M29" s="728" t="s">
        <v>58</v>
      </c>
      <c r="N29" s="729">
        <v>3.91621</v>
      </c>
      <c r="O29" s="730">
        <v>2.6403305499999998</v>
      </c>
      <c r="P29" s="730">
        <v>0.96868614717718937</v>
      </c>
      <c r="Q29" s="730"/>
      <c r="T29" s="768" t="s">
        <v>417</v>
      </c>
      <c r="U29" s="769">
        <v>0.97432084912958228</v>
      </c>
      <c r="V29" s="770">
        <v>0.43661076262584492</v>
      </c>
      <c r="W29" s="745"/>
      <c r="X29" s="768" t="s">
        <v>419</v>
      </c>
      <c r="Y29" s="769">
        <v>0.41368080414553937</v>
      </c>
    </row>
    <row r="30" spans="1:25">
      <c r="A30" s="136"/>
      <c r="B30" s="138"/>
      <c r="C30" s="138"/>
      <c r="D30" s="138"/>
      <c r="E30" s="138"/>
      <c r="F30" s="138"/>
      <c r="G30" s="138"/>
      <c r="H30" s="138"/>
      <c r="I30" s="138"/>
      <c r="J30" s="138"/>
      <c r="K30" s="138"/>
      <c r="L30" s="728" t="s">
        <v>74</v>
      </c>
      <c r="M30" s="728" t="s">
        <v>58</v>
      </c>
      <c r="N30" s="729">
        <v>3.964</v>
      </c>
      <c r="O30" s="730">
        <v>2.5821000000000001</v>
      </c>
      <c r="P30" s="730">
        <v>0.93590156233689414</v>
      </c>
      <c r="Q30" s="730"/>
      <c r="T30" s="768" t="s">
        <v>419</v>
      </c>
      <c r="U30" s="769">
        <v>0.98483071099700559</v>
      </c>
      <c r="V30" s="770">
        <v>0.41368080414553937</v>
      </c>
      <c r="W30" s="745"/>
      <c r="X30" s="768" t="s">
        <v>75</v>
      </c>
      <c r="Y30" s="769">
        <v>0.13168884715739662</v>
      </c>
    </row>
    <row r="31" spans="1:25">
      <c r="A31" s="136"/>
      <c r="B31" s="138"/>
      <c r="C31" s="138"/>
      <c r="D31" s="138"/>
      <c r="E31" s="138"/>
      <c r="F31" s="138"/>
      <c r="G31" s="138"/>
      <c r="H31" s="138"/>
      <c r="I31" s="138"/>
      <c r="J31" s="138"/>
      <c r="K31" s="138"/>
      <c r="L31" s="728" t="s">
        <v>72</v>
      </c>
      <c r="M31" s="728" t="s">
        <v>58</v>
      </c>
      <c r="N31" s="729">
        <v>3.48</v>
      </c>
      <c r="O31" s="730">
        <v>1.9293764824999999</v>
      </c>
      <c r="P31" s="730">
        <v>0.7965783469166996</v>
      </c>
      <c r="Q31" s="730"/>
      <c r="T31" s="768" t="s">
        <v>62</v>
      </c>
      <c r="U31" s="769">
        <v>0.99054594504797366</v>
      </c>
      <c r="V31" s="770">
        <v>0.83730770330394888</v>
      </c>
      <c r="W31" s="745"/>
      <c r="X31" s="768" t="s">
        <v>76</v>
      </c>
      <c r="Y31" s="769">
        <v>0.52223141360963388</v>
      </c>
    </row>
    <row r="32" spans="1:25">
      <c r="A32" s="136"/>
      <c r="B32" s="138"/>
      <c r="C32" s="138"/>
      <c r="D32" s="138"/>
      <c r="E32" s="138"/>
      <c r="F32" s="138"/>
      <c r="G32" s="138"/>
      <c r="H32" s="138"/>
      <c r="I32" s="138"/>
      <c r="J32" s="138"/>
      <c r="K32" s="138"/>
      <c r="L32" s="728" t="s">
        <v>75</v>
      </c>
      <c r="M32" s="728" t="s">
        <v>58</v>
      </c>
      <c r="N32" s="729">
        <v>1.714</v>
      </c>
      <c r="O32" s="730">
        <v>0.61246642750000002</v>
      </c>
      <c r="P32" s="730">
        <v>0.51340752583524463</v>
      </c>
      <c r="Q32" s="730"/>
      <c r="T32" s="768" t="s">
        <v>57</v>
      </c>
      <c r="U32" s="769">
        <v>0.99817283532646528</v>
      </c>
      <c r="V32" s="770">
        <v>0.98364203277516193</v>
      </c>
      <c r="W32" s="745"/>
      <c r="X32" s="768" t="s">
        <v>78</v>
      </c>
      <c r="Y32" s="769">
        <v>0.52028590285011589</v>
      </c>
    </row>
    <row r="33" spans="1:25">
      <c r="A33" s="136"/>
      <c r="B33" s="138"/>
      <c r="C33" s="138"/>
      <c r="D33" s="138"/>
      <c r="E33" s="138"/>
      <c r="F33" s="138"/>
      <c r="G33" s="138"/>
      <c r="H33" s="138"/>
      <c r="I33" s="138"/>
      <c r="J33" s="138"/>
      <c r="K33" s="138"/>
      <c r="L33" s="728" t="s">
        <v>420</v>
      </c>
      <c r="M33" s="728" t="s">
        <v>58</v>
      </c>
      <c r="N33" s="729">
        <v>0.7</v>
      </c>
      <c r="O33" s="730">
        <v>0.38808044999999997</v>
      </c>
      <c r="P33" s="730">
        <v>0.7965526477832513</v>
      </c>
      <c r="Q33" s="730"/>
      <c r="T33" s="768" t="s">
        <v>409</v>
      </c>
      <c r="U33" s="769">
        <v>1.0094201412535861</v>
      </c>
      <c r="V33" s="770">
        <v>0.89762929353575716</v>
      </c>
      <c r="W33" s="745"/>
      <c r="X33" s="768" t="s">
        <v>431</v>
      </c>
      <c r="Y33" s="769">
        <v>0.44170386078917145</v>
      </c>
    </row>
    <row r="34" spans="1:25">
      <c r="B34" s="138"/>
      <c r="C34" s="138"/>
      <c r="D34" s="138"/>
      <c r="E34" s="138"/>
      <c r="F34" s="138"/>
      <c r="G34" s="138"/>
      <c r="H34" s="138"/>
      <c r="I34" s="138"/>
      <c r="J34" s="138"/>
      <c r="K34" s="138"/>
      <c r="L34" s="728" t="s">
        <v>479</v>
      </c>
      <c r="M34" s="728" t="s">
        <v>58</v>
      </c>
      <c r="N34" s="729">
        <v>8.4</v>
      </c>
      <c r="O34" s="730">
        <v>0</v>
      </c>
      <c r="P34" s="730">
        <v>0</v>
      </c>
      <c r="Q34" s="730"/>
      <c r="T34" s="768" t="s">
        <v>59</v>
      </c>
      <c r="U34" s="769">
        <v>1.0774076527014651</v>
      </c>
      <c r="V34" s="770">
        <v>0.99498750277777748</v>
      </c>
      <c r="W34" s="745"/>
      <c r="X34" s="768" t="s">
        <v>77</v>
      </c>
      <c r="Y34" s="769">
        <v>0.39172655788568167</v>
      </c>
    </row>
    <row r="35" spans="1:25">
      <c r="A35" s="136"/>
      <c r="B35" s="138"/>
      <c r="C35" s="138"/>
      <c r="D35" s="138"/>
      <c r="E35" s="138"/>
      <c r="F35" s="138"/>
      <c r="G35" s="138"/>
      <c r="H35" s="138"/>
      <c r="I35" s="138"/>
      <c r="J35" s="138"/>
      <c r="K35" s="138"/>
      <c r="L35" s="728" t="s">
        <v>431</v>
      </c>
      <c r="M35" s="728" t="s">
        <v>217</v>
      </c>
      <c r="N35" s="729">
        <v>132.30000000000001</v>
      </c>
      <c r="O35" s="730">
        <v>42.941802405000004</v>
      </c>
      <c r="P35" s="730">
        <v>0.46634914558735374</v>
      </c>
      <c r="Q35" s="730"/>
      <c r="S35" s="768" t="s">
        <v>450</v>
      </c>
      <c r="T35" s="768" t="s">
        <v>79</v>
      </c>
      <c r="U35" s="769">
        <v>0.3334459979963868</v>
      </c>
      <c r="V35" s="770">
        <v>0.19664338792575781</v>
      </c>
      <c r="W35" s="745"/>
      <c r="X35" s="768" t="s">
        <v>79</v>
      </c>
      <c r="Y35" s="769">
        <v>0.19664338792575781</v>
      </c>
    </row>
    <row r="36" spans="1:25">
      <c r="A36" s="136"/>
      <c r="B36" s="138"/>
      <c r="C36" s="138"/>
      <c r="D36" s="138"/>
      <c r="E36" s="138"/>
      <c r="F36" s="138"/>
      <c r="G36" s="138"/>
      <c r="H36" s="138"/>
      <c r="I36" s="138"/>
      <c r="J36" s="138"/>
      <c r="K36" s="138"/>
      <c r="L36" s="728" t="s">
        <v>76</v>
      </c>
      <c r="M36" s="728" t="s">
        <v>217</v>
      </c>
      <c r="N36" s="729">
        <v>97.15</v>
      </c>
      <c r="O36" s="730">
        <v>40.093562445000003</v>
      </c>
      <c r="P36" s="730">
        <v>0.59295618289349916</v>
      </c>
      <c r="Q36" s="730"/>
      <c r="T36" s="768" t="s">
        <v>431</v>
      </c>
      <c r="U36" s="769">
        <v>0.41934131825043819</v>
      </c>
      <c r="V36" s="770">
        <v>0.44170386078917145</v>
      </c>
      <c r="W36" s="745"/>
      <c r="X36" s="768" t="s">
        <v>81</v>
      </c>
      <c r="Y36" s="769">
        <v>0.32644456445312492</v>
      </c>
    </row>
    <row r="37" spans="1:25">
      <c r="A37" s="136"/>
      <c r="B37" s="138"/>
      <c r="C37" s="138"/>
      <c r="D37" s="138"/>
      <c r="E37" s="138"/>
      <c r="F37" s="138"/>
      <c r="G37" s="138"/>
      <c r="H37" s="138"/>
      <c r="I37" s="138"/>
      <c r="J37" s="138"/>
      <c r="K37" s="138"/>
      <c r="L37" s="728" t="s">
        <v>77</v>
      </c>
      <c r="M37" s="728" t="s">
        <v>217</v>
      </c>
      <c r="N37" s="729">
        <v>83.15</v>
      </c>
      <c r="O37" s="730">
        <v>28.078673330000001</v>
      </c>
      <c r="P37" s="730">
        <v>0.48518245882320415</v>
      </c>
      <c r="Q37" s="730"/>
      <c r="T37" s="768" t="s">
        <v>77</v>
      </c>
      <c r="U37" s="769">
        <v>0.47059132635754708</v>
      </c>
      <c r="V37" s="770">
        <v>0.39172655788568167</v>
      </c>
      <c r="W37" s="745"/>
      <c r="X37" s="768" t="s">
        <v>231</v>
      </c>
      <c r="Y37" s="769">
        <v>0.30031796145833345</v>
      </c>
    </row>
    <row r="38" spans="1:25" ht="11.25" customHeight="1">
      <c r="A38" s="136"/>
      <c r="B38" s="138"/>
      <c r="C38" s="138"/>
      <c r="D38" s="138"/>
      <c r="E38" s="138"/>
      <c r="F38" s="138"/>
      <c r="G38" s="138"/>
      <c r="H38" s="138"/>
      <c r="I38" s="138"/>
      <c r="J38" s="138"/>
      <c r="K38" s="138"/>
      <c r="L38" s="728" t="s">
        <v>78</v>
      </c>
      <c r="M38" s="728" t="s">
        <v>217</v>
      </c>
      <c r="N38" s="729">
        <v>32</v>
      </c>
      <c r="O38" s="730">
        <v>13.8185211275</v>
      </c>
      <c r="P38" s="730">
        <v>0.62044365694594106</v>
      </c>
      <c r="Q38" s="732"/>
      <c r="T38" s="768" t="s">
        <v>76</v>
      </c>
      <c r="U38" s="769">
        <v>0.48234307902275275</v>
      </c>
      <c r="V38" s="770">
        <v>0.52223141360963388</v>
      </c>
      <c r="W38" s="745"/>
      <c r="X38" s="768" t="s">
        <v>432</v>
      </c>
      <c r="Y38" s="769">
        <v>0.29980624644318316</v>
      </c>
    </row>
    <row r="39" spans="1:25">
      <c r="A39" s="136"/>
      <c r="B39" s="138"/>
      <c r="C39" s="138"/>
      <c r="D39" s="138"/>
      <c r="E39" s="138"/>
      <c r="F39" s="138"/>
      <c r="G39" s="138"/>
      <c r="H39" s="138"/>
      <c r="I39" s="138"/>
      <c r="J39" s="138"/>
      <c r="K39" s="138"/>
      <c r="L39" s="728" t="s">
        <v>79</v>
      </c>
      <c r="M39" s="728" t="s">
        <v>217</v>
      </c>
      <c r="N39" s="729">
        <v>30.86</v>
      </c>
      <c r="O39" s="730">
        <v>5.3797554674999999</v>
      </c>
      <c r="P39" s="730">
        <v>0.25047095650267054</v>
      </c>
      <c r="T39" s="768" t="s">
        <v>78</v>
      </c>
      <c r="U39" s="769">
        <v>0.51350508449233057</v>
      </c>
      <c r="V39" s="770">
        <v>0.52028590285011589</v>
      </c>
      <c r="W39" s="745"/>
      <c r="X39" s="768" t="s">
        <v>232</v>
      </c>
      <c r="Y39" s="769">
        <v>0.28374589947916673</v>
      </c>
    </row>
    <row r="40" spans="1:25">
      <c r="A40" s="136"/>
      <c r="B40" s="138"/>
      <c r="C40" s="138"/>
      <c r="D40" s="138"/>
      <c r="E40" s="138"/>
      <c r="F40" s="138"/>
      <c r="G40" s="138"/>
      <c r="H40" s="138"/>
      <c r="I40" s="138"/>
      <c r="J40" s="138"/>
      <c r="K40" s="138"/>
      <c r="L40" s="728" t="s">
        <v>432</v>
      </c>
      <c r="M40" s="728" t="s">
        <v>80</v>
      </c>
      <c r="N40" s="729">
        <v>144.47999999999999</v>
      </c>
      <c r="O40" s="730">
        <v>33.764511957499998</v>
      </c>
      <c r="P40" s="730">
        <v>0.33577124739752395</v>
      </c>
      <c r="S40" s="768" t="s">
        <v>442</v>
      </c>
      <c r="T40" s="768" t="s">
        <v>82</v>
      </c>
      <c r="U40" s="769">
        <v>0.21979934964514652</v>
      </c>
      <c r="V40" s="770">
        <v>0.23510064913194445</v>
      </c>
      <c r="W40" s="745"/>
      <c r="X40" s="768" t="s">
        <v>233</v>
      </c>
      <c r="Y40" s="769">
        <v>0.24912405295138884</v>
      </c>
    </row>
    <row r="41" spans="1:25">
      <c r="A41" s="136"/>
      <c r="B41" s="138"/>
      <c r="C41" s="138"/>
      <c r="D41" s="138"/>
      <c r="E41" s="138"/>
      <c r="F41" s="138"/>
      <c r="G41" s="138"/>
      <c r="H41" s="138"/>
      <c r="I41" s="138"/>
      <c r="J41" s="138"/>
      <c r="K41" s="138"/>
      <c r="L41" s="728" t="s">
        <v>433</v>
      </c>
      <c r="M41" s="728" t="s">
        <v>80</v>
      </c>
      <c r="N41" s="729">
        <v>44.54</v>
      </c>
      <c r="O41" s="730">
        <v>7.6085142249999995</v>
      </c>
      <c r="P41" s="730">
        <v>0.24543720951462974</v>
      </c>
      <c r="T41" s="768" t="s">
        <v>433</v>
      </c>
      <c r="U41" s="769">
        <v>0.22788130827786193</v>
      </c>
      <c r="V41" s="770">
        <v>0.23837575681035766</v>
      </c>
      <c r="W41" s="745"/>
      <c r="X41" s="768" t="s">
        <v>433</v>
      </c>
      <c r="Y41" s="769">
        <v>0.23837575681035766</v>
      </c>
    </row>
    <row r="42" spans="1:25">
      <c r="A42" s="136"/>
      <c r="B42" s="138"/>
      <c r="C42" s="138"/>
      <c r="D42" s="138"/>
      <c r="E42" s="138"/>
      <c r="F42" s="138"/>
      <c r="G42" s="138"/>
      <c r="H42" s="138"/>
      <c r="I42" s="138"/>
      <c r="J42" s="138"/>
      <c r="K42" s="138"/>
      <c r="L42" s="728" t="s">
        <v>232</v>
      </c>
      <c r="M42" s="728" t="s">
        <v>80</v>
      </c>
      <c r="N42" s="729">
        <v>20</v>
      </c>
      <c r="O42" s="730">
        <v>4.0166999925000004</v>
      </c>
      <c r="P42" s="730">
        <v>0.28855603394396556</v>
      </c>
      <c r="T42" s="768" t="s">
        <v>233</v>
      </c>
      <c r="U42" s="769">
        <v>0.23429601877289377</v>
      </c>
      <c r="V42" s="770">
        <v>0.24912405295138884</v>
      </c>
      <c r="W42" s="745"/>
      <c r="X42" s="768" t="s">
        <v>82</v>
      </c>
      <c r="Y42" s="769">
        <v>0.23510064913194445</v>
      </c>
    </row>
    <row r="43" spans="1:25" ht="36" customHeight="1">
      <c r="A43" s="913"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marzo 2020.
Nota: Son consideradas las centrales con operación comercial</v>
      </c>
      <c r="B43" s="913"/>
      <c r="C43" s="913"/>
      <c r="D43" s="913"/>
      <c r="E43" s="913"/>
      <c r="F43" s="913"/>
      <c r="G43" s="913"/>
      <c r="H43" s="913"/>
      <c r="I43" s="913"/>
      <c r="J43" s="913"/>
      <c r="K43" s="913"/>
      <c r="L43" s="728" t="s">
        <v>231</v>
      </c>
      <c r="M43" s="728" t="s">
        <v>80</v>
      </c>
      <c r="N43" s="729">
        <v>20</v>
      </c>
      <c r="O43" s="730">
        <v>3.9183697999999998</v>
      </c>
      <c r="P43" s="730">
        <v>0.28149208333333331</v>
      </c>
      <c r="T43" s="768" t="s">
        <v>231</v>
      </c>
      <c r="U43" s="769">
        <v>0.2686925200320513</v>
      </c>
      <c r="V43" s="770">
        <v>0.30031796145833345</v>
      </c>
      <c r="W43" s="745"/>
      <c r="X43" s="768" t="s">
        <v>84</v>
      </c>
      <c r="Y43" s="769">
        <v>0.95188310171608503</v>
      </c>
    </row>
    <row r="44" spans="1:25" ht="18" customHeight="1">
      <c r="A44" s="136"/>
      <c r="B44" s="138"/>
      <c r="C44" s="138"/>
      <c r="D44" s="138"/>
      <c r="E44" s="138"/>
      <c r="F44" s="138"/>
      <c r="G44" s="138"/>
      <c r="H44" s="138"/>
      <c r="I44" s="138"/>
      <c r="J44" s="138"/>
      <c r="K44" s="138"/>
      <c r="L44" s="728" t="s">
        <v>233</v>
      </c>
      <c r="M44" s="728" t="s">
        <v>80</v>
      </c>
      <c r="N44" s="729">
        <v>20</v>
      </c>
      <c r="O44" s="730">
        <v>3.7421603000000001</v>
      </c>
      <c r="P44" s="730">
        <v>0.2688333548850575</v>
      </c>
      <c r="T44" s="768" t="s">
        <v>232</v>
      </c>
      <c r="U44" s="769">
        <v>0.26910556112637363</v>
      </c>
      <c r="V44" s="770">
        <v>0.28374589947916673</v>
      </c>
      <c r="W44" s="745"/>
      <c r="X44" s="768" t="s">
        <v>85</v>
      </c>
      <c r="Y44" s="769">
        <v>0.87093682405871298</v>
      </c>
    </row>
    <row r="45" spans="1:25" ht="12">
      <c r="A45" s="136"/>
      <c r="B45" s="138"/>
      <c r="C45" s="927" t="str">
        <f>"Factor de planta de las centrales RER  Acumulado al "&amp;'1. Resumen'!Q7&amp;" de "&amp;'1. Resumen'!Q4</f>
        <v>Factor de planta de las centrales RER  Acumulado al 31 de marzo</v>
      </c>
      <c r="D45" s="927"/>
      <c r="E45" s="927"/>
      <c r="F45" s="927"/>
      <c r="G45" s="927"/>
      <c r="H45" s="927"/>
      <c r="I45" s="927"/>
      <c r="J45" s="138"/>
      <c r="K45" s="138"/>
      <c r="L45" s="728" t="s">
        <v>81</v>
      </c>
      <c r="M45" s="728" t="s">
        <v>80</v>
      </c>
      <c r="N45" s="729">
        <v>16</v>
      </c>
      <c r="O45" s="730">
        <v>3.6113244249999998</v>
      </c>
      <c r="P45" s="730">
        <v>0.32429278241738502</v>
      </c>
      <c r="T45" s="768" t="s">
        <v>432</v>
      </c>
      <c r="U45" s="769">
        <v>0.30344883408137407</v>
      </c>
      <c r="V45" s="770">
        <v>0.29980624644318316</v>
      </c>
      <c r="W45" s="745"/>
      <c r="X45" s="768" t="s">
        <v>434</v>
      </c>
      <c r="Y45" s="769">
        <v>0.67638054060571118</v>
      </c>
    </row>
    <row r="46" spans="1:25" ht="9.75" customHeight="1">
      <c r="A46" s="136"/>
      <c r="B46" s="138"/>
      <c r="C46" s="138"/>
      <c r="D46" s="138"/>
      <c r="E46" s="138"/>
      <c r="F46" s="138"/>
      <c r="G46" s="138"/>
      <c r="H46" s="138"/>
      <c r="I46" s="138"/>
      <c r="J46" s="138"/>
      <c r="K46" s="138"/>
      <c r="L46" s="728" t="s">
        <v>82</v>
      </c>
      <c r="M46" s="728" t="s">
        <v>80</v>
      </c>
      <c r="N46" s="729">
        <v>20</v>
      </c>
      <c r="O46" s="730">
        <v>3.4606206225</v>
      </c>
      <c r="P46" s="730">
        <v>0.24860780334051724</v>
      </c>
      <c r="T46" s="768" t="s">
        <v>81</v>
      </c>
      <c r="U46" s="769">
        <v>0.30957137741815477</v>
      </c>
      <c r="V46" s="770">
        <v>0.32644456445312492</v>
      </c>
      <c r="W46" s="745"/>
      <c r="X46" s="768" t="s">
        <v>83</v>
      </c>
      <c r="Y46" s="769">
        <v>0.78446029353284619</v>
      </c>
    </row>
    <row r="47" spans="1:25" ht="9.75" customHeight="1">
      <c r="A47" s="136"/>
      <c r="B47" s="138"/>
      <c r="C47" s="138"/>
      <c r="D47" s="138"/>
      <c r="E47" s="138"/>
      <c r="F47" s="138"/>
      <c r="G47" s="138"/>
      <c r="H47" s="138"/>
      <c r="I47" s="138"/>
      <c r="J47" s="138"/>
      <c r="K47" s="138"/>
      <c r="L47" s="728" t="s">
        <v>83</v>
      </c>
      <c r="M47" s="728" t="s">
        <v>404</v>
      </c>
      <c r="N47" s="729">
        <v>12.74105</v>
      </c>
      <c r="O47" s="730">
        <v>6.5569284574999998</v>
      </c>
      <c r="P47" s="730">
        <v>0.73941113334819175</v>
      </c>
      <c r="S47" s="768" t="s">
        <v>443</v>
      </c>
      <c r="T47" s="768" t="s">
        <v>85</v>
      </c>
      <c r="U47" s="769">
        <v>0.61505681131172041</v>
      </c>
      <c r="V47" s="770">
        <v>0.87093682405871298</v>
      </c>
      <c r="X47" s="768"/>
      <c r="Y47" s="769"/>
    </row>
    <row r="48" spans="1:25" ht="9.75" customHeight="1">
      <c r="A48" s="136"/>
      <c r="B48" s="138"/>
      <c r="C48" s="138"/>
      <c r="D48" s="138"/>
      <c r="E48" s="138"/>
      <c r="F48" s="138"/>
      <c r="G48" s="138"/>
      <c r="H48" s="138"/>
      <c r="I48" s="138"/>
      <c r="J48" s="138"/>
      <c r="K48" s="138"/>
      <c r="L48" s="728" t="s">
        <v>84</v>
      </c>
      <c r="M48" s="728" t="s">
        <v>404</v>
      </c>
      <c r="N48" s="729">
        <v>4.2625000000000002</v>
      </c>
      <c r="O48" s="730">
        <v>1.8175178750000001</v>
      </c>
      <c r="P48" s="730">
        <v>0.61263959112818955</v>
      </c>
      <c r="T48" s="768" t="s">
        <v>83</v>
      </c>
      <c r="U48" s="769">
        <v>0.6841700061688063</v>
      </c>
      <c r="V48" s="770">
        <v>0.78446029353284619</v>
      </c>
      <c r="X48" s="768"/>
      <c r="Y48" s="769"/>
    </row>
    <row r="49" spans="1:25" ht="9.75" customHeight="1">
      <c r="A49" s="136"/>
      <c r="B49" s="138"/>
      <c r="C49" s="138"/>
      <c r="D49" s="138"/>
      <c r="E49" s="138"/>
      <c r="F49" s="138"/>
      <c r="G49" s="138"/>
      <c r="H49" s="138"/>
      <c r="I49" s="138"/>
      <c r="J49" s="138"/>
      <c r="K49" s="138"/>
      <c r="L49" s="728" t="s">
        <v>85</v>
      </c>
      <c r="M49" s="728" t="s">
        <v>404</v>
      </c>
      <c r="N49" s="729">
        <v>2.9537</v>
      </c>
      <c r="O49" s="730">
        <v>1.615740475</v>
      </c>
      <c r="P49" s="730">
        <v>0.78595192460732088</v>
      </c>
      <c r="T49" s="768" t="s">
        <v>84</v>
      </c>
      <c r="U49" s="769">
        <v>0.70418884072916321</v>
      </c>
      <c r="V49" s="770">
        <v>0.95188310171608503</v>
      </c>
      <c r="X49" s="768"/>
      <c r="Y49" s="769"/>
    </row>
    <row r="50" spans="1:25" ht="9.75" customHeight="1">
      <c r="A50" s="136"/>
      <c r="B50" s="138"/>
      <c r="C50" s="138"/>
      <c r="D50" s="138"/>
      <c r="E50" s="138"/>
      <c r="F50" s="138"/>
      <c r="G50" s="138"/>
      <c r="H50" s="138"/>
      <c r="I50" s="138"/>
      <c r="J50" s="138"/>
      <c r="K50" s="138"/>
      <c r="L50" s="728" t="s">
        <v>434</v>
      </c>
      <c r="M50" s="728" t="s">
        <v>404</v>
      </c>
      <c r="N50" s="729">
        <v>2.4</v>
      </c>
      <c r="O50" s="730">
        <v>1.338039725</v>
      </c>
      <c r="P50" s="730">
        <v>0.80102952885536416</v>
      </c>
      <c r="T50" s="768" t="s">
        <v>434</v>
      </c>
      <c r="U50" s="769">
        <v>0.8228825692536631</v>
      </c>
      <c r="V50" s="770">
        <v>0.67638054060571118</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13"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marzo.
Nota: Son consideradas las centrales con operación comercial</v>
      </c>
      <c r="B64" s="913"/>
      <c r="C64" s="913"/>
      <c r="D64" s="913"/>
      <c r="E64" s="913"/>
      <c r="F64" s="913"/>
      <c r="G64" s="913"/>
      <c r="H64" s="913"/>
      <c r="I64" s="913"/>
      <c r="J64" s="913"/>
      <c r="K64" s="913"/>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Mensual-Marzo 2020
INFSGI-MES-03-2020
14/04/2020
Versión: 01</oddHeader>
    <oddFooter>&amp;L&amp;7COES, 2020&amp;C6&amp;R&amp;7Dirección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1. Resumen</vt:lpstr>
      <vt:lpstr>Índice</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2020-04-15T19:13:34Z</cp:lastPrinted>
  <dcterms:created xsi:type="dcterms:W3CDTF">2018-02-13T14:18:17Z</dcterms:created>
  <dcterms:modified xsi:type="dcterms:W3CDTF">2020-04-15T19:13:44Z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